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65" tabRatio="782"/>
  </bookViews>
  <sheets>
    <sheet name="2019" sheetId="36" r:id="rId1"/>
    <sheet name="2018" sheetId="35" r:id="rId2"/>
    <sheet name="2017" sheetId="34" r:id="rId3"/>
    <sheet name="2016" sheetId="32" r:id="rId4"/>
    <sheet name="2015" sheetId="30" r:id="rId5"/>
    <sheet name="2014" sheetId="2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44525" calcCompleted="0" calcOnSave="0"/>
</workbook>
</file>

<file path=xl/comments1.xml><?xml version="1.0" encoding="utf-8"?>
<comments xmlns="http://schemas.openxmlformats.org/spreadsheetml/2006/main">
  <authors>
    <author>who</author>
  </authors>
  <commentList>
    <comment ref="R3" authorId="0">
      <text>
        <r>
          <rPr>
            <b/>
            <sz val="9"/>
            <rFont val="宋体"/>
            <charset val="134"/>
          </rPr>
          <t>who:</t>
        </r>
        <r>
          <rPr>
            <sz val="9"/>
            <rFont val="宋体"/>
            <charset val="134"/>
          </rPr>
          <t xml:space="preserve">
购省外+购华东</t>
        </r>
      </text>
    </comment>
  </commentList>
</comments>
</file>

<file path=xl/comments2.xml><?xml version="1.0" encoding="utf-8"?>
<comments xmlns="http://schemas.openxmlformats.org/spreadsheetml/2006/main">
  <authors>
    <author>who</author>
    <author>吕月秋.ZHJ</author>
    <author>吕月秋/ZJFGS/CHNG</author>
  </authors>
  <commentList>
    <comment ref="R3" authorId="0">
      <text>
        <r>
          <rPr>
            <b/>
            <sz val="9"/>
            <rFont val="宋体"/>
            <charset val="134"/>
          </rPr>
          <t>who:</t>
        </r>
        <r>
          <rPr>
            <sz val="9"/>
            <rFont val="宋体"/>
            <charset val="134"/>
          </rPr>
          <t xml:space="preserve">
购省外+购华东</t>
        </r>
      </text>
    </comment>
    <comment ref="L203" authorId="1">
      <text>
        <r>
          <rPr>
            <b/>
            <sz val="9"/>
            <rFont val="宋体"/>
            <charset val="134"/>
          </rPr>
          <t>吕月秋.ZHJ:</t>
        </r>
        <r>
          <rPr>
            <sz val="9"/>
            <rFont val="宋体"/>
            <charset val="134"/>
          </rPr>
          <t xml:space="preserve">
正式并网</t>
        </r>
      </text>
    </comment>
    <comment ref="D326" authorId="2">
      <text>
        <r>
          <rPr>
            <b/>
            <sz val="9"/>
            <rFont val="宋体"/>
            <charset val="134"/>
          </rPr>
          <t>吕月秋/ZJFGS/CHNG:</t>
        </r>
        <r>
          <rPr>
            <sz val="9"/>
            <rFont val="宋体"/>
            <charset val="134"/>
          </rPr>
          <t xml:space="preserve">
宾金直流上的四川水电没有了
四川水电+溪洛渡
</t>
        </r>
      </text>
    </comment>
    <comment ref="L362" authorId="2">
      <text>
        <r>
          <rPr>
            <b/>
            <sz val="9"/>
            <rFont val="宋体"/>
            <charset val="134"/>
          </rPr>
          <t>吕月秋/ZJFGS/CHNG:</t>
        </r>
        <r>
          <rPr>
            <sz val="9"/>
            <rFont val="宋体"/>
            <charset val="134"/>
          </rPr>
          <t xml:space="preserve">
12月22日三门核电#2机组（125万千瓦）跳闸</t>
        </r>
      </text>
    </comment>
  </commentList>
</comments>
</file>

<file path=xl/comments3.xml><?xml version="1.0" encoding="utf-8"?>
<comments xmlns="http://schemas.openxmlformats.org/spreadsheetml/2006/main">
  <authors>
    <author>吕月秋.ZHJ</author>
  </authors>
  <commentList>
    <comment ref="Z228" authorId="0">
      <text>
        <r>
          <rPr>
            <b/>
            <sz val="9"/>
            <rFont val="宋体"/>
            <charset val="134"/>
          </rPr>
          <t>吕月秋.ZHJ:</t>
        </r>
        <r>
          <rPr>
            <sz val="9"/>
            <rFont val="宋体"/>
            <charset val="134"/>
          </rPr>
          <t xml:space="preserve">
经信委网站-发电计划总览-气电
</t>
        </r>
      </text>
    </comment>
  </commentList>
</comments>
</file>

<file path=xl/comments4.xml><?xml version="1.0" encoding="utf-8"?>
<comments xmlns="http://schemas.openxmlformats.org/spreadsheetml/2006/main">
  <authors>
    <author>穆爱梅</author>
  </authors>
  <commentList>
    <comment ref="A35" authorId="0">
      <text>
        <r>
          <rPr>
            <b/>
            <sz val="9"/>
            <rFont val="宋体"/>
            <charset val="134"/>
          </rPr>
          <t>穆爱梅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年初一</t>
        </r>
      </text>
    </comment>
  </commentList>
</comments>
</file>

<file path=xl/sharedStrings.xml><?xml version="1.0" encoding="utf-8"?>
<sst xmlns="http://schemas.openxmlformats.org/spreadsheetml/2006/main" count="69">
  <si>
    <t>2018年发供电数据</t>
  </si>
  <si>
    <t>日</t>
  </si>
  <si>
    <t>月累</t>
  </si>
  <si>
    <t>年累</t>
  </si>
  <si>
    <t>月同比</t>
  </si>
  <si>
    <t>年同比</t>
  </si>
  <si>
    <t>日期</t>
  </si>
  <si>
    <t>星期</t>
  </si>
  <si>
    <t>火电</t>
  </si>
  <si>
    <t>受电</t>
  </si>
  <si>
    <t>用电</t>
  </si>
  <si>
    <t>最高负荷</t>
  </si>
  <si>
    <t>最低负荷</t>
  </si>
  <si>
    <t>高受</t>
  </si>
  <si>
    <t>低受</t>
  </si>
  <si>
    <t>全省发电量</t>
  </si>
  <si>
    <t>全省水电</t>
  </si>
  <si>
    <t>全省核电</t>
  </si>
  <si>
    <t>清洁能源</t>
  </si>
  <si>
    <t>年累燃机</t>
  </si>
  <si>
    <t>年累煤机</t>
  </si>
  <si>
    <t>煤机容量</t>
  </si>
  <si>
    <t>煤机小时</t>
  </si>
  <si>
    <t>年累统调发电量</t>
  </si>
  <si>
    <t>年累水电</t>
  </si>
  <si>
    <t>年累核电</t>
  </si>
  <si>
    <t>年累清能</t>
  </si>
  <si>
    <t>统调发电周同比</t>
  </si>
  <si>
    <t>周煤机</t>
  </si>
  <si>
    <t>万千瓦时</t>
  </si>
  <si>
    <t>万千瓦</t>
  </si>
  <si>
    <t>%</t>
  </si>
  <si>
    <t>亿千瓦时</t>
  </si>
  <si>
    <t>小时</t>
  </si>
  <si>
    <t>二</t>
  </si>
  <si>
    <t>三</t>
  </si>
  <si>
    <t>四</t>
  </si>
  <si>
    <t>五</t>
  </si>
  <si>
    <t>六</t>
  </si>
  <si>
    <t>一</t>
  </si>
  <si>
    <t>最大值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</si>
  <si>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</si>
  <si>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</si>
  <si>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</si>
  <si>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</si>
  <si>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</si>
  <si>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</si>
  <si>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</si>
  <si>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</si>
  <si>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</si>
  <si>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</si>
  <si>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核电除了秦山一号机32万的算我们统调的之外，他的二期三期包括方家山核电，都是属于华东网调的，虽然在浙江境内发电，但是属于外购电</t>
  </si>
  <si>
    <t>十一月份</t>
  </si>
  <si>
    <t>十二月份</t>
  </si>
  <si>
    <t>2019.1.1</t>
  </si>
  <si>
    <t>2017年发供电数据</t>
  </si>
  <si>
    <t>12595199.140</t>
  </si>
  <si>
    <t>19756114.948</t>
  </si>
  <si>
    <t>14864432.340</t>
  </si>
  <si>
    <t>23583375.508</t>
  </si>
  <si>
    <t>15445367.508</t>
  </si>
  <si>
    <t>269597.470</t>
  </si>
  <si>
    <t>2016年发供电数据</t>
  </si>
  <si>
    <t>2015年发供电数据</t>
  </si>
  <si>
    <t>水电（亿千瓦时）</t>
  </si>
  <si>
    <t>核电</t>
  </si>
  <si>
    <t>风电</t>
  </si>
  <si>
    <t>统调发电</t>
  </si>
  <si>
    <t>2014年发供电数据</t>
  </si>
</sst>
</file>

<file path=xl/styles.xml><?xml version="1.0" encoding="utf-8"?>
<styleSheet xmlns="http://schemas.openxmlformats.org/spreadsheetml/2006/main">
  <numFmts count="13">
    <numFmt numFmtId="176" formatCode="0_ "/>
    <numFmt numFmtId="41" formatCode="_ * #,##0_ ;_ * \-#,##0_ ;_ * &quot;-&quot;_ ;_ @_ "/>
    <numFmt numFmtId="177" formatCode="0_);[Red]\(0\)"/>
    <numFmt numFmtId="178" formatCode="0.00_ "/>
    <numFmt numFmtId="42" formatCode="_ &quot;￥&quot;* #,##0_ ;_ &quot;￥&quot;* \-#,##0_ ;_ &quot;￥&quot;* &quot;-&quot;_ ;_ @_ "/>
    <numFmt numFmtId="179" formatCode="0.0"/>
    <numFmt numFmtId="44" formatCode="_ &quot;￥&quot;* #,##0.00_ ;_ &quot;￥&quot;* \-#,##0.00_ ;_ &quot;￥&quot;* &quot;-&quot;??_ ;_ @_ "/>
    <numFmt numFmtId="180" formatCode="0;_尀"/>
    <numFmt numFmtId="43" formatCode="_ * #,##0.00_ ;_ * \-#,##0.00_ ;_ * &quot;-&quot;??_ ;_ @_ "/>
    <numFmt numFmtId="181" formatCode="0.0%"/>
    <numFmt numFmtId="182" formatCode="0.00_);[Red]\(0.00\)"/>
    <numFmt numFmtId="183" formatCode="0.0000_);[Red]\(0.0000\)"/>
    <numFmt numFmtId="184" formatCode="0.0_ "/>
  </numFmts>
  <fonts count="33">
    <font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Times New Roman"/>
      <charset val="134"/>
    </font>
    <font>
      <sz val="12"/>
      <color indexed="10"/>
      <name val="宋体"/>
      <charset val="134"/>
    </font>
    <font>
      <sz val="10.5"/>
      <color indexed="8"/>
      <name val="宋体"/>
      <charset val="134"/>
    </font>
    <font>
      <sz val="12"/>
      <color theme="1"/>
      <name val="宋体"/>
      <charset val="134"/>
    </font>
    <font>
      <sz val="12"/>
      <color rgb="FF002060"/>
      <name val="宋体"/>
      <charset val="134"/>
    </font>
    <font>
      <sz val="12"/>
      <color rgb="FFFF0000"/>
      <name val="宋体"/>
      <charset val="134"/>
    </font>
    <font>
      <b/>
      <sz val="12"/>
      <color indexed="8"/>
      <name val="宋体"/>
      <charset val="134"/>
    </font>
    <font>
      <sz val="12"/>
      <color rgb="FFFF99FF"/>
      <name val="宋体"/>
      <charset val="134"/>
    </font>
    <font>
      <sz val="12"/>
      <name val="宋体"/>
      <charset val="134"/>
    </font>
    <font>
      <b/>
      <sz val="12"/>
      <color indexed="10"/>
      <name val="宋体"/>
      <charset val="134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22" borderId="2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4" borderId="25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0" fillId="24" borderId="30" applyNumberFormat="0" applyAlignment="0" applyProtection="0">
      <alignment vertical="center"/>
    </xf>
    <xf numFmtId="0" fontId="25" fillId="24" borderId="27" applyNumberFormat="0" applyAlignment="0" applyProtection="0">
      <alignment vertical="center"/>
    </xf>
    <xf numFmtId="0" fontId="21" fillId="18" borderId="26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0" borderId="0"/>
  </cellStyleXfs>
  <cellXfs count="48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7" fontId="1" fillId="0" borderId="3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1" fillId="0" borderId="3" xfId="0" applyNumberFormat="1" applyFont="1" applyBorder="1">
      <alignment vertical="center"/>
    </xf>
    <xf numFmtId="58" fontId="1" fillId="4" borderId="3" xfId="0" applyNumberFormat="1" applyFont="1" applyFill="1" applyBorder="1" applyAlignment="1">
      <alignment horizontal="center" vertical="center"/>
    </xf>
    <xf numFmtId="58" fontId="1" fillId="5" borderId="3" xfId="0" applyNumberFormat="1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80" fontId="1" fillId="5" borderId="3" xfId="0" applyNumberFormat="1" applyFont="1" applyFill="1" applyBorder="1" applyAlignment="1">
      <alignment vertical="center"/>
    </xf>
    <xf numFmtId="180" fontId="1" fillId="5" borderId="3" xfId="0" applyNumberFormat="1" applyFont="1" applyFill="1" applyBorder="1" applyAlignment="1">
      <alignment horizontal="right" vertical="center"/>
    </xf>
    <xf numFmtId="180" fontId="1" fillId="5" borderId="3" xfId="0" applyNumberFormat="1" applyFont="1" applyFill="1" applyBorder="1">
      <alignment vertical="center"/>
    </xf>
    <xf numFmtId="58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80" fontId="1" fillId="0" borderId="3" xfId="0" applyNumberFormat="1" applyFont="1" applyBorder="1" applyAlignment="1">
      <alignment vertical="center"/>
    </xf>
    <xf numFmtId="180" fontId="1" fillId="0" borderId="3" xfId="0" applyNumberFormat="1" applyFont="1" applyBorder="1" applyAlignment="1">
      <alignment horizontal="right" vertical="center"/>
    </xf>
    <xf numFmtId="180" fontId="1" fillId="0" borderId="3" xfId="0" applyNumberFormat="1" applyFont="1" applyFill="1" applyBorder="1">
      <alignment vertical="center"/>
    </xf>
    <xf numFmtId="58" fontId="1" fillId="2" borderId="3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vertical="center"/>
    </xf>
    <xf numFmtId="180" fontId="1" fillId="2" borderId="3" xfId="0" applyNumberFormat="1" applyFont="1" applyFill="1" applyBorder="1" applyAlignment="1">
      <alignment horizontal="right" vertical="center"/>
    </xf>
    <xf numFmtId="180" fontId="1" fillId="2" borderId="3" xfId="0" applyNumberFormat="1" applyFont="1" applyFill="1" applyBorder="1">
      <alignment vertical="center"/>
    </xf>
    <xf numFmtId="0" fontId="2" fillId="0" borderId="0" xfId="0" applyFont="1" applyBorder="1">
      <alignment vertical="center"/>
    </xf>
    <xf numFmtId="0" fontId="1" fillId="5" borderId="3" xfId="0" applyFont="1" applyFill="1" applyBorder="1">
      <alignment vertical="center"/>
    </xf>
    <xf numFmtId="176" fontId="1" fillId="5" borderId="3" xfId="0" applyNumberFormat="1" applyFont="1" applyFill="1" applyBorder="1">
      <alignment vertical="center"/>
    </xf>
    <xf numFmtId="176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80" fontId="1" fillId="0" borderId="3" xfId="0" applyNumberFormat="1" applyFont="1" applyBorder="1">
      <alignment vertical="center"/>
    </xf>
    <xf numFmtId="176" fontId="1" fillId="0" borderId="3" xfId="0" applyNumberFormat="1" applyFont="1" applyBorder="1">
      <alignment vertical="center"/>
    </xf>
    <xf numFmtId="176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3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178" fontId="1" fillId="5" borderId="3" xfId="0" applyNumberFormat="1" applyFont="1" applyFill="1" applyBorder="1">
      <alignment vertical="center"/>
    </xf>
    <xf numFmtId="178" fontId="1" fillId="0" borderId="3" xfId="0" applyNumberFormat="1" applyFont="1" applyBorder="1">
      <alignment vertical="center"/>
    </xf>
    <xf numFmtId="176" fontId="1" fillId="7" borderId="3" xfId="0" applyNumberFormat="1" applyFont="1" applyFill="1" applyBorder="1">
      <alignment vertical="center"/>
    </xf>
    <xf numFmtId="178" fontId="1" fillId="2" borderId="3" xfId="0" applyNumberFormat="1" applyFont="1" applyFill="1" applyBorder="1">
      <alignment vertical="center"/>
    </xf>
    <xf numFmtId="176" fontId="5" fillId="4" borderId="3" xfId="0" applyNumberFormat="1" applyFont="1" applyFill="1" applyBorder="1">
      <alignment vertical="center"/>
    </xf>
    <xf numFmtId="176" fontId="1" fillId="4" borderId="3" xfId="0" applyNumberFormat="1" applyFont="1" applyFill="1" applyBorder="1">
      <alignment vertical="center"/>
    </xf>
    <xf numFmtId="1" fontId="1" fillId="0" borderId="3" xfId="0" applyNumberFormat="1" applyFont="1" applyBorder="1">
      <alignment vertical="center"/>
    </xf>
    <xf numFmtId="1" fontId="1" fillId="7" borderId="3" xfId="0" applyNumberFormat="1" applyFont="1" applyFill="1" applyBorder="1">
      <alignment vertical="center"/>
    </xf>
    <xf numFmtId="1" fontId="1" fillId="2" borderId="3" xfId="0" applyNumberFormat="1" applyFont="1" applyFill="1" applyBorder="1">
      <alignment vertical="center"/>
    </xf>
    <xf numFmtId="1" fontId="1" fillId="4" borderId="3" xfId="0" applyNumberFormat="1" applyFont="1" applyFill="1" applyBorder="1">
      <alignment vertical="center"/>
    </xf>
    <xf numFmtId="1" fontId="1" fillId="5" borderId="3" xfId="0" applyNumberFormat="1" applyFont="1" applyFill="1" applyBorder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80" fontId="1" fillId="0" borderId="3" xfId="0" applyNumberFormat="1" applyFont="1" applyFill="1" applyBorder="1" applyAlignment="1">
      <alignment vertical="center"/>
    </xf>
    <xf numFmtId="180" fontId="1" fillId="0" borderId="3" xfId="0" applyNumberFormat="1" applyFont="1" applyFill="1" applyBorder="1" applyAlignment="1">
      <alignment horizontal="right" vertical="center"/>
    </xf>
    <xf numFmtId="0" fontId="1" fillId="0" borderId="3" xfId="0" applyFont="1" applyFill="1" applyBorder="1">
      <alignment vertical="center"/>
    </xf>
    <xf numFmtId="176" fontId="1" fillId="0" borderId="3" xfId="0" applyNumberFormat="1" applyFont="1" applyFill="1" applyBorder="1">
      <alignment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6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76" fontId="5" fillId="8" borderId="3" xfId="0" applyNumberFormat="1" applyFont="1" applyFill="1" applyBorder="1" applyAlignment="1">
      <alignment horizontal="center" vertical="center"/>
    </xf>
    <xf numFmtId="176" fontId="5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181" fontId="6" fillId="7" borderId="3" xfId="0" applyNumberFormat="1" applyFont="1" applyFill="1" applyBorder="1" applyAlignment="1">
      <alignment horizontal="center" vertical="center"/>
    </xf>
    <xf numFmtId="181" fontId="6" fillId="8" borderId="3" xfId="0" applyNumberFormat="1" applyFont="1" applyFill="1" applyBorder="1" applyAlignment="1">
      <alignment horizontal="center" vertical="center"/>
    </xf>
    <xf numFmtId="181" fontId="6" fillId="5" borderId="3" xfId="0" applyNumberFormat="1" applyFont="1" applyFill="1" applyBorder="1" applyAlignment="1">
      <alignment horizontal="center" vertical="center"/>
    </xf>
    <xf numFmtId="183" fontId="1" fillId="9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184" fontId="1" fillId="0" borderId="3" xfId="0" applyNumberFormat="1" applyFont="1" applyFill="1" applyBorder="1">
      <alignment vertical="center"/>
    </xf>
    <xf numFmtId="183" fontId="1" fillId="2" borderId="0" xfId="0" applyNumberFormat="1" applyFont="1" applyFill="1">
      <alignment vertical="center"/>
    </xf>
    <xf numFmtId="17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1" fontId="6" fillId="2" borderId="3" xfId="0" applyNumberFormat="1" applyFont="1" applyFill="1" applyBorder="1" applyAlignment="1">
      <alignment horizontal="center" vertical="center"/>
    </xf>
    <xf numFmtId="183" fontId="1" fillId="7" borderId="0" xfId="0" applyNumberFormat="1" applyFont="1" applyFill="1">
      <alignment vertical="center"/>
    </xf>
    <xf numFmtId="2" fontId="1" fillId="7" borderId="0" xfId="0" applyNumberFormat="1" applyFont="1" applyFill="1">
      <alignment vertical="center"/>
    </xf>
    <xf numFmtId="2" fontId="1" fillId="0" borderId="0" xfId="0" applyNumberFormat="1" applyFont="1">
      <alignment vertical="center"/>
    </xf>
    <xf numFmtId="184" fontId="1" fillId="0" borderId="3" xfId="0" applyNumberFormat="1" applyFont="1" applyBorder="1">
      <alignment vertical="center"/>
    </xf>
    <xf numFmtId="178" fontId="1" fillId="7" borderId="3" xfId="0" applyNumberFormat="1" applyFont="1" applyFill="1" applyBorder="1">
      <alignment vertical="center"/>
    </xf>
    <xf numFmtId="184" fontId="1" fillId="7" borderId="3" xfId="0" applyNumberFormat="1" applyFont="1" applyFill="1" applyBorder="1">
      <alignment vertical="center"/>
    </xf>
    <xf numFmtId="184" fontId="1" fillId="5" borderId="3" xfId="0" applyNumberFormat="1" applyFont="1" applyFill="1" applyBorder="1">
      <alignment vertical="center"/>
    </xf>
    <xf numFmtId="178" fontId="1" fillId="0" borderId="3" xfId="0" applyNumberFormat="1" applyFont="1" applyFill="1" applyBorder="1">
      <alignment vertical="center"/>
    </xf>
    <xf numFmtId="184" fontId="1" fillId="2" borderId="3" xfId="0" applyNumberFormat="1" applyFont="1" applyFill="1" applyBorder="1">
      <alignment vertical="center"/>
    </xf>
    <xf numFmtId="0" fontId="1" fillId="7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7" fillId="2" borderId="0" xfId="0" applyFont="1" applyFill="1">
      <alignment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176" fontId="1" fillId="11" borderId="3" xfId="0" applyNumberFormat="1" applyFont="1" applyFill="1" applyBorder="1">
      <alignment vertical="center"/>
    </xf>
    <xf numFmtId="184" fontId="1" fillId="11" borderId="3" xfId="0" applyNumberFormat="1" applyFont="1" applyFill="1" applyBorder="1">
      <alignment vertical="center"/>
    </xf>
    <xf numFmtId="1" fontId="1" fillId="0" borderId="3" xfId="0" applyNumberFormat="1" applyFont="1" applyFill="1" applyBorder="1">
      <alignment vertical="center"/>
    </xf>
    <xf numFmtId="58" fontId="7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  <xf numFmtId="177" fontId="1" fillId="0" borderId="0" xfId="0" applyNumberFormat="1" applyFont="1">
      <alignment vertical="center"/>
    </xf>
    <xf numFmtId="0" fontId="0" fillId="0" borderId="0" xfId="0" applyFont="1">
      <alignment vertical="center"/>
    </xf>
    <xf numFmtId="182" fontId="1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1" fillId="5" borderId="3" xfId="0" applyNumberFormat="1" applyFont="1" applyFill="1" applyBorder="1">
      <alignment vertical="center"/>
    </xf>
    <xf numFmtId="177" fontId="1" fillId="0" borderId="3" xfId="0" applyNumberFormat="1" applyFont="1" applyFill="1" applyBorder="1">
      <alignment vertical="center"/>
    </xf>
    <xf numFmtId="58" fontId="1" fillId="12" borderId="3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>
      <alignment vertical="center"/>
    </xf>
    <xf numFmtId="176" fontId="1" fillId="10" borderId="3" xfId="0" applyNumberFormat="1" applyFont="1" applyFill="1" applyBorder="1">
      <alignment vertical="center"/>
    </xf>
    <xf numFmtId="177" fontId="1" fillId="0" borderId="3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>
      <alignment vertical="center"/>
    </xf>
    <xf numFmtId="176" fontId="0" fillId="5" borderId="3" xfId="0" applyNumberFormat="1" applyFont="1" applyFill="1" applyBorder="1">
      <alignment vertical="center"/>
    </xf>
    <xf numFmtId="176" fontId="0" fillId="0" borderId="3" xfId="0" applyNumberFormat="1" applyFont="1" applyFill="1" applyBorder="1">
      <alignment vertical="center"/>
    </xf>
    <xf numFmtId="176" fontId="0" fillId="2" borderId="3" xfId="0" applyNumberFormat="1" applyFont="1" applyFill="1" applyBorder="1">
      <alignment vertical="center"/>
    </xf>
    <xf numFmtId="1" fontId="5" fillId="2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vertical="center" wrapText="1"/>
    </xf>
    <xf numFmtId="0" fontId="2" fillId="0" borderId="3" xfId="0" applyFont="1" applyBorder="1">
      <alignment vertical="center"/>
    </xf>
    <xf numFmtId="182" fontId="4" fillId="0" borderId="3" xfId="0" applyNumberFormat="1" applyFont="1" applyFill="1" applyBorder="1" applyAlignment="1">
      <alignment vertical="center" wrapText="1"/>
    </xf>
    <xf numFmtId="182" fontId="1" fillId="0" borderId="3" xfId="0" applyNumberFormat="1" applyFont="1" applyBorder="1" applyAlignment="1">
      <alignment horizontal="center" vertical="center" wrapText="1"/>
    </xf>
    <xf numFmtId="182" fontId="1" fillId="0" borderId="3" xfId="0" applyNumberFormat="1" applyFont="1" applyBorder="1" applyAlignment="1">
      <alignment vertical="center" wrapText="1"/>
    </xf>
    <xf numFmtId="10" fontId="6" fillId="5" borderId="3" xfId="0" applyNumberFormat="1" applyFont="1" applyFill="1" applyBorder="1" applyAlignment="1">
      <alignment horizontal="center" vertical="center"/>
    </xf>
    <xf numFmtId="182" fontId="1" fillId="5" borderId="3" xfId="0" applyNumberFormat="1" applyFont="1" applyFill="1" applyBorder="1" applyAlignment="1">
      <alignment vertical="center" wrapText="1"/>
    </xf>
    <xf numFmtId="182" fontId="1" fillId="0" borderId="3" xfId="0" applyNumberFormat="1" applyFont="1" applyFill="1" applyBorder="1" applyAlignment="1">
      <alignment vertical="center" wrapText="1"/>
    </xf>
    <xf numFmtId="182" fontId="1" fillId="0" borderId="3" xfId="0" applyNumberFormat="1" applyFont="1" applyBorder="1" applyAlignment="1">
      <alignment vertical="center"/>
    </xf>
    <xf numFmtId="182" fontId="1" fillId="2" borderId="3" xfId="0" applyNumberFormat="1" applyFont="1" applyFill="1" applyBorder="1" applyAlignment="1">
      <alignment vertical="center" wrapText="1"/>
    </xf>
    <xf numFmtId="177" fontId="5" fillId="2" borderId="3" xfId="0" applyNumberFormat="1" applyFont="1" applyFill="1" applyBorder="1" applyAlignment="1">
      <alignment horizontal="center" vertical="center"/>
    </xf>
    <xf numFmtId="10" fontId="1" fillId="11" borderId="3" xfId="0" applyNumberFormat="1" applyFont="1" applyFill="1" applyBorder="1">
      <alignment vertical="center"/>
    </xf>
    <xf numFmtId="0" fontId="1" fillId="2" borderId="3" xfId="0" applyNumberFormat="1" applyFont="1" applyFill="1" applyBorder="1">
      <alignment vertical="center"/>
    </xf>
    <xf numFmtId="10" fontId="6" fillId="2" borderId="3" xfId="0" applyNumberFormat="1" applyFont="1" applyFill="1" applyBorder="1" applyAlignment="1">
      <alignment horizontal="center" vertical="center"/>
    </xf>
    <xf numFmtId="182" fontId="0" fillId="5" borderId="3" xfId="0" applyNumberFormat="1" applyFont="1" applyFill="1" applyBorder="1" applyAlignment="1">
      <alignment vertical="center" wrapText="1"/>
    </xf>
    <xf numFmtId="176" fontId="10" fillId="10" borderId="3" xfId="0" applyNumberFormat="1" applyFont="1" applyFill="1" applyBorder="1">
      <alignment vertical="center"/>
    </xf>
    <xf numFmtId="177" fontId="1" fillId="0" borderId="3" xfId="0" applyNumberFormat="1" applyFont="1" applyBorder="1" applyAlignment="1">
      <alignment vertical="center"/>
    </xf>
    <xf numFmtId="180" fontId="0" fillId="0" borderId="3" xfId="0" applyNumberFormat="1" applyFont="1" applyBorder="1" applyAlignment="1">
      <alignment vertical="center"/>
    </xf>
    <xf numFmtId="180" fontId="7" fillId="0" borderId="3" xfId="0" applyNumberFormat="1" applyFont="1" applyBorder="1" applyAlignment="1">
      <alignment vertical="center"/>
    </xf>
    <xf numFmtId="177" fontId="7" fillId="0" borderId="3" xfId="0" applyNumberFormat="1" applyFont="1" applyBorder="1" applyAlignment="1">
      <alignment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vertical="center" wrapText="1"/>
    </xf>
    <xf numFmtId="182" fontId="0" fillId="0" borderId="3" xfId="0" applyNumberFormat="1" applyFont="1" applyBorder="1" applyAlignment="1">
      <alignment vertical="center" wrapText="1"/>
    </xf>
    <xf numFmtId="182" fontId="7" fillId="0" borderId="3" xfId="0" applyNumberFormat="1" applyFont="1" applyBorder="1" applyAlignment="1">
      <alignment vertical="center" wrapText="1"/>
    </xf>
    <xf numFmtId="0" fontId="1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vertical="center" wrapText="1"/>
    </xf>
    <xf numFmtId="0" fontId="8" fillId="10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177" fontId="1" fillId="10" borderId="0" xfId="0" applyNumberFormat="1" applyFont="1" applyFill="1" applyAlignment="1">
      <alignment vertical="center" wrapText="1"/>
    </xf>
    <xf numFmtId="0" fontId="0" fillId="10" borderId="0" xfId="0" applyFont="1" applyFill="1" applyAlignment="1">
      <alignment vertical="center" wrapText="1"/>
    </xf>
    <xf numFmtId="182" fontId="1" fillId="10" borderId="0" xfId="0" applyNumberFormat="1" applyFont="1" applyFill="1" applyAlignment="1">
      <alignment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177" fontId="9" fillId="10" borderId="8" xfId="0" applyNumberFormat="1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177" fontId="0" fillId="10" borderId="8" xfId="0" applyNumberForma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177" fontId="1" fillId="10" borderId="3" xfId="0" applyNumberFormat="1" applyFont="1" applyFill="1" applyBorder="1" applyAlignment="1">
      <alignment horizontal="center" vertical="center" wrapText="1"/>
    </xf>
    <xf numFmtId="58" fontId="1" fillId="4" borderId="3" xfId="0" applyNumberFormat="1" applyFont="1" applyFill="1" applyBorder="1" applyAlignment="1">
      <alignment horizontal="center" vertical="center" wrapText="1"/>
    </xf>
    <xf numFmtId="58" fontId="1" fillId="10" borderId="4" xfId="0" applyNumberFormat="1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vertical="center" wrapText="1"/>
    </xf>
    <xf numFmtId="176" fontId="1" fillId="10" borderId="3" xfId="0" applyNumberFormat="1" applyFont="1" applyFill="1" applyBorder="1" applyAlignment="1">
      <alignment vertical="center" wrapText="1"/>
    </xf>
    <xf numFmtId="177" fontId="1" fillId="10" borderId="3" xfId="0" applyNumberFormat="1" applyFont="1" applyFill="1" applyBorder="1" applyAlignment="1">
      <alignment vertical="center" wrapText="1"/>
    </xf>
    <xf numFmtId="180" fontId="1" fillId="10" borderId="3" xfId="0" applyNumberFormat="1" applyFont="1" applyFill="1" applyBorder="1" applyAlignment="1">
      <alignment vertical="center" wrapText="1"/>
    </xf>
    <xf numFmtId="58" fontId="1" fillId="10" borderId="3" xfId="0" applyNumberFormat="1" applyFont="1" applyFill="1" applyBorder="1" applyAlignment="1">
      <alignment horizontal="center" vertical="center" wrapText="1"/>
    </xf>
    <xf numFmtId="58" fontId="7" fillId="10" borderId="3" xfId="0" applyNumberFormat="1" applyFont="1" applyFill="1" applyBorder="1" applyAlignment="1">
      <alignment horizontal="center" vertical="center" wrapText="1"/>
    </xf>
    <xf numFmtId="58" fontId="7" fillId="10" borderId="4" xfId="0" applyNumberFormat="1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vertical="center" wrapText="1"/>
    </xf>
    <xf numFmtId="176" fontId="7" fillId="10" borderId="3" xfId="0" applyNumberFormat="1" applyFont="1" applyFill="1" applyBorder="1" applyAlignment="1">
      <alignment vertical="center" wrapText="1"/>
    </xf>
    <xf numFmtId="177" fontId="7" fillId="10" borderId="3" xfId="0" applyNumberFormat="1" applyFont="1" applyFill="1" applyBorder="1" applyAlignment="1">
      <alignment vertical="center" wrapText="1"/>
    </xf>
    <xf numFmtId="180" fontId="7" fillId="10" borderId="3" xfId="0" applyNumberFormat="1" applyFont="1" applyFill="1" applyBorder="1" applyAlignment="1">
      <alignment vertical="center" wrapText="1"/>
    </xf>
    <xf numFmtId="58" fontId="1" fillId="12" borderId="3" xfId="0" applyNumberFormat="1" applyFont="1" applyFill="1" applyBorder="1" applyAlignment="1">
      <alignment horizontal="center" vertical="center" wrapText="1"/>
    </xf>
    <xf numFmtId="58" fontId="1" fillId="2" borderId="4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176" fontId="1" fillId="2" borderId="3" xfId="0" applyNumberFormat="1" applyFont="1" applyFill="1" applyBorder="1" applyAlignment="1">
      <alignment vertical="center" wrapText="1"/>
    </xf>
    <xf numFmtId="177" fontId="1" fillId="2" borderId="3" xfId="0" applyNumberFormat="1" applyFont="1" applyFill="1" applyBorder="1" applyAlignment="1">
      <alignment vertical="center" wrapText="1"/>
    </xf>
    <xf numFmtId="180" fontId="1" fillId="2" borderId="3" xfId="0" applyNumberFormat="1" applyFont="1" applyFill="1" applyBorder="1" applyAlignment="1">
      <alignment vertical="center" wrapText="1"/>
    </xf>
    <xf numFmtId="58" fontId="7" fillId="12" borderId="3" xfId="0" applyNumberFormat="1" applyFont="1" applyFill="1" applyBorder="1" applyAlignment="1">
      <alignment horizontal="center" vertical="center" wrapText="1"/>
    </xf>
    <xf numFmtId="58" fontId="0" fillId="13" borderId="3" xfId="0" applyNumberFormat="1" applyFont="1" applyFill="1" applyBorder="1" applyAlignment="1">
      <alignment horizontal="center" vertical="center" wrapText="1"/>
    </xf>
    <xf numFmtId="58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176" fontId="1" fillId="10" borderId="11" xfId="0" applyNumberFormat="1" applyFont="1" applyFill="1" applyBorder="1" applyAlignment="1">
      <alignment horizontal="center" vertical="center" wrapText="1"/>
    </xf>
    <xf numFmtId="180" fontId="1" fillId="10" borderId="3" xfId="0" applyNumberFormat="1" applyFont="1" applyFill="1" applyBorder="1" applyAlignment="1">
      <alignment horizontal="right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0" fillId="10" borderId="13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3" xfId="0" applyNumberFormat="1" applyFont="1" applyFill="1" applyBorder="1" applyAlignment="1">
      <alignment vertical="center" wrapText="1"/>
    </xf>
    <xf numFmtId="176" fontId="0" fillId="10" borderId="14" xfId="0" applyNumberFormat="1" applyFont="1" applyFill="1" applyBorder="1" applyAlignment="1">
      <alignment vertical="center" wrapText="1"/>
    </xf>
    <xf numFmtId="176" fontId="5" fillId="10" borderId="11" xfId="0" applyNumberFormat="1" applyFont="1" applyFill="1" applyBorder="1" applyAlignment="1">
      <alignment horizontal="center" vertical="center" wrapText="1"/>
    </xf>
    <xf numFmtId="176" fontId="5" fillId="10" borderId="3" xfId="0" applyNumberFormat="1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vertical="center" wrapText="1"/>
    </xf>
    <xf numFmtId="176" fontId="7" fillId="10" borderId="14" xfId="0" applyNumberFormat="1" applyFont="1" applyFill="1" applyBorder="1" applyAlignment="1">
      <alignment vertical="center" wrapText="1"/>
    </xf>
    <xf numFmtId="176" fontId="7" fillId="10" borderId="11" xfId="0" applyNumberFormat="1" applyFont="1" applyFill="1" applyBorder="1" applyAlignment="1">
      <alignment horizontal="center" vertical="center" wrapText="1"/>
    </xf>
    <xf numFmtId="176" fontId="7" fillId="10" borderId="3" xfId="0" applyNumberFormat="1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vertical="center" wrapText="1"/>
    </xf>
    <xf numFmtId="176" fontId="0" fillId="2" borderId="14" xfId="0" applyNumberFormat="1" applyFont="1" applyFill="1" applyBorder="1" applyAlignment="1">
      <alignment vertical="center" wrapText="1"/>
    </xf>
    <xf numFmtId="176" fontId="5" fillId="2" borderId="11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176" fontId="5" fillId="10" borderId="5" xfId="0" applyNumberFormat="1" applyFont="1" applyFill="1" applyBorder="1" applyAlignment="1">
      <alignment horizontal="center" vertical="center" wrapText="1"/>
    </xf>
    <xf numFmtId="176" fontId="5" fillId="10" borderId="14" xfId="0" applyNumberFormat="1" applyFont="1" applyFill="1" applyBorder="1" applyAlignment="1">
      <alignment horizontal="center" vertical="center" wrapText="1"/>
    </xf>
    <xf numFmtId="181" fontId="6" fillId="10" borderId="11" xfId="0" applyNumberFormat="1" applyFont="1" applyFill="1" applyBorder="1" applyAlignment="1">
      <alignment horizontal="center" vertical="center" wrapText="1"/>
    </xf>
    <xf numFmtId="181" fontId="6" fillId="10" borderId="3" xfId="0" applyNumberFormat="1" applyFont="1" applyFill="1" applyBorder="1" applyAlignment="1">
      <alignment horizontal="center" vertical="center" wrapText="1"/>
    </xf>
    <xf numFmtId="176" fontId="7" fillId="10" borderId="5" xfId="0" applyNumberFormat="1" applyFont="1" applyFill="1" applyBorder="1" applyAlignment="1">
      <alignment horizontal="center" vertical="center" wrapText="1"/>
    </xf>
    <xf numFmtId="176" fontId="7" fillId="10" borderId="14" xfId="0" applyNumberFormat="1" applyFont="1" applyFill="1" applyBorder="1" applyAlignment="1">
      <alignment horizontal="center" vertical="center" wrapText="1"/>
    </xf>
    <xf numFmtId="181" fontId="7" fillId="10" borderId="11" xfId="0" applyNumberFormat="1" applyFont="1" applyFill="1" applyBorder="1" applyAlignment="1">
      <alignment horizontal="center" vertical="center" wrapText="1"/>
    </xf>
    <xf numFmtId="181" fontId="7" fillId="10" borderId="3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14" xfId="0" applyNumberFormat="1" applyFont="1" applyFill="1" applyBorder="1" applyAlignment="1">
      <alignment horizontal="center" vertical="center" wrapText="1"/>
    </xf>
    <xf numFmtId="181" fontId="6" fillId="2" borderId="11" xfId="0" applyNumberFormat="1" applyFont="1" applyFill="1" applyBorder="1" applyAlignment="1">
      <alignment horizontal="center" vertical="center" wrapText="1"/>
    </xf>
    <xf numFmtId="181" fontId="6" fillId="2" borderId="3" xfId="0" applyNumberFormat="1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182" fontId="2" fillId="10" borderId="6" xfId="0" applyNumberFormat="1" applyFont="1" applyFill="1" applyBorder="1" applyAlignment="1">
      <alignment horizontal="center" vertical="center" wrapText="1"/>
    </xf>
    <xf numFmtId="182" fontId="2" fillId="10" borderId="12" xfId="0" applyNumberFormat="1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182" fontId="4" fillId="10" borderId="13" xfId="0" applyNumberFormat="1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82" fontId="1" fillId="10" borderId="11" xfId="0" applyNumberFormat="1" applyFont="1" applyFill="1" applyBorder="1" applyAlignment="1">
      <alignment horizontal="center" vertical="center" wrapText="1"/>
    </xf>
    <xf numFmtId="182" fontId="1" fillId="10" borderId="14" xfId="0" applyNumberFormat="1" applyFont="1" applyFill="1" applyBorder="1" applyAlignment="1">
      <alignment horizontal="center" vertical="center" wrapText="1"/>
    </xf>
    <xf numFmtId="181" fontId="6" fillId="10" borderId="14" xfId="0" applyNumberFormat="1" applyFont="1" applyFill="1" applyBorder="1" applyAlignment="1">
      <alignment horizontal="center" vertical="center" wrapText="1"/>
    </xf>
    <xf numFmtId="182" fontId="1" fillId="10" borderId="11" xfId="0" applyNumberFormat="1" applyFont="1" applyFill="1" applyBorder="1" applyAlignment="1">
      <alignment vertical="center" wrapText="1"/>
    </xf>
    <xf numFmtId="182" fontId="1" fillId="10" borderId="14" xfId="0" applyNumberFormat="1" applyFont="1" applyFill="1" applyBorder="1" applyAlignment="1">
      <alignment vertical="center" wrapText="1"/>
    </xf>
    <xf numFmtId="176" fontId="1" fillId="10" borderId="11" xfId="0" applyNumberFormat="1" applyFont="1" applyFill="1" applyBorder="1" applyAlignment="1">
      <alignment vertical="center" wrapText="1"/>
    </xf>
    <xf numFmtId="176" fontId="1" fillId="10" borderId="14" xfId="0" applyNumberFormat="1" applyFont="1" applyFill="1" applyBorder="1" applyAlignment="1">
      <alignment vertical="center" wrapText="1"/>
    </xf>
    <xf numFmtId="181" fontId="7" fillId="10" borderId="14" xfId="0" applyNumberFormat="1" applyFont="1" applyFill="1" applyBorder="1" applyAlignment="1">
      <alignment horizontal="center" vertical="center" wrapText="1"/>
    </xf>
    <xf numFmtId="182" fontId="7" fillId="10" borderId="11" xfId="0" applyNumberFormat="1" applyFont="1" applyFill="1" applyBorder="1" applyAlignment="1">
      <alignment vertical="center" wrapText="1"/>
    </xf>
    <xf numFmtId="182" fontId="7" fillId="10" borderId="14" xfId="0" applyNumberFormat="1" applyFont="1" applyFill="1" applyBorder="1" applyAlignment="1">
      <alignment vertical="center" wrapText="1"/>
    </xf>
    <xf numFmtId="176" fontId="7" fillId="10" borderId="11" xfId="0" applyNumberFormat="1" applyFont="1" applyFill="1" applyBorder="1" applyAlignment="1">
      <alignment vertical="center" wrapText="1"/>
    </xf>
    <xf numFmtId="10" fontId="6" fillId="10" borderId="14" xfId="0" applyNumberFormat="1" applyFont="1" applyFill="1" applyBorder="1" applyAlignment="1">
      <alignment horizontal="center" vertical="center" wrapText="1"/>
    </xf>
    <xf numFmtId="181" fontId="6" fillId="2" borderId="14" xfId="0" applyNumberFormat="1" applyFont="1" applyFill="1" applyBorder="1" applyAlignment="1">
      <alignment horizontal="center" vertical="center" wrapText="1"/>
    </xf>
    <xf numFmtId="182" fontId="1" fillId="2" borderId="11" xfId="0" applyNumberFormat="1" applyFont="1" applyFill="1" applyBorder="1" applyAlignment="1">
      <alignment vertical="center" wrapText="1"/>
    </xf>
    <xf numFmtId="182" fontId="1" fillId="2" borderId="14" xfId="0" applyNumberFormat="1" applyFont="1" applyFill="1" applyBorder="1" applyAlignment="1">
      <alignment vertical="center" wrapText="1"/>
    </xf>
    <xf numFmtId="176" fontId="1" fillId="2" borderId="11" xfId="0" applyNumberFormat="1" applyFont="1" applyFill="1" applyBorder="1" applyAlignment="1">
      <alignment vertical="center" wrapText="1"/>
    </xf>
    <xf numFmtId="176" fontId="1" fillId="2" borderId="14" xfId="0" applyNumberFormat="1" applyFont="1" applyFill="1" applyBorder="1" applyAlignment="1">
      <alignment vertical="center" wrapText="1"/>
    </xf>
    <xf numFmtId="182" fontId="7" fillId="13" borderId="14" xfId="0" applyNumberFormat="1" applyFont="1" applyFill="1" applyBorder="1" applyAlignment="1">
      <alignment vertical="center" wrapText="1"/>
    </xf>
    <xf numFmtId="182" fontId="7" fillId="0" borderId="14" xfId="0" applyNumberFormat="1" applyFont="1" applyFill="1" applyBorder="1" applyAlignment="1">
      <alignment vertical="center" wrapText="1"/>
    </xf>
    <xf numFmtId="182" fontId="1" fillId="0" borderId="14" xfId="0" applyNumberFormat="1" applyFont="1" applyFill="1" applyBorder="1" applyAlignment="1">
      <alignment vertical="center" wrapText="1"/>
    </xf>
    <xf numFmtId="184" fontId="1" fillId="10" borderId="1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176" fontId="0" fillId="10" borderId="3" xfId="0" applyNumberFormat="1" applyFont="1" applyFill="1" applyBorder="1" applyAlignment="1">
      <alignment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1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10" borderId="3" xfId="0" applyNumberFormat="1" applyFont="1" applyFill="1" applyBorder="1" applyAlignment="1">
      <alignment vertical="center" wrapText="1"/>
    </xf>
    <xf numFmtId="58" fontId="7" fillId="2" borderId="3" xfId="0" applyNumberFormat="1" applyFont="1" applyFill="1" applyBorder="1" applyAlignment="1">
      <alignment horizontal="center" vertical="center" wrapText="1"/>
    </xf>
    <xf numFmtId="58" fontId="7" fillId="2" borderId="4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 wrapText="1"/>
    </xf>
    <xf numFmtId="176" fontId="7" fillId="2" borderId="3" xfId="0" applyNumberFormat="1" applyFont="1" applyFill="1" applyBorder="1" applyAlignment="1">
      <alignment vertical="center" wrapText="1"/>
    </xf>
    <xf numFmtId="177" fontId="7" fillId="2" borderId="3" xfId="0" applyNumberFormat="1" applyFont="1" applyFill="1" applyBorder="1" applyAlignment="1">
      <alignment vertical="center" wrapText="1"/>
    </xf>
    <xf numFmtId="180" fontId="7" fillId="2" borderId="3" xfId="0" applyNumberFormat="1" applyFont="1" applyFill="1" applyBorder="1" applyAlignment="1">
      <alignment vertical="center" wrapText="1"/>
    </xf>
    <xf numFmtId="0" fontId="7" fillId="2" borderId="3" xfId="0" applyNumberFormat="1" applyFont="1" applyFill="1" applyBorder="1" applyAlignment="1">
      <alignment vertical="center" wrapText="1"/>
    </xf>
    <xf numFmtId="176" fontId="7" fillId="2" borderId="14" xfId="0" applyNumberFormat="1" applyFont="1" applyFill="1" applyBorder="1" applyAlignment="1">
      <alignment vertical="center" wrapText="1"/>
    </xf>
    <xf numFmtId="181" fontId="7" fillId="2" borderId="11" xfId="0" applyNumberFormat="1" applyFont="1" applyFill="1" applyBorder="1" applyAlignment="1">
      <alignment horizontal="center" vertical="center" wrapText="1"/>
    </xf>
    <xf numFmtId="181" fontId="7" fillId="2" borderId="3" xfId="0" applyNumberFormat="1" applyFont="1" applyFill="1" applyBorder="1" applyAlignment="1">
      <alignment horizontal="center" vertical="center" wrapText="1"/>
    </xf>
    <xf numFmtId="181" fontId="7" fillId="2" borderId="14" xfId="0" applyNumberFormat="1" applyFont="1" applyFill="1" applyBorder="1" applyAlignment="1">
      <alignment horizontal="center" vertical="center" wrapText="1"/>
    </xf>
    <xf numFmtId="182" fontId="7" fillId="2" borderId="11" xfId="0" applyNumberFormat="1" applyFont="1" applyFill="1" applyBorder="1" applyAlignment="1">
      <alignment vertical="center" wrapText="1"/>
    </xf>
    <xf numFmtId="182" fontId="7" fillId="2" borderId="14" xfId="0" applyNumberFormat="1" applyFont="1" applyFill="1" applyBorder="1" applyAlignment="1">
      <alignment vertical="center" wrapText="1"/>
    </xf>
    <xf numFmtId="176" fontId="7" fillId="2" borderId="11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58" fontId="0" fillId="2" borderId="3" xfId="0" applyNumberFormat="1" applyFont="1" applyFill="1" applyBorder="1" applyAlignment="1">
      <alignment horizontal="center" vertical="center" wrapText="1"/>
    </xf>
    <xf numFmtId="58" fontId="0" fillId="2" borderId="4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center" wrapText="1"/>
    </xf>
    <xf numFmtId="176" fontId="0" fillId="2" borderId="3" xfId="0" applyNumberFormat="1" applyFont="1" applyFill="1" applyBorder="1" applyAlignment="1">
      <alignment vertical="center" wrapText="1"/>
    </xf>
    <xf numFmtId="177" fontId="0" fillId="2" borderId="3" xfId="0" applyNumberFormat="1" applyFont="1" applyFill="1" applyBorder="1" applyAlignment="1">
      <alignment vertical="center" wrapText="1"/>
    </xf>
    <xf numFmtId="180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>
      <alignment vertical="center" wrapText="1"/>
    </xf>
    <xf numFmtId="176" fontId="0" fillId="2" borderId="11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14" xfId="0" applyNumberFormat="1" applyFont="1" applyFill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 wrapText="1"/>
    </xf>
    <xf numFmtId="176" fontId="0" fillId="2" borderId="14" xfId="0" applyNumberFormat="1" applyFont="1" applyFill="1" applyBorder="1" applyAlignment="1">
      <alignment horizontal="center" vertical="center" wrapText="1"/>
    </xf>
    <xf numFmtId="10" fontId="1" fillId="10" borderId="14" xfId="0" applyNumberFormat="1" applyFont="1" applyFill="1" applyBorder="1" applyAlignment="1">
      <alignment vertical="center" wrapText="1"/>
    </xf>
    <xf numFmtId="0" fontId="1" fillId="2" borderId="11" xfId="0" applyNumberFormat="1" applyFont="1" applyFill="1" applyBorder="1" applyAlignment="1">
      <alignment vertical="center" wrapText="1"/>
    </xf>
    <xf numFmtId="58" fontId="1" fillId="13" borderId="3" xfId="0" applyNumberFormat="1" applyFont="1" applyFill="1" applyBorder="1" applyAlignment="1">
      <alignment horizontal="center" vertical="center" wrapText="1"/>
    </xf>
    <xf numFmtId="58" fontId="7" fillId="13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7" fillId="0" borderId="3" xfId="0" applyNumberFormat="1" applyFont="1" applyFill="1" applyBorder="1" applyAlignment="1">
      <alignment vertical="center" wrapText="1"/>
    </xf>
    <xf numFmtId="10" fontId="6" fillId="2" borderId="11" xfId="0" applyNumberFormat="1" applyFont="1" applyFill="1" applyBorder="1" applyAlignment="1">
      <alignment horizontal="center" vertical="center" wrapText="1"/>
    </xf>
    <xf numFmtId="182" fontId="0" fillId="10" borderId="14" xfId="0" applyNumberFormat="1" applyFont="1" applyFill="1" applyBorder="1" applyAlignment="1">
      <alignment vertical="center" wrapText="1"/>
    </xf>
    <xf numFmtId="176" fontId="0" fillId="10" borderId="11" xfId="0" applyNumberFormat="1" applyFont="1" applyFill="1" applyBorder="1" applyAlignment="1">
      <alignment vertical="center" wrapText="1"/>
    </xf>
    <xf numFmtId="176" fontId="10" fillId="10" borderId="3" xfId="0" applyNumberFormat="1" applyFont="1" applyFill="1" applyBorder="1" applyAlignment="1">
      <alignment vertical="center" wrapText="1"/>
    </xf>
    <xf numFmtId="177" fontId="1" fillId="10" borderId="0" xfId="0" applyNumberFormat="1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176" fontId="1" fillId="2" borderId="20" xfId="0" applyNumberFormat="1" applyFont="1" applyFill="1" applyBorder="1" applyAlignment="1">
      <alignment vertical="center" wrapText="1"/>
    </xf>
    <xf numFmtId="177" fontId="1" fillId="2" borderId="20" xfId="0" applyNumberFormat="1" applyFont="1" applyFill="1" applyBorder="1" applyAlignment="1">
      <alignment vertical="center" wrapText="1"/>
    </xf>
    <xf numFmtId="180" fontId="1" fillId="2" borderId="20" xfId="0" applyNumberFormat="1" applyFont="1" applyFill="1" applyBorder="1" applyAlignment="1">
      <alignment vertical="center" wrapText="1"/>
    </xf>
    <xf numFmtId="58" fontId="8" fillId="10" borderId="3" xfId="0" applyNumberFormat="1" applyFont="1" applyFill="1" applyBorder="1" applyAlignment="1">
      <alignment horizontal="center" vertical="center" wrapText="1"/>
    </xf>
    <xf numFmtId="176" fontId="8" fillId="10" borderId="8" xfId="0" applyNumberFormat="1" applyFont="1" applyFill="1" applyBorder="1" applyAlignment="1">
      <alignment horizontal="center" vertical="center" wrapText="1"/>
    </xf>
    <xf numFmtId="180" fontId="0" fillId="10" borderId="3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vertical="center" wrapText="1"/>
    </xf>
    <xf numFmtId="176" fontId="0" fillId="2" borderId="21" xfId="0" applyNumberFormat="1" applyFont="1" applyFill="1" applyBorder="1" applyAlignment="1">
      <alignment vertical="center" wrapText="1"/>
    </xf>
    <xf numFmtId="176" fontId="5" fillId="2" borderId="19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176" fontId="11" fillId="10" borderId="8" xfId="0" applyNumberFormat="1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176" fontId="5" fillId="2" borderId="22" xfId="0" applyNumberFormat="1" applyFont="1" applyFill="1" applyBorder="1" applyAlignment="1">
      <alignment horizontal="center" vertical="center" wrapText="1"/>
    </xf>
    <xf numFmtId="176" fontId="5" fillId="2" borderId="20" xfId="0" applyNumberFormat="1" applyFont="1" applyFill="1" applyBorder="1" applyAlignment="1">
      <alignment horizontal="center" vertical="center" wrapText="1"/>
    </xf>
    <xf numFmtId="176" fontId="5" fillId="2" borderId="21" xfId="0" applyNumberFormat="1" applyFont="1" applyFill="1" applyBorder="1" applyAlignment="1">
      <alignment horizontal="center" vertical="center" wrapText="1"/>
    </xf>
    <xf numFmtId="181" fontId="6" fillId="2" borderId="19" xfId="0" applyNumberFormat="1" applyFont="1" applyFill="1" applyBorder="1" applyAlignment="1">
      <alignment horizontal="center" vertical="center" wrapText="1"/>
    </xf>
    <xf numFmtId="181" fontId="6" fillId="2" borderId="20" xfId="0" applyNumberFormat="1" applyFont="1" applyFill="1" applyBorder="1" applyAlignment="1">
      <alignment horizontal="center" vertical="center" wrapText="1"/>
    </xf>
    <xf numFmtId="181" fontId="6" fillId="2" borderId="21" xfId="0" applyNumberFormat="1" applyFont="1" applyFill="1" applyBorder="1" applyAlignment="1">
      <alignment horizontal="center" vertical="center" wrapText="1"/>
    </xf>
    <xf numFmtId="182" fontId="1" fillId="2" borderId="19" xfId="0" applyNumberFormat="1" applyFont="1" applyFill="1" applyBorder="1" applyAlignment="1">
      <alignment vertical="center" wrapText="1"/>
    </xf>
    <xf numFmtId="182" fontId="1" fillId="2" borderId="21" xfId="0" applyNumberFormat="1" applyFont="1" applyFill="1" applyBorder="1" applyAlignment="1">
      <alignment vertical="center" wrapText="1"/>
    </xf>
    <xf numFmtId="176" fontId="1" fillId="2" borderId="19" xfId="0" applyNumberFormat="1" applyFont="1" applyFill="1" applyBorder="1" applyAlignment="1">
      <alignment vertical="center" wrapText="1"/>
    </xf>
    <xf numFmtId="176" fontId="1" fillId="2" borderId="21" xfId="0" applyNumberFormat="1" applyFont="1" applyFill="1" applyBorder="1" applyAlignment="1">
      <alignment vertical="center" wrapText="1"/>
    </xf>
    <xf numFmtId="182" fontId="8" fillId="10" borderId="8" xfId="0" applyNumberFormat="1" applyFont="1" applyFill="1" applyBorder="1" applyAlignment="1">
      <alignment vertical="center" wrapText="1"/>
    </xf>
    <xf numFmtId="176" fontId="8" fillId="10" borderId="8" xfId="0" applyNumberFormat="1" applyFont="1" applyFill="1" applyBorder="1" applyAlignment="1">
      <alignment vertical="center" wrapText="1"/>
    </xf>
    <xf numFmtId="182" fontId="1" fillId="10" borderId="3" xfId="0" applyNumberFormat="1" applyFont="1" applyFill="1" applyBorder="1" applyAlignment="1">
      <alignment vertical="center" wrapText="1"/>
    </xf>
    <xf numFmtId="182" fontId="0" fillId="10" borderId="3" xfId="0" applyNumberFormat="1" applyFont="1" applyFill="1" applyBorder="1" applyAlignment="1">
      <alignment vertical="center" wrapText="1"/>
    </xf>
    <xf numFmtId="182" fontId="7" fillId="10" borderId="3" xfId="0" applyNumberFormat="1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0" fillId="10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177" fontId="10" fillId="10" borderId="3" xfId="0" applyNumberFormat="1" applyFont="1" applyFill="1" applyBorder="1" applyAlignment="1">
      <alignment horizontal="center" vertical="center" wrapText="1"/>
    </xf>
    <xf numFmtId="58" fontId="10" fillId="0" borderId="3" xfId="0" applyNumberFormat="1" applyFont="1" applyFill="1" applyBorder="1" applyAlignment="1">
      <alignment horizontal="center" vertical="center" wrapText="1"/>
    </xf>
    <xf numFmtId="58" fontId="10" fillId="10" borderId="4" xfId="0" applyNumberFormat="1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vertical="center" wrapText="1"/>
    </xf>
    <xf numFmtId="180" fontId="10" fillId="10" borderId="3" xfId="0" applyNumberFormat="1" applyFont="1" applyFill="1" applyBorder="1" applyAlignment="1">
      <alignment vertical="center" wrapText="1"/>
    </xf>
    <xf numFmtId="0" fontId="10" fillId="10" borderId="11" xfId="0" applyFont="1" applyFill="1" applyBorder="1" applyAlignment="1">
      <alignment vertical="center" wrapText="1"/>
    </xf>
    <xf numFmtId="177" fontId="10" fillId="10" borderId="3" xfId="0" applyNumberFormat="1" applyFont="1" applyFill="1" applyBorder="1" applyAlignment="1">
      <alignment vertical="center" wrapText="1"/>
    </xf>
    <xf numFmtId="58" fontId="7" fillId="0" borderId="3" xfId="0" applyNumberFormat="1" applyFont="1" applyFill="1" applyBorder="1" applyAlignment="1">
      <alignment horizontal="center" vertical="center" wrapText="1"/>
    </xf>
    <xf numFmtId="1" fontId="10" fillId="10" borderId="11" xfId="0" applyNumberFormat="1" applyFont="1" applyFill="1" applyBorder="1" applyAlignment="1">
      <alignment vertical="center" wrapText="1"/>
    </xf>
    <xf numFmtId="1" fontId="10" fillId="10" borderId="3" xfId="0" applyNumberFormat="1" applyFont="1" applyFill="1" applyBorder="1" applyAlignment="1">
      <alignment vertical="center" wrapText="1"/>
    </xf>
    <xf numFmtId="1" fontId="7" fillId="10" borderId="11" xfId="0" applyNumberFormat="1" applyFont="1" applyFill="1" applyBorder="1" applyAlignment="1">
      <alignment vertical="center" wrapText="1"/>
    </xf>
    <xf numFmtId="1" fontId="7" fillId="10" borderId="3" xfId="0" applyNumberFormat="1" applyFont="1" applyFill="1" applyBorder="1" applyAlignment="1">
      <alignment vertical="center" wrapText="1"/>
    </xf>
    <xf numFmtId="176" fontId="10" fillId="0" borderId="3" xfId="0" applyNumberFormat="1" applyFont="1" applyFill="1" applyBorder="1" applyAlignment="1">
      <alignment vertical="center" wrapText="1"/>
    </xf>
    <xf numFmtId="58" fontId="10" fillId="2" borderId="3" xfId="0" applyNumberFormat="1" applyFont="1" applyFill="1" applyBorder="1" applyAlignment="1">
      <alignment horizontal="center" vertical="center" wrapText="1"/>
    </xf>
    <xf numFmtId="58" fontId="10" fillId="2" borderId="4" xfId="0" applyNumberFormat="1" applyFont="1" applyFill="1" applyBorder="1" applyAlignment="1">
      <alignment horizontal="center" vertical="center" wrapText="1"/>
    </xf>
    <xf numFmtId="1" fontId="10" fillId="2" borderId="11" xfId="0" applyNumberFormat="1" applyFont="1" applyFill="1" applyBorder="1" applyAlignment="1">
      <alignment vertical="center" wrapText="1"/>
    </xf>
    <xf numFmtId="1" fontId="10" fillId="2" borderId="3" xfId="0" applyNumberFormat="1" applyFont="1" applyFill="1" applyBorder="1" applyAlignment="1">
      <alignment vertical="center" wrapText="1"/>
    </xf>
    <xf numFmtId="180" fontId="10" fillId="2" borderId="3" xfId="0" applyNumberFormat="1" applyFont="1" applyFill="1" applyBorder="1" applyAlignment="1">
      <alignment vertical="center" wrapText="1"/>
    </xf>
    <xf numFmtId="58" fontId="10" fillId="13" borderId="3" xfId="0" applyNumberFormat="1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vertical="center" wrapText="1"/>
    </xf>
    <xf numFmtId="176" fontId="10" fillId="2" borderId="3" xfId="0" applyNumberFormat="1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177" fontId="10" fillId="2" borderId="3" xfId="0" applyNumberFormat="1" applyFont="1" applyFill="1" applyBorder="1" applyAlignment="1">
      <alignment vertical="center" wrapText="1"/>
    </xf>
    <xf numFmtId="58" fontId="10" fillId="10" borderId="3" xfId="0" applyNumberFormat="1" applyFont="1" applyFill="1" applyBorder="1" applyAlignment="1">
      <alignment horizontal="center" vertical="center" wrapText="1"/>
    </xf>
    <xf numFmtId="176" fontId="10" fillId="10" borderId="11" xfId="0" applyNumberFormat="1" applyFont="1" applyFill="1" applyBorder="1" applyAlignment="1">
      <alignment horizontal="center" vertical="center" wrapText="1"/>
    </xf>
    <xf numFmtId="180" fontId="10" fillId="10" borderId="3" xfId="0" applyNumberFormat="1" applyFont="1" applyFill="1" applyBorder="1" applyAlignment="1">
      <alignment horizontal="right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0" borderId="3" xfId="0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76" fontId="10" fillId="10" borderId="14" xfId="0" applyNumberFormat="1" applyFont="1" applyFill="1" applyBorder="1" applyAlignment="1">
      <alignment vertical="center" wrapText="1"/>
    </xf>
    <xf numFmtId="176" fontId="10" fillId="10" borderId="3" xfId="0" applyNumberFormat="1" applyFont="1" applyFill="1" applyBorder="1" applyAlignment="1">
      <alignment horizontal="center" vertical="center" wrapText="1"/>
    </xf>
    <xf numFmtId="1" fontId="7" fillId="10" borderId="14" xfId="0" applyNumberFormat="1" applyFont="1" applyFill="1" applyBorder="1" applyAlignment="1">
      <alignment horizontal="center" vertical="center" wrapText="1"/>
    </xf>
    <xf numFmtId="1" fontId="10" fillId="10" borderId="14" xfId="0" applyNumberFormat="1" applyFont="1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vertical="center" wrapText="1"/>
    </xf>
    <xf numFmtId="176" fontId="10" fillId="2" borderId="14" xfId="0" applyNumberFormat="1" applyFont="1" applyFill="1" applyBorder="1" applyAlignment="1">
      <alignment vertical="center" wrapText="1"/>
    </xf>
    <xf numFmtId="176" fontId="10" fillId="2" borderId="11" xfId="0" applyNumberFormat="1" applyFont="1" applyFill="1" applyBorder="1" applyAlignment="1">
      <alignment horizontal="center" vertical="center" wrapText="1"/>
    </xf>
    <xf numFmtId="176" fontId="10" fillId="2" borderId="3" xfId="0" applyNumberFormat="1" applyFont="1" applyFill="1" applyBorder="1" applyAlignment="1">
      <alignment horizontal="center" vertical="center" wrapText="1"/>
    </xf>
    <xf numFmtId="1" fontId="10" fillId="2" borderId="14" xfId="0" applyNumberFormat="1" applyFont="1" applyFill="1" applyBorder="1" applyAlignment="1">
      <alignment horizontal="center" vertical="center" wrapText="1"/>
    </xf>
    <xf numFmtId="0" fontId="10" fillId="10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176" fontId="10" fillId="10" borderId="5" xfId="0" applyNumberFormat="1" applyFont="1" applyFill="1" applyBorder="1" applyAlignment="1">
      <alignment horizontal="center" vertical="center" wrapText="1"/>
    </xf>
    <xf numFmtId="176" fontId="10" fillId="10" borderId="14" xfId="0" applyNumberFormat="1" applyFont="1" applyFill="1" applyBorder="1" applyAlignment="1">
      <alignment horizontal="center" vertical="center" wrapText="1"/>
    </xf>
    <xf numFmtId="181" fontId="10" fillId="10" borderId="11" xfId="0" applyNumberFormat="1" applyFont="1" applyFill="1" applyBorder="1" applyAlignment="1">
      <alignment horizontal="center" vertical="center" wrapText="1"/>
    </xf>
    <xf numFmtId="181" fontId="10" fillId="10" borderId="3" xfId="0" applyNumberFormat="1" applyFont="1" applyFill="1" applyBorder="1" applyAlignment="1">
      <alignment horizontal="center" vertical="center" wrapText="1"/>
    </xf>
    <xf numFmtId="176" fontId="10" fillId="2" borderId="5" xfId="0" applyNumberFormat="1" applyFont="1" applyFill="1" applyBorder="1" applyAlignment="1">
      <alignment horizontal="center" vertical="center" wrapText="1"/>
    </xf>
    <xf numFmtId="176" fontId="10" fillId="2" borderId="14" xfId="0" applyNumberFormat="1" applyFont="1" applyFill="1" applyBorder="1" applyAlignment="1">
      <alignment horizontal="center" vertical="center" wrapText="1"/>
    </xf>
    <xf numFmtId="181" fontId="10" fillId="2" borderId="11" xfId="0" applyNumberFormat="1" applyFont="1" applyFill="1" applyBorder="1" applyAlignment="1">
      <alignment horizontal="center" vertical="center" wrapText="1"/>
    </xf>
    <xf numFmtId="181" fontId="10" fillId="2" borderId="3" xfId="0" applyNumberFormat="1" applyFont="1" applyFill="1" applyBorder="1" applyAlignment="1">
      <alignment horizontal="center" vertical="center" wrapText="1"/>
    </xf>
    <xf numFmtId="182" fontId="10" fillId="10" borderId="11" xfId="0" applyNumberFormat="1" applyFont="1" applyFill="1" applyBorder="1" applyAlignment="1">
      <alignment horizontal="center" vertical="center" wrapText="1"/>
    </xf>
    <xf numFmtId="182" fontId="10" fillId="10" borderId="14" xfId="0" applyNumberFormat="1" applyFont="1" applyFill="1" applyBorder="1" applyAlignment="1">
      <alignment horizontal="center" vertical="center" wrapText="1"/>
    </xf>
    <xf numFmtId="181" fontId="10" fillId="10" borderId="14" xfId="0" applyNumberFormat="1" applyFont="1" applyFill="1" applyBorder="1" applyAlignment="1">
      <alignment horizontal="center" vertical="center" wrapText="1"/>
    </xf>
    <xf numFmtId="182" fontId="10" fillId="10" borderId="11" xfId="0" applyNumberFormat="1" applyFont="1" applyFill="1" applyBorder="1" applyAlignment="1">
      <alignment vertical="center" wrapText="1"/>
    </xf>
    <xf numFmtId="182" fontId="10" fillId="10" borderId="14" xfId="0" applyNumberFormat="1" applyFont="1" applyFill="1" applyBorder="1" applyAlignment="1">
      <alignment vertical="center" wrapText="1"/>
    </xf>
    <xf numFmtId="176" fontId="10" fillId="10" borderId="11" xfId="0" applyNumberFormat="1" applyFont="1" applyFill="1" applyBorder="1" applyAlignment="1">
      <alignment vertical="center" wrapText="1"/>
    </xf>
    <xf numFmtId="0" fontId="10" fillId="10" borderId="11" xfId="0" applyNumberFormat="1" applyFont="1" applyFill="1" applyBorder="1" applyAlignment="1">
      <alignment vertical="center" wrapText="1"/>
    </xf>
    <xf numFmtId="0" fontId="7" fillId="10" borderId="11" xfId="0" applyNumberFormat="1" applyFont="1" applyFill="1" applyBorder="1" applyAlignment="1">
      <alignment vertical="center" wrapText="1"/>
    </xf>
    <xf numFmtId="10" fontId="10" fillId="10" borderId="14" xfId="0" applyNumberFormat="1" applyFont="1" applyFill="1" applyBorder="1" applyAlignment="1">
      <alignment horizontal="center" vertical="center" wrapText="1"/>
    </xf>
    <xf numFmtId="181" fontId="10" fillId="2" borderId="14" xfId="0" applyNumberFormat="1" applyFont="1" applyFill="1" applyBorder="1" applyAlignment="1">
      <alignment horizontal="center" vertical="center" wrapText="1"/>
    </xf>
    <xf numFmtId="182" fontId="10" fillId="2" borderId="11" xfId="0" applyNumberFormat="1" applyFont="1" applyFill="1" applyBorder="1" applyAlignment="1">
      <alignment vertical="center" wrapText="1"/>
    </xf>
    <xf numFmtId="182" fontId="10" fillId="2" borderId="14" xfId="0" applyNumberFormat="1" applyFont="1" applyFill="1" applyBorder="1" applyAlignment="1">
      <alignment vertical="center" wrapText="1"/>
    </xf>
    <xf numFmtId="178" fontId="10" fillId="2" borderId="11" xfId="0" applyNumberFormat="1" applyFont="1" applyFill="1" applyBorder="1" applyAlignment="1">
      <alignment vertical="center" wrapText="1"/>
    </xf>
    <xf numFmtId="176" fontId="10" fillId="2" borderId="11" xfId="0" applyNumberFormat="1" applyFont="1" applyFill="1" applyBorder="1" applyAlignment="1">
      <alignment vertical="center" wrapText="1"/>
    </xf>
    <xf numFmtId="178" fontId="7" fillId="10" borderId="11" xfId="0" applyNumberFormat="1" applyFont="1" applyFill="1" applyBorder="1" applyAlignment="1">
      <alignment vertical="center" wrapText="1"/>
    </xf>
    <xf numFmtId="182" fontId="10" fillId="0" borderId="14" xfId="0" applyNumberFormat="1" applyFont="1" applyFill="1" applyBorder="1" applyAlignment="1">
      <alignment vertical="center" wrapText="1"/>
    </xf>
    <xf numFmtId="184" fontId="10" fillId="10" borderId="11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82" fontId="10" fillId="0" borderId="0" xfId="0" applyNumberFormat="1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58" fontId="10" fillId="0" borderId="4" xfId="0" applyNumberFormat="1" applyFont="1" applyFill="1" applyBorder="1" applyAlignment="1">
      <alignment horizontal="center" vertical="center" wrapText="1"/>
    </xf>
    <xf numFmtId="10" fontId="10" fillId="2" borderId="3" xfId="0" applyNumberFormat="1" applyFont="1" applyFill="1" applyBorder="1" applyAlignment="1">
      <alignment horizontal="center" vertical="center" wrapText="1"/>
    </xf>
    <xf numFmtId="10" fontId="10" fillId="2" borderId="14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Alignment="1">
      <alignment vertical="center" wrapText="1"/>
    </xf>
    <xf numFmtId="1" fontId="10" fillId="0" borderId="0" xfId="0" applyNumberFormat="1" applyFont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10" fontId="10" fillId="10" borderId="14" xfId="0" applyNumberFormat="1" applyFont="1" applyFill="1" applyBorder="1" applyAlignment="1">
      <alignment vertical="center" wrapText="1"/>
    </xf>
    <xf numFmtId="0" fontId="10" fillId="2" borderId="11" xfId="0" applyNumberFormat="1" applyFont="1" applyFill="1" applyBorder="1" applyAlignment="1">
      <alignment vertical="center" wrapText="1"/>
    </xf>
    <xf numFmtId="10" fontId="10" fillId="2" borderId="11" xfId="0" applyNumberFormat="1" applyFont="1" applyFill="1" applyBorder="1" applyAlignment="1">
      <alignment horizontal="center" vertical="center" wrapText="1"/>
    </xf>
    <xf numFmtId="177" fontId="10" fillId="10" borderId="0" xfId="0" applyNumberFormat="1" applyFont="1" applyFill="1" applyAlignment="1">
      <alignment vertical="center" wrapText="1"/>
    </xf>
    <xf numFmtId="177" fontId="10" fillId="10" borderId="0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 wrapText="1"/>
    </xf>
    <xf numFmtId="176" fontId="10" fillId="2" borderId="20" xfId="0" applyNumberFormat="1" applyFont="1" applyFill="1" applyBorder="1" applyAlignment="1">
      <alignment vertical="center" wrapText="1"/>
    </xf>
    <xf numFmtId="177" fontId="10" fillId="2" borderId="20" xfId="0" applyNumberFormat="1" applyFont="1" applyFill="1" applyBorder="1" applyAlignment="1">
      <alignment vertical="center" wrapText="1"/>
    </xf>
    <xf numFmtId="180" fontId="10" fillId="2" borderId="20" xfId="0" applyNumberFormat="1" applyFont="1" applyFill="1" applyBorder="1" applyAlignment="1">
      <alignment vertical="center" wrapText="1"/>
    </xf>
    <xf numFmtId="58" fontId="12" fillId="10" borderId="3" xfId="0" applyNumberFormat="1" applyFont="1" applyFill="1" applyBorder="1" applyAlignment="1">
      <alignment horizontal="center" vertical="center" wrapText="1"/>
    </xf>
    <xf numFmtId="176" fontId="12" fillId="10" borderId="8" xfId="0" applyNumberFormat="1" applyFont="1" applyFill="1" applyBorder="1" applyAlignment="1">
      <alignment horizontal="center" vertical="center" wrapText="1"/>
    </xf>
    <xf numFmtId="0" fontId="10" fillId="2" borderId="20" xfId="0" applyNumberFormat="1" applyFont="1" applyFill="1" applyBorder="1" applyAlignment="1">
      <alignment vertical="center" wrapText="1"/>
    </xf>
    <xf numFmtId="176" fontId="10" fillId="2" borderId="21" xfId="0" applyNumberFormat="1" applyFont="1" applyFill="1" applyBorder="1" applyAlignment="1">
      <alignment vertical="center" wrapText="1"/>
    </xf>
    <xf numFmtId="176" fontId="10" fillId="2" borderId="19" xfId="0" applyNumberFormat="1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176" fontId="10" fillId="2" borderId="22" xfId="0" applyNumberFormat="1" applyFont="1" applyFill="1" applyBorder="1" applyAlignment="1">
      <alignment horizontal="center" vertical="center" wrapText="1"/>
    </xf>
    <xf numFmtId="176" fontId="10" fillId="2" borderId="20" xfId="0" applyNumberFormat="1" applyFont="1" applyFill="1" applyBorder="1" applyAlignment="1">
      <alignment horizontal="center" vertical="center" wrapText="1"/>
    </xf>
    <xf numFmtId="176" fontId="10" fillId="2" borderId="21" xfId="0" applyNumberFormat="1" applyFont="1" applyFill="1" applyBorder="1" applyAlignment="1">
      <alignment horizontal="center" vertical="center" wrapText="1"/>
    </xf>
    <xf numFmtId="181" fontId="10" fillId="2" borderId="19" xfId="0" applyNumberFormat="1" applyFont="1" applyFill="1" applyBorder="1" applyAlignment="1">
      <alignment horizontal="center" vertical="center" wrapText="1"/>
    </xf>
    <xf numFmtId="181" fontId="10" fillId="2" borderId="20" xfId="0" applyNumberFormat="1" applyFont="1" applyFill="1" applyBorder="1" applyAlignment="1">
      <alignment horizontal="center" vertical="center" wrapText="1"/>
    </xf>
    <xf numFmtId="181" fontId="10" fillId="2" borderId="21" xfId="0" applyNumberFormat="1" applyFont="1" applyFill="1" applyBorder="1" applyAlignment="1">
      <alignment horizontal="center" vertical="center" wrapText="1"/>
    </xf>
    <xf numFmtId="182" fontId="10" fillId="2" borderId="19" xfId="0" applyNumberFormat="1" applyFont="1" applyFill="1" applyBorder="1" applyAlignment="1">
      <alignment vertical="center" wrapText="1"/>
    </xf>
    <xf numFmtId="182" fontId="10" fillId="2" borderId="21" xfId="0" applyNumberFormat="1" applyFont="1" applyFill="1" applyBorder="1" applyAlignment="1">
      <alignment vertical="center" wrapText="1"/>
    </xf>
    <xf numFmtId="176" fontId="10" fillId="2" borderId="19" xfId="0" applyNumberFormat="1" applyFont="1" applyFill="1" applyBorder="1" applyAlignment="1">
      <alignment vertical="center" wrapText="1"/>
    </xf>
    <xf numFmtId="182" fontId="12" fillId="10" borderId="8" xfId="0" applyNumberFormat="1" applyFont="1" applyFill="1" applyBorder="1" applyAlignment="1">
      <alignment vertical="center" wrapText="1"/>
    </xf>
    <xf numFmtId="176" fontId="12" fillId="10" borderId="8" xfId="0" applyNumberFormat="1" applyFont="1" applyFill="1" applyBorder="1" applyAlignment="1">
      <alignment vertical="center" wrapText="1"/>
    </xf>
    <xf numFmtId="182" fontId="10" fillId="10" borderId="3" xfId="0" applyNumberFormat="1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99FF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我厂日发电量与统调日用电量趋势</a:t>
            </a:r>
            <a:endParaRPr lang="zh-CN" altLang="en-US"/>
          </a:p>
        </c:rich>
      </c:tx>
      <c:layout>
        <c:manualLayout>
          <c:xMode val="edge"/>
          <c:yMode val="edge"/>
          <c:x val="0.413043912989137"/>
          <c:y val="0.04968944099378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"统调日用电量"</c:f>
              <c:strCache>
                <c:ptCount val="1"/>
                <c:pt idx="0">
                  <c:v>统调日用电量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64640"/>
        <c:axId val="241105352"/>
      </c:lineChart>
      <c:lineChart>
        <c:grouping val="standard"/>
        <c:varyColors val="0"/>
        <c:ser>
          <c:idx val="0"/>
          <c:order val="0"/>
          <c:tx>
            <c:strRef>
              <c:f>"我厂日发电量"</c:f>
              <c:strCache>
                <c:ptCount val="1"/>
                <c:pt idx="0">
                  <c:v>我厂日发电量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05736"/>
        <c:axId val="241461760"/>
      </c:lineChart>
      <c:catAx>
        <c:axId val="2418646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938757655294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m&quot;月&quot;d&quot;日&quot;yyyy&quot;年&quot;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1105352"/>
        <c:crosses val="autoZero"/>
        <c:auto val="1"/>
        <c:lblAlgn val="ctr"/>
        <c:lblOffset val="100"/>
        <c:noMultiLvlLbl val="1"/>
      </c:catAx>
      <c:valAx>
        <c:axId val="2411053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34990734853795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1864640"/>
        <c:crosses val="autoZero"/>
        <c:crossBetween val="between"/>
      </c:valAx>
      <c:catAx>
        <c:axId val="2411057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1461760"/>
        <c:crosses val="autoZero"/>
        <c:auto val="1"/>
        <c:lblAlgn val="ctr"/>
        <c:lblOffset val="100"/>
        <c:noMultiLvlLbl val="1"/>
      </c:catAx>
      <c:valAx>
        <c:axId val="241461760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11057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我厂日发电量与统调日用电量趋势</a:t>
            </a:r>
            <a:endParaRPr lang="zh-CN" altLang="en-US"/>
          </a:p>
        </c:rich>
      </c:tx>
      <c:layout>
        <c:manualLayout>
          <c:xMode val="edge"/>
          <c:yMode val="edge"/>
          <c:x val="0.413043912989137"/>
          <c:y val="0.04968944099378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"统调日用电量"</c:f>
              <c:strCache>
                <c:ptCount val="1"/>
                <c:pt idx="0">
                  <c:v>统调日用电量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71336"/>
        <c:axId val="243322208"/>
      </c:lineChart>
      <c:lineChart>
        <c:grouping val="standard"/>
        <c:varyColors val="0"/>
        <c:ser>
          <c:idx val="0"/>
          <c:order val="0"/>
          <c:tx>
            <c:strRef>
              <c:f>"我厂日发电量"</c:f>
              <c:strCache>
                <c:ptCount val="1"/>
                <c:pt idx="0">
                  <c:v>我厂日发电量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18208"/>
        <c:axId val="243314632"/>
      </c:lineChart>
      <c:catAx>
        <c:axId val="243371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938757655294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m&quot;月&quot;d&quot;日&quot;yyyy&quot;年&quot;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3322208"/>
        <c:crosses val="autoZero"/>
        <c:auto val="1"/>
        <c:lblAlgn val="ctr"/>
        <c:lblOffset val="100"/>
        <c:noMultiLvlLbl val="1"/>
      </c:catAx>
      <c:valAx>
        <c:axId val="243322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34990734853795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3371336"/>
        <c:crosses val="autoZero"/>
        <c:crossBetween val="between"/>
      </c:valAx>
      <c:catAx>
        <c:axId val="24161820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3314632"/>
        <c:crosses val="autoZero"/>
        <c:auto val="1"/>
        <c:lblAlgn val="ctr"/>
        <c:lblOffset val="100"/>
        <c:noMultiLvlLbl val="1"/>
      </c:catAx>
      <c:valAx>
        <c:axId val="243314632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16182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我厂日发电量与统调日用电量趋势</a:t>
            </a:r>
            <a:endParaRPr lang="zh-CN" altLang="en-US"/>
          </a:p>
        </c:rich>
      </c:tx>
      <c:layout>
        <c:manualLayout>
          <c:xMode val="edge"/>
          <c:yMode val="edge"/>
          <c:x val="0.413043912989137"/>
          <c:y val="0.04968944099378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"统调日用电量"</c:f>
              <c:strCache>
                <c:ptCount val="1"/>
                <c:pt idx="0">
                  <c:v>统调日用电量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20968"/>
        <c:axId val="289422768"/>
      </c:lineChart>
      <c:lineChart>
        <c:grouping val="standard"/>
        <c:varyColors val="0"/>
        <c:ser>
          <c:idx val="0"/>
          <c:order val="0"/>
          <c:tx>
            <c:strRef>
              <c:f>"我厂日发电量"</c:f>
              <c:strCache>
                <c:ptCount val="1"/>
                <c:pt idx="0">
                  <c:v>我厂日发电量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18816"/>
        <c:axId val="289865832"/>
      </c:lineChart>
      <c:catAx>
        <c:axId val="2433209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938757655294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m&quot;月&quot;d&quot;日&quot;yyyy&quot;年&quot;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422768"/>
        <c:crosses val="autoZero"/>
        <c:auto val="1"/>
        <c:lblAlgn val="ctr"/>
        <c:lblOffset val="100"/>
        <c:noMultiLvlLbl val="1"/>
      </c:catAx>
      <c:valAx>
        <c:axId val="2894227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34990734853795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3320968"/>
        <c:crosses val="autoZero"/>
        <c:crossBetween val="between"/>
      </c:valAx>
      <c:catAx>
        <c:axId val="29041881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5832"/>
        <c:crosses val="autoZero"/>
        <c:auto val="1"/>
        <c:lblAlgn val="ctr"/>
        <c:lblOffset val="100"/>
        <c:noMultiLvlLbl val="1"/>
      </c:catAx>
      <c:valAx>
        <c:axId val="289865832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904188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我厂日发电量与统调日用电量趋势</a:t>
            </a:r>
            <a:endParaRPr lang="zh-CN" altLang="en-US"/>
          </a:p>
        </c:rich>
      </c:tx>
      <c:layout>
        <c:manualLayout>
          <c:xMode val="edge"/>
          <c:yMode val="edge"/>
          <c:x val="0.413043912989137"/>
          <c:y val="0.04968944099378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"统调日用电量"</c:f>
              <c:strCache>
                <c:ptCount val="1"/>
                <c:pt idx="0">
                  <c:v>统调日用电量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66616"/>
        <c:axId val="289867008"/>
      </c:lineChart>
      <c:lineChart>
        <c:grouping val="standard"/>
        <c:varyColors val="0"/>
        <c:ser>
          <c:idx val="0"/>
          <c:order val="0"/>
          <c:tx>
            <c:strRef>
              <c:f>"我厂日发电量"</c:f>
              <c:strCache>
                <c:ptCount val="1"/>
                <c:pt idx="0">
                  <c:v>我厂日发电量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67400"/>
        <c:axId val="289867792"/>
      </c:lineChart>
      <c:catAx>
        <c:axId val="289866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938757655294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m&quot;月&quot;d&quot;日&quot;yyyy&quot;年&quot;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7008"/>
        <c:crosses val="autoZero"/>
        <c:auto val="1"/>
        <c:lblAlgn val="ctr"/>
        <c:lblOffset val="100"/>
        <c:noMultiLvlLbl val="1"/>
      </c:catAx>
      <c:valAx>
        <c:axId val="2898670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34990734853795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6616"/>
        <c:crosses val="autoZero"/>
        <c:crossBetween val="between"/>
      </c:valAx>
      <c:catAx>
        <c:axId val="2898674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7792"/>
        <c:crosses val="autoZero"/>
        <c:auto val="1"/>
        <c:lblAlgn val="ctr"/>
        <c:lblOffset val="100"/>
        <c:noMultiLvlLbl val="1"/>
      </c:catAx>
      <c:valAx>
        <c:axId val="289867792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74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我厂日发电量与统调日用电量趋势</a:t>
            </a:r>
            <a:endParaRPr lang="zh-CN" altLang="en-US"/>
          </a:p>
        </c:rich>
      </c:tx>
      <c:layout>
        <c:manualLayout>
          <c:xMode val="edge"/>
          <c:yMode val="edge"/>
          <c:x val="0.413043912989137"/>
          <c:y val="0.04968944099378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"统调日用电量"</c:f>
              <c:strCache>
                <c:ptCount val="1"/>
                <c:pt idx="0">
                  <c:v>统调日用电量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68576"/>
        <c:axId val="289868968"/>
      </c:lineChart>
      <c:lineChart>
        <c:grouping val="standard"/>
        <c:varyColors val="0"/>
        <c:ser>
          <c:idx val="0"/>
          <c:order val="0"/>
          <c:tx>
            <c:strRef>
              <c:f>"我厂日发电量"</c:f>
              <c:strCache>
                <c:ptCount val="1"/>
                <c:pt idx="0">
                  <c:v>我厂日发电量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69360"/>
        <c:axId val="289869752"/>
      </c:lineChart>
      <c:catAx>
        <c:axId val="2898685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938757655294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m&quot;月&quot;d&quot;日&quot;yyyy&quot;年&quot;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8968"/>
        <c:crosses val="autoZero"/>
        <c:auto val="1"/>
        <c:lblAlgn val="ctr"/>
        <c:lblOffset val="100"/>
        <c:noMultiLvlLbl val="1"/>
      </c:catAx>
      <c:valAx>
        <c:axId val="2898689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34990734853795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8576"/>
        <c:crosses val="autoZero"/>
        <c:crossBetween val="between"/>
      </c:valAx>
      <c:catAx>
        <c:axId val="2898693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9752"/>
        <c:crosses val="autoZero"/>
        <c:auto val="1"/>
        <c:lblAlgn val="ctr"/>
        <c:lblOffset val="100"/>
        <c:noMultiLvlLbl val="1"/>
      </c:catAx>
      <c:valAx>
        <c:axId val="289869752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69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我厂日发电量与统调日用电量趋势</a:t>
            </a:r>
            <a:endParaRPr lang="zh-CN" altLang="en-US"/>
          </a:p>
        </c:rich>
      </c:tx>
      <c:layout>
        <c:manualLayout>
          <c:xMode val="edge"/>
          <c:yMode val="edge"/>
          <c:x val="0.413043912989137"/>
          <c:y val="0.04968944099378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"统调日用电量"</c:f>
              <c:strCache>
                <c:ptCount val="1"/>
                <c:pt idx="0">
                  <c:v>统调日用电量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70536"/>
        <c:axId val="289870928"/>
      </c:lineChart>
      <c:lineChart>
        <c:grouping val="standard"/>
        <c:varyColors val="0"/>
        <c:ser>
          <c:idx val="0"/>
          <c:order val="0"/>
          <c:tx>
            <c:strRef>
              <c:f>"我厂日发电量"</c:f>
              <c:strCache>
                <c:ptCount val="1"/>
                <c:pt idx="0">
                  <c:v>我厂日发电量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71320"/>
        <c:axId val="289871712"/>
      </c:lineChart>
      <c:catAx>
        <c:axId val="2898705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938757655294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m&quot;月&quot;d&quot;日&quot;yyyy&quot;年&quot;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70928"/>
        <c:crosses val="autoZero"/>
        <c:auto val="1"/>
        <c:lblAlgn val="ctr"/>
        <c:lblOffset val="100"/>
        <c:noMultiLvlLbl val="1"/>
      </c:catAx>
      <c:valAx>
        <c:axId val="2898709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34990734853795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70536"/>
        <c:crosses val="autoZero"/>
        <c:crossBetween val="between"/>
      </c:valAx>
      <c:catAx>
        <c:axId val="28987132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71712"/>
        <c:crosses val="autoZero"/>
        <c:auto val="1"/>
        <c:lblAlgn val="ctr"/>
        <c:lblOffset val="100"/>
        <c:noMultiLvlLbl val="1"/>
      </c:catAx>
      <c:valAx>
        <c:axId val="289871712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713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我厂日发电量与统调日用电量趋势</a:t>
            </a:r>
            <a:endParaRPr lang="zh-CN" altLang="en-US"/>
          </a:p>
        </c:rich>
      </c:tx>
      <c:layout>
        <c:manualLayout>
          <c:xMode val="edge"/>
          <c:yMode val="edge"/>
          <c:x val="0.413043912989137"/>
          <c:y val="0.04968944099378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"统调日用电量"</c:f>
              <c:strCache>
                <c:ptCount val="1"/>
                <c:pt idx="0">
                  <c:v>统调日用电量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72496"/>
        <c:axId val="289872888"/>
      </c:lineChart>
      <c:lineChart>
        <c:grouping val="standard"/>
        <c:varyColors val="0"/>
        <c:ser>
          <c:idx val="0"/>
          <c:order val="0"/>
          <c:tx>
            <c:strRef>
              <c:f>"我厂日发电量"</c:f>
              <c:strCache>
                <c:ptCount val="1"/>
                <c:pt idx="0">
                  <c:v>我厂日发电量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73280"/>
        <c:axId val="292544424"/>
      </c:lineChart>
      <c:catAx>
        <c:axId val="2898724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938757655294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m&quot;月&quot;d&quot;日&quot;yyyy&quot;年&quot;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72888"/>
        <c:crosses val="autoZero"/>
        <c:auto val="1"/>
        <c:lblAlgn val="ctr"/>
        <c:lblOffset val="100"/>
        <c:noMultiLvlLbl val="1"/>
      </c:catAx>
      <c:valAx>
        <c:axId val="2898728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万千瓦时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34990734853795"/>
              <c:y val="0.17391304347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72496"/>
        <c:crosses val="autoZero"/>
        <c:crossBetween val="between"/>
      </c:valAx>
      <c:catAx>
        <c:axId val="28987328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92544424"/>
        <c:crosses val="autoZero"/>
        <c:auto val="1"/>
        <c:lblAlgn val="ctr"/>
        <c:lblOffset val="100"/>
        <c:noMultiLvlLbl val="1"/>
      </c:catAx>
      <c:valAx>
        <c:axId val="292544424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898732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</xdr:colOff>
      <xdr:row>35</xdr:row>
      <xdr:rowOff>0</xdr:rowOff>
    </xdr:from>
    <xdr:to>
      <xdr:col>25</xdr:col>
      <xdr:colOff>0</xdr:colOff>
      <xdr:row>35</xdr:row>
      <xdr:rowOff>0</xdr:rowOff>
    </xdr:to>
    <xdr:graphicFrame>
      <xdr:nvGraphicFramePr>
        <xdr:cNvPr id="2" name="Chart 14"/>
        <xdr:cNvGraphicFramePr/>
      </xdr:nvGraphicFramePr>
      <xdr:xfrm>
        <a:off x="1333500" y="6610350"/>
        <a:ext cx="167640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</xdr:colOff>
      <xdr:row>35</xdr:row>
      <xdr:rowOff>0</xdr:rowOff>
    </xdr:from>
    <xdr:to>
      <xdr:col>25</xdr:col>
      <xdr:colOff>0</xdr:colOff>
      <xdr:row>35</xdr:row>
      <xdr:rowOff>0</xdr:rowOff>
    </xdr:to>
    <xdr:graphicFrame>
      <xdr:nvGraphicFramePr>
        <xdr:cNvPr id="2" name="Chart 14"/>
        <xdr:cNvGraphicFramePr/>
      </xdr:nvGraphicFramePr>
      <xdr:xfrm>
        <a:off x="1333500" y="6610350"/>
        <a:ext cx="167640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</xdr:colOff>
      <xdr:row>35</xdr:row>
      <xdr:rowOff>0</xdr:rowOff>
    </xdr:from>
    <xdr:to>
      <xdr:col>25</xdr:col>
      <xdr:colOff>0</xdr:colOff>
      <xdr:row>35</xdr:row>
      <xdr:rowOff>0</xdr:rowOff>
    </xdr:to>
    <xdr:graphicFrame>
      <xdr:nvGraphicFramePr>
        <xdr:cNvPr id="2" name="Chart 14"/>
        <xdr:cNvGraphicFramePr/>
      </xdr:nvGraphicFramePr>
      <xdr:xfrm>
        <a:off x="1333500" y="6610350"/>
        <a:ext cx="165639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</xdr:colOff>
      <xdr:row>35</xdr:row>
      <xdr:rowOff>0</xdr:rowOff>
    </xdr:from>
    <xdr:to>
      <xdr:col>25</xdr:col>
      <xdr:colOff>0</xdr:colOff>
      <xdr:row>35</xdr:row>
      <xdr:rowOff>0</xdr:rowOff>
    </xdr:to>
    <xdr:graphicFrame>
      <xdr:nvGraphicFramePr>
        <xdr:cNvPr id="2" name="Chart 14"/>
        <xdr:cNvGraphicFramePr/>
      </xdr:nvGraphicFramePr>
      <xdr:xfrm>
        <a:off x="1333500" y="6791325"/>
        <a:ext cx="15782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</xdr:colOff>
      <xdr:row>35</xdr:row>
      <xdr:rowOff>0</xdr:rowOff>
    </xdr:from>
    <xdr:to>
      <xdr:col>24</xdr:col>
      <xdr:colOff>0</xdr:colOff>
      <xdr:row>35</xdr:row>
      <xdr:rowOff>0</xdr:rowOff>
    </xdr:to>
    <xdr:graphicFrame>
      <xdr:nvGraphicFramePr>
        <xdr:cNvPr id="2" name="Chart 14"/>
        <xdr:cNvGraphicFramePr/>
      </xdr:nvGraphicFramePr>
      <xdr:xfrm>
        <a:off x="1333500" y="6791325"/>
        <a:ext cx="15020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35</xdr:row>
      <xdr:rowOff>0</xdr:rowOff>
    </xdr:from>
    <xdr:to>
      <xdr:col>24</xdr:col>
      <xdr:colOff>0</xdr:colOff>
      <xdr:row>35</xdr:row>
      <xdr:rowOff>0</xdr:rowOff>
    </xdr:to>
    <xdr:graphicFrame>
      <xdr:nvGraphicFramePr>
        <xdr:cNvPr id="3" name="Chart 14"/>
        <xdr:cNvGraphicFramePr/>
      </xdr:nvGraphicFramePr>
      <xdr:xfrm>
        <a:off x="1333500" y="6791325"/>
        <a:ext cx="15020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</xdr:colOff>
      <xdr:row>35</xdr:row>
      <xdr:rowOff>0</xdr:rowOff>
    </xdr:from>
    <xdr:to>
      <xdr:col>18</xdr:col>
      <xdr:colOff>0</xdr:colOff>
      <xdr:row>35</xdr:row>
      <xdr:rowOff>0</xdr:rowOff>
    </xdr:to>
    <xdr:graphicFrame>
      <xdr:nvGraphicFramePr>
        <xdr:cNvPr id="2" name="Chart 14"/>
        <xdr:cNvGraphicFramePr/>
      </xdr:nvGraphicFramePr>
      <xdr:xfrm>
        <a:off x="1333500" y="6791325"/>
        <a:ext cx="11325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1&#2637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G.&#32479;&#35843;&#21457;&#30005;&#37327;\2018&#24180;\2018&#24180;11&#26376;30&#26085;&#32479;&#35843;&#21457;&#29992;&#30005;&#3732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30005;&#3732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2018&#24180;1&#26376;31&#26085;&#32479;&#35843;&#21457;&#29992;&#30005;&#3732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ho\Desktop\&#25253;&#34920;\F.&#32479;&#35843;&#21457;&#30005;&#37327;\2017&#24180;\2017&#24180;1&#26376;31&#26085;&#32479;&#35843;&#21457;&#29992;&#30005;&#3732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ho\Desktop\2017&#24180;5&#26376;31&#26085;&#32479;&#35843;&#21457;&#29992;&#30005;&#3732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F.&#32479;&#35843;&#21457;&#30005;&#37327;\2017&#24180;\2017&#24180;7&#26376;31&#26085;&#30465;&#32479;&#35843;&#21457;&#29992;&#30005;&#37327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103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2017&#24180;11&#26376;30&#26085;&#30465;&#32479;&#35843;&#21457;&#29992;&#30005;&#3732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30005;&#21147;&#30005;&#37327;&#26597;&#3581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12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2018&#24180;2&#26376;28&#26085;&#32479;&#35843;&#21457;&#29992;&#30005;&#37327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F.&#32479;&#35843;&#21457;&#30005;&#37327;\2017&#24180;\2017&#24180;12&#26376;31&#26085;&#30465;&#32479;&#35843;&#21457;&#29992;&#30005;&#37327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ho\Desktop\2016&#24180;&#30465;&#20844;&#21496;&#21457;&#29992;&#30005;&#27719;&#2463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H.&#32479;&#35843;&#21457;&#30005;&#37327;\2018&#24180;\2018&#24180;4&#26376;30&#26085;&#32479;&#35843;&#21457;&#29992;&#30005;&#3732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H.&#32479;&#35843;&#21457;&#30005;&#37327;\2018&#24180;\2018&#24180;5&#26376;31&#26085;&#32479;&#35843;&#21457;&#29992;&#30005;&#3732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H.&#32479;&#35843;&#21457;&#30005;&#37327;\2018&#24180;\2018&#24180;6&#26376;30&#26085;&#32479;&#35843;&#21457;&#29992;&#30005;&#3732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H.&#32479;&#35843;&#21457;&#30005;&#37327;\2018&#24180;\2018&#24180;7&#26376;31&#26085;&#32479;&#35843;&#21457;&#29992;&#30005;&#3732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G.&#32479;&#35843;&#21457;&#30005;&#37327;\2018&#24180;\2018&#24180;8&#26376;31&#26085;&#32479;&#35843;&#21457;&#29992;&#30005;&#3732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G.&#32479;&#35843;&#21457;&#30005;&#37327;\2018&#24180;\2018&#24180;9&#26376;30&#26085;&#32479;&#35843;&#21457;&#29992;&#30005;&#3732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My%20RTX%20Files\chenhaofei.zhj\&#25253;&#34920;&#29399;\G.&#32479;&#35843;&#21457;&#30005;&#37327;\2018&#24180;\2018&#24180;10&#26376;31&#26085;&#32479;&#35843;&#21457;&#29992;&#30005;&#3732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2、统调口径电量"/>
      <sheetName val="表5、统调电厂发电量统计"/>
      <sheetName val="表6、受电量统计"/>
    </sheetNames>
    <sheetDataSet>
      <sheetData sheetId="0">
        <row r="3">
          <cell r="D3">
            <v>3269642.36</v>
          </cell>
        </row>
        <row r="4">
          <cell r="D4">
            <v>1991105.36</v>
          </cell>
        </row>
        <row r="10">
          <cell r="D10">
            <v>1835074.72</v>
          </cell>
        </row>
        <row r="11">
          <cell r="D11">
            <v>1743002.76</v>
          </cell>
        </row>
        <row r="12">
          <cell r="D12">
            <v>92071.96</v>
          </cell>
        </row>
        <row r="13">
          <cell r="D13">
            <v>15803.72</v>
          </cell>
        </row>
        <row r="14">
          <cell r="D14">
            <v>1278537</v>
          </cell>
        </row>
        <row r="17">
          <cell r="D17">
            <v>119197.76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和燃气开机"/>
      <sheetName val="表11、调度口径装机容量统计"/>
    </sheetNames>
    <sheetDataSet>
      <sheetData sheetId="0"/>
      <sheetData sheetId="1">
        <row r="3">
          <cell r="D3">
            <v>3048724.49</v>
          </cell>
        </row>
        <row r="3">
          <cell r="I3">
            <v>35238127.4</v>
          </cell>
        </row>
        <row r="4">
          <cell r="I4">
            <v>21438289.6</v>
          </cell>
        </row>
        <row r="10">
          <cell r="D10">
            <v>1423477.66</v>
          </cell>
        </row>
        <row r="10">
          <cell r="I10">
            <v>20308551.88</v>
          </cell>
        </row>
        <row r="11">
          <cell r="I11">
            <v>18992008.66</v>
          </cell>
        </row>
        <row r="12">
          <cell r="I12">
            <v>1316543.22</v>
          </cell>
        </row>
        <row r="13">
          <cell r="I13">
            <v>206858.22</v>
          </cell>
        </row>
        <row r="14">
          <cell r="D14">
            <v>1388727</v>
          </cell>
        </row>
        <row r="14">
          <cell r="I14">
            <v>13799837.8</v>
          </cell>
        </row>
        <row r="17">
          <cell r="I17">
            <v>641604.94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和燃气开机"/>
      <sheetName val="表11、调度口径装机容量统计"/>
    </sheetNames>
    <sheetDataSet>
      <sheetData sheetId="0" refreshError="1"/>
      <sheetData sheetId="1" refreshError="1">
        <row r="3">
          <cell r="D3">
            <v>3557368.74</v>
          </cell>
        </row>
        <row r="3">
          <cell r="I3">
            <v>38795496.14</v>
          </cell>
        </row>
        <row r="4">
          <cell r="I4">
            <v>23780261.34</v>
          </cell>
        </row>
        <row r="10">
          <cell r="D10">
            <v>2119531.64</v>
          </cell>
        </row>
        <row r="10">
          <cell r="I10">
            <v>22428083.52</v>
          </cell>
        </row>
        <row r="11">
          <cell r="I11">
            <v>20923412.21</v>
          </cell>
        </row>
        <row r="12">
          <cell r="I12">
            <v>1504671.31</v>
          </cell>
        </row>
        <row r="13">
          <cell r="I13">
            <v>225160.47</v>
          </cell>
        </row>
        <row r="14">
          <cell r="D14">
            <v>1215397</v>
          </cell>
        </row>
        <row r="14">
          <cell r="I14">
            <v>15015234.8</v>
          </cell>
        </row>
        <row r="17">
          <cell r="I17">
            <v>826835.81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 refreshError="1"/>
      <sheetData sheetId="1" refreshError="1">
        <row r="3">
          <cell r="D3">
            <v>3558081.12</v>
          </cell>
        </row>
        <row r="4">
          <cell r="I4">
            <v>2386827.12</v>
          </cell>
        </row>
        <row r="10">
          <cell r="D10">
            <v>2339744.04</v>
          </cell>
        </row>
        <row r="11">
          <cell r="I11">
            <v>2260865.64</v>
          </cell>
        </row>
        <row r="12">
          <cell r="I12">
            <v>78878.4</v>
          </cell>
        </row>
        <row r="13">
          <cell r="I13">
            <v>9760.28</v>
          </cell>
        </row>
        <row r="14">
          <cell r="D14">
            <v>1171254</v>
          </cell>
        </row>
        <row r="15">
          <cell r="I15">
            <v>24503.58</v>
          </cell>
        </row>
        <row r="16">
          <cell r="I16">
            <v>2893.95</v>
          </cell>
        </row>
        <row r="17">
          <cell r="I17">
            <v>9925.27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日发电量查询"/>
    </sheetNames>
    <sheetDataSet>
      <sheetData sheetId="0" refreshError="1">
        <row r="2">
          <cell r="D2" t="str">
            <v>2294564.368</v>
          </cell>
        </row>
        <row r="10">
          <cell r="C10" t="str">
            <v>1537312.620</v>
          </cell>
        </row>
        <row r="15">
          <cell r="C15">
            <v>714986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日发电量查询"/>
    </sheetNames>
    <sheetDataSet>
      <sheetData sheetId="0" refreshError="1">
        <row r="11">
          <cell r="D11" t="str">
            <v>8192101.070</v>
          </cell>
        </row>
        <row r="12">
          <cell r="D12" t="str">
            <v>619376.750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日发电量查询"/>
    </sheetNames>
    <sheetDataSet>
      <sheetData sheetId="0">
        <row r="4">
          <cell r="D4" t="str">
            <v>13095678.948</v>
          </cell>
        </row>
        <row r="11">
          <cell r="D11" t="str">
            <v>11648319.920</v>
          </cell>
        </row>
        <row r="12">
          <cell r="D12" t="str">
            <v>946879.220</v>
          </cell>
        </row>
        <row r="14">
          <cell r="D14" t="str">
            <v>236796.680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日发电量查询"/>
    </sheetNames>
    <sheetDataSet>
      <sheetData sheetId="0" refreshError="1">
        <row r="2">
          <cell r="D2" t="str">
            <v>29674529.478</v>
          </cell>
        </row>
        <row r="4">
          <cell r="D4" t="str">
            <v>18949989.478</v>
          </cell>
        </row>
        <row r="10">
          <cell r="D10" t="str">
            <v>18243119.930</v>
          </cell>
        </row>
        <row r="11">
          <cell r="D11" t="str">
            <v>16963427.780</v>
          </cell>
        </row>
        <row r="12">
          <cell r="D12" t="str">
            <v>1279692.150</v>
          </cell>
        </row>
        <row r="14">
          <cell r="D14" t="str">
            <v>306134.920</v>
          </cell>
        </row>
        <row r="15">
          <cell r="D15">
            <v>10724540</v>
          </cell>
        </row>
        <row r="16">
          <cell r="D16" t="str">
            <v>233139.060</v>
          </cell>
        </row>
        <row r="124">
          <cell r="D124" t="str">
            <v>30118.520</v>
          </cell>
        </row>
        <row r="125">
          <cell r="D125" t="str">
            <v>137477.048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 refreshError="1"/>
      <sheetData sheetId="1" refreshError="1">
        <row r="3">
          <cell r="D3">
            <v>3037218.53</v>
          </cell>
        </row>
        <row r="4">
          <cell r="I4">
            <v>20855919.01</v>
          </cell>
        </row>
        <row r="10">
          <cell r="D10">
            <v>1853767.66</v>
          </cell>
        </row>
        <row r="13">
          <cell r="I13">
            <v>319475.21</v>
          </cell>
        </row>
        <row r="14">
          <cell r="D14">
            <v>1131289</v>
          </cell>
        </row>
        <row r="15">
          <cell r="I15">
            <v>256848.3</v>
          </cell>
        </row>
        <row r="22">
          <cell r="I22">
            <v>182707.91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/>
      <sheetData sheetId="1">
        <row r="3">
          <cell r="D3">
            <v>3380477.26</v>
          </cell>
        </row>
        <row r="3">
          <cell r="I3">
            <v>36092099.27</v>
          </cell>
        </row>
        <row r="10">
          <cell r="D10">
            <v>2122842.43</v>
          </cell>
        </row>
        <row r="10">
          <cell r="I10">
            <v>22219730.02</v>
          </cell>
        </row>
        <row r="11">
          <cell r="I11">
            <v>20759326</v>
          </cell>
        </row>
        <row r="12">
          <cell r="I12">
            <v>1460404.02</v>
          </cell>
        </row>
        <row r="14">
          <cell r="D14">
            <v>1202755</v>
          </cell>
        </row>
        <row r="14">
          <cell r="I14">
            <v>13058458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2">
          <cell r="C42">
            <v>42692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 refreshError="1"/>
      <sheetData sheetId="1" refreshError="1">
        <row r="3">
          <cell r="D3">
            <v>1851437.35</v>
          </cell>
        </row>
        <row r="3">
          <cell r="I3">
            <v>5409518.47</v>
          </cell>
        </row>
        <row r="4">
          <cell r="I4">
            <v>3560915.47</v>
          </cell>
        </row>
        <row r="10">
          <cell r="D10">
            <v>1127028.26</v>
          </cell>
        </row>
        <row r="10">
          <cell r="I10">
            <v>3466772.3</v>
          </cell>
        </row>
        <row r="11">
          <cell r="I11">
            <v>3333948.31</v>
          </cell>
        </row>
        <row r="12">
          <cell r="I12">
            <v>132823.99</v>
          </cell>
        </row>
        <row r="13">
          <cell r="I13">
            <v>18125.29</v>
          </cell>
        </row>
        <row r="14">
          <cell r="D14">
            <v>677349</v>
          </cell>
        </row>
        <row r="14">
          <cell r="I14">
            <v>1848603</v>
          </cell>
        </row>
        <row r="15">
          <cell r="I15">
            <v>43161.64</v>
          </cell>
        </row>
        <row r="16">
          <cell r="I16">
            <v>7013.17</v>
          </cell>
        </row>
        <row r="17">
          <cell r="I17">
            <v>25843.07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/>
      <sheetData sheetId="1">
        <row r="4">
          <cell r="I4">
            <v>23033641.27</v>
          </cell>
        </row>
        <row r="13">
          <cell r="I13">
            <v>331714.95</v>
          </cell>
        </row>
        <row r="15">
          <cell r="I15">
            <v>281395.56</v>
          </cell>
        </row>
        <row r="16">
          <cell r="I16">
            <v>37950.49</v>
          </cell>
        </row>
        <row r="17">
          <cell r="I17">
            <v>162850.25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曲线"/>
      <sheetName val="2016"/>
      <sheetName val="2015"/>
      <sheetName val="2014"/>
      <sheetName val="Sheet1"/>
    </sheetNames>
    <sheetDataSet>
      <sheetData sheetId="0"/>
      <sheetData sheetId="1"/>
      <sheetData sheetId="2"/>
      <sheetData sheetId="3">
        <row r="5">
          <cell r="M5">
            <v>53508</v>
          </cell>
          <cell r="N5">
            <v>16795</v>
          </cell>
          <cell r="O5">
            <v>71301</v>
          </cell>
          <cell r="P5">
            <v>53508</v>
          </cell>
          <cell r="Q5">
            <v>16795</v>
          </cell>
          <cell r="R5">
            <v>71301</v>
          </cell>
        </row>
        <row r="6">
          <cell r="M6">
            <v>118017</v>
          </cell>
          <cell r="N6">
            <v>35047</v>
          </cell>
          <cell r="O6">
            <v>155068</v>
          </cell>
          <cell r="P6">
            <v>118017</v>
          </cell>
          <cell r="Q6">
            <v>35047</v>
          </cell>
          <cell r="R6">
            <v>155068</v>
          </cell>
        </row>
        <row r="7">
          <cell r="M7">
            <v>182015</v>
          </cell>
          <cell r="N7">
            <v>56270</v>
          </cell>
          <cell r="O7">
            <v>241276</v>
          </cell>
          <cell r="P7">
            <v>182015</v>
          </cell>
          <cell r="Q7">
            <v>56270</v>
          </cell>
          <cell r="R7">
            <v>241276</v>
          </cell>
        </row>
        <row r="8">
          <cell r="M8">
            <v>248223</v>
          </cell>
          <cell r="N8">
            <v>76391</v>
          </cell>
          <cell r="O8">
            <v>328554</v>
          </cell>
          <cell r="P8">
            <v>248223</v>
          </cell>
          <cell r="Q8">
            <v>76391</v>
          </cell>
          <cell r="R8">
            <v>328554</v>
          </cell>
        </row>
        <row r="9">
          <cell r="M9">
            <v>314248</v>
          </cell>
          <cell r="N9">
            <v>95464</v>
          </cell>
          <cell r="O9">
            <v>414692</v>
          </cell>
          <cell r="P9">
            <v>314248</v>
          </cell>
          <cell r="Q9">
            <v>95464</v>
          </cell>
          <cell r="R9">
            <v>414692</v>
          </cell>
        </row>
        <row r="10">
          <cell r="M10">
            <v>380939</v>
          </cell>
          <cell r="N10">
            <v>116030</v>
          </cell>
          <cell r="O10">
            <v>503165</v>
          </cell>
          <cell r="P10">
            <v>380939</v>
          </cell>
          <cell r="Q10">
            <v>116030</v>
          </cell>
          <cell r="R10">
            <v>503165</v>
          </cell>
        </row>
        <row r="11">
          <cell r="M11">
            <v>446609</v>
          </cell>
          <cell r="N11">
            <v>138574</v>
          </cell>
          <cell r="O11">
            <v>592322</v>
          </cell>
          <cell r="P11">
            <v>446609</v>
          </cell>
          <cell r="Q11">
            <v>138574</v>
          </cell>
          <cell r="R11">
            <v>592322</v>
          </cell>
        </row>
        <row r="12">
          <cell r="M12">
            <v>512064</v>
          </cell>
          <cell r="N12">
            <v>160712</v>
          </cell>
          <cell r="O12">
            <v>680788</v>
          </cell>
          <cell r="P12">
            <v>512064</v>
          </cell>
          <cell r="Q12">
            <v>160712</v>
          </cell>
          <cell r="R12">
            <v>680788</v>
          </cell>
        </row>
        <row r="13">
          <cell r="M13">
            <v>578725</v>
          </cell>
          <cell r="N13">
            <v>183168</v>
          </cell>
          <cell r="O13">
            <v>770795</v>
          </cell>
          <cell r="P13">
            <v>578725</v>
          </cell>
          <cell r="Q13">
            <v>183168</v>
          </cell>
          <cell r="R13">
            <v>770795</v>
          </cell>
        </row>
        <row r="14">
          <cell r="M14">
            <v>645172</v>
          </cell>
          <cell r="N14">
            <v>205615</v>
          </cell>
          <cell r="O14">
            <v>860582</v>
          </cell>
          <cell r="P14">
            <v>645172</v>
          </cell>
          <cell r="Q14">
            <v>205615</v>
          </cell>
          <cell r="R14">
            <v>860582</v>
          </cell>
        </row>
        <row r="15">
          <cell r="M15">
            <v>710732</v>
          </cell>
          <cell r="N15">
            <v>227838</v>
          </cell>
          <cell r="O15">
            <v>949257</v>
          </cell>
          <cell r="P15">
            <v>710732</v>
          </cell>
          <cell r="Q15">
            <v>227838</v>
          </cell>
          <cell r="R15">
            <v>949257</v>
          </cell>
        </row>
        <row r="16">
          <cell r="M16">
            <v>772970</v>
          </cell>
          <cell r="N16">
            <v>248893</v>
          </cell>
          <cell r="O16">
            <v>1033628</v>
          </cell>
          <cell r="P16">
            <v>772970</v>
          </cell>
          <cell r="Q16">
            <v>248893</v>
          </cell>
          <cell r="R16">
            <v>1033628</v>
          </cell>
        </row>
        <row r="17">
          <cell r="M17">
            <v>836242</v>
          </cell>
          <cell r="N17">
            <v>271654</v>
          </cell>
          <cell r="O17">
            <v>1120726</v>
          </cell>
          <cell r="P17">
            <v>836242</v>
          </cell>
          <cell r="Q17">
            <v>271654</v>
          </cell>
          <cell r="R17">
            <v>1120726</v>
          </cell>
        </row>
        <row r="18">
          <cell r="M18">
            <v>898675</v>
          </cell>
          <cell r="N18">
            <v>293786</v>
          </cell>
          <cell r="O18">
            <v>1206500</v>
          </cell>
          <cell r="P18">
            <v>898675</v>
          </cell>
          <cell r="Q18">
            <v>293786</v>
          </cell>
          <cell r="R18">
            <v>1206500</v>
          </cell>
        </row>
        <row r="19">
          <cell r="M19">
            <v>959239</v>
          </cell>
          <cell r="N19">
            <v>316195</v>
          </cell>
          <cell r="O19">
            <v>1290740</v>
          </cell>
          <cell r="P19">
            <v>959239</v>
          </cell>
          <cell r="Q19">
            <v>316195</v>
          </cell>
          <cell r="R19">
            <v>1290740</v>
          </cell>
        </row>
        <row r="20">
          <cell r="M20">
            <v>1017663</v>
          </cell>
          <cell r="N20">
            <v>338084</v>
          </cell>
          <cell r="O20">
            <v>1372095</v>
          </cell>
          <cell r="P20">
            <v>1017663</v>
          </cell>
          <cell r="Q20">
            <v>338084</v>
          </cell>
          <cell r="R20">
            <v>1372095</v>
          </cell>
        </row>
        <row r="21">
          <cell r="M21">
            <v>1072385</v>
          </cell>
          <cell r="N21">
            <v>360174</v>
          </cell>
          <cell r="O21">
            <v>1449823</v>
          </cell>
          <cell r="P21">
            <v>1072385</v>
          </cell>
          <cell r="Q21">
            <v>360174</v>
          </cell>
          <cell r="R21">
            <v>1449823</v>
          </cell>
        </row>
        <row r="22">
          <cell r="M22">
            <v>1123943</v>
          </cell>
          <cell r="N22">
            <v>382474</v>
          </cell>
          <cell r="O22">
            <v>1524716</v>
          </cell>
          <cell r="P22">
            <v>1123943</v>
          </cell>
          <cell r="Q22">
            <v>382474</v>
          </cell>
          <cell r="R22">
            <v>1524716</v>
          </cell>
        </row>
        <row r="23">
          <cell r="M23">
            <v>1170884</v>
          </cell>
          <cell r="N23">
            <v>404365</v>
          </cell>
          <cell r="O23">
            <v>1594606</v>
          </cell>
          <cell r="P23">
            <v>1170884</v>
          </cell>
          <cell r="Q23">
            <v>404365</v>
          </cell>
          <cell r="R23">
            <v>1594606</v>
          </cell>
        </row>
        <row r="24">
          <cell r="M24">
            <v>1215690</v>
          </cell>
          <cell r="N24">
            <v>426635</v>
          </cell>
          <cell r="O24">
            <v>1662618</v>
          </cell>
          <cell r="P24">
            <v>1215690</v>
          </cell>
          <cell r="Q24">
            <v>426635</v>
          </cell>
          <cell r="R24">
            <v>1662618</v>
          </cell>
        </row>
        <row r="25">
          <cell r="M25">
            <v>1257711</v>
          </cell>
          <cell r="N25">
            <v>448719</v>
          </cell>
          <cell r="O25">
            <v>1727955</v>
          </cell>
          <cell r="P25">
            <v>1257711</v>
          </cell>
          <cell r="Q25">
            <v>448719</v>
          </cell>
          <cell r="R25">
            <v>1727955</v>
          </cell>
        </row>
        <row r="26">
          <cell r="M26">
            <v>1300107</v>
          </cell>
          <cell r="N26">
            <v>467799</v>
          </cell>
          <cell r="O26">
            <v>1790638</v>
          </cell>
          <cell r="P26">
            <v>1300107</v>
          </cell>
          <cell r="Q26">
            <v>467799</v>
          </cell>
          <cell r="R26">
            <v>1790638</v>
          </cell>
        </row>
        <row r="27">
          <cell r="M27">
            <v>1338389</v>
          </cell>
          <cell r="N27">
            <v>486546</v>
          </cell>
          <cell r="O27">
            <v>1848747</v>
          </cell>
          <cell r="P27">
            <v>1338389</v>
          </cell>
          <cell r="Q27">
            <v>486546</v>
          </cell>
          <cell r="R27">
            <v>1848747</v>
          </cell>
        </row>
        <row r="28">
          <cell r="M28">
            <v>1370789</v>
          </cell>
          <cell r="N28">
            <v>504769</v>
          </cell>
          <cell r="O28">
            <v>1900460</v>
          </cell>
          <cell r="P28">
            <v>1370789</v>
          </cell>
          <cell r="Q28">
            <v>504769</v>
          </cell>
          <cell r="R28">
            <v>1900460</v>
          </cell>
        </row>
        <row r="29">
          <cell r="M29">
            <v>1397549</v>
          </cell>
          <cell r="N29">
            <v>521462</v>
          </cell>
          <cell r="O29">
            <v>1945872</v>
          </cell>
          <cell r="P29">
            <v>1397549</v>
          </cell>
          <cell r="Q29">
            <v>521462</v>
          </cell>
          <cell r="R29">
            <v>1945872</v>
          </cell>
        </row>
        <row r="30">
          <cell r="M30">
            <v>1422201</v>
          </cell>
          <cell r="N30">
            <v>538429</v>
          </cell>
          <cell r="O30">
            <v>1988370</v>
          </cell>
          <cell r="P30">
            <v>1422201</v>
          </cell>
          <cell r="Q30">
            <v>538429</v>
          </cell>
          <cell r="R30">
            <v>1988370</v>
          </cell>
        </row>
        <row r="31">
          <cell r="M31">
            <v>1444305</v>
          </cell>
          <cell r="N31">
            <v>555293</v>
          </cell>
          <cell r="O31">
            <v>2028289</v>
          </cell>
          <cell r="P31">
            <v>1444305</v>
          </cell>
          <cell r="Q31">
            <v>555293</v>
          </cell>
          <cell r="R31">
            <v>2028289</v>
          </cell>
        </row>
        <row r="32">
          <cell r="M32">
            <v>1464770</v>
          </cell>
          <cell r="N32">
            <v>571135</v>
          </cell>
          <cell r="O32">
            <v>2065496</v>
          </cell>
          <cell r="P32">
            <v>1464770</v>
          </cell>
          <cell r="Q32">
            <v>571135</v>
          </cell>
          <cell r="R32">
            <v>2065496</v>
          </cell>
        </row>
        <row r="33">
          <cell r="M33">
            <v>1484146</v>
          </cell>
          <cell r="N33">
            <v>585349</v>
          </cell>
          <cell r="O33">
            <v>2099934</v>
          </cell>
          <cell r="P33">
            <v>1484146</v>
          </cell>
          <cell r="Q33">
            <v>585349</v>
          </cell>
          <cell r="R33">
            <v>2099934</v>
          </cell>
        </row>
        <row r="34">
          <cell r="M34">
            <v>1502306</v>
          </cell>
          <cell r="N34">
            <v>599607.5</v>
          </cell>
          <cell r="O34">
            <v>2132116</v>
          </cell>
          <cell r="P34">
            <v>1502306</v>
          </cell>
          <cell r="Q34">
            <v>599607.5</v>
          </cell>
          <cell r="R34">
            <v>2132116</v>
          </cell>
        </row>
        <row r="35">
          <cell r="M35">
            <v>1518159</v>
          </cell>
          <cell r="N35">
            <v>611552.5</v>
          </cell>
          <cell r="O35">
            <v>2160767</v>
          </cell>
          <cell r="P35">
            <v>1518159</v>
          </cell>
          <cell r="Q35">
            <v>611552.5</v>
          </cell>
          <cell r="R35">
            <v>2160767</v>
          </cell>
        </row>
        <row r="36">
          <cell r="M36">
            <v>15318</v>
          </cell>
          <cell r="N36">
            <v>11730</v>
          </cell>
          <cell r="O36">
            <v>27871</v>
          </cell>
          <cell r="P36">
            <v>1533477</v>
          </cell>
          <cell r="Q36">
            <v>623282.5</v>
          </cell>
          <cell r="R36">
            <v>2188638</v>
          </cell>
        </row>
        <row r="37">
          <cell r="M37">
            <v>31375</v>
          </cell>
          <cell r="N37">
            <v>23389</v>
          </cell>
          <cell r="O37">
            <v>56362</v>
          </cell>
          <cell r="P37">
            <v>1549534</v>
          </cell>
          <cell r="Q37">
            <v>634941.5</v>
          </cell>
          <cell r="R37">
            <v>2217129</v>
          </cell>
        </row>
        <row r="38">
          <cell r="M38">
            <v>47934</v>
          </cell>
          <cell r="N38">
            <v>36055</v>
          </cell>
          <cell r="O38">
            <v>86541</v>
          </cell>
          <cell r="P38">
            <v>1566093</v>
          </cell>
          <cell r="Q38">
            <v>647607.5</v>
          </cell>
          <cell r="R38">
            <v>2247308</v>
          </cell>
        </row>
        <row r="39">
          <cell r="M39">
            <v>66212</v>
          </cell>
          <cell r="N39">
            <v>49395</v>
          </cell>
          <cell r="O39">
            <v>119238</v>
          </cell>
          <cell r="P39">
            <v>1584371</v>
          </cell>
          <cell r="Q39">
            <v>660947.5</v>
          </cell>
          <cell r="R39">
            <v>2280005</v>
          </cell>
        </row>
        <row r="40">
          <cell r="M40">
            <v>88183</v>
          </cell>
          <cell r="N40">
            <v>61566</v>
          </cell>
          <cell r="O40">
            <v>154464</v>
          </cell>
          <cell r="P40">
            <v>1606342</v>
          </cell>
          <cell r="Q40">
            <v>673118.5</v>
          </cell>
          <cell r="R40">
            <v>2315231</v>
          </cell>
        </row>
        <row r="41">
          <cell r="M41">
            <v>111283</v>
          </cell>
          <cell r="N41">
            <v>74226</v>
          </cell>
          <cell r="O41">
            <v>191106</v>
          </cell>
          <cell r="P41">
            <v>1629442</v>
          </cell>
          <cell r="Q41">
            <v>685778.5</v>
          </cell>
          <cell r="R41">
            <v>2351873</v>
          </cell>
        </row>
        <row r="42">
          <cell r="M42">
            <v>137560</v>
          </cell>
          <cell r="N42">
            <v>88526</v>
          </cell>
          <cell r="O42">
            <v>233073</v>
          </cell>
          <cell r="P42">
            <v>1655719</v>
          </cell>
          <cell r="Q42">
            <v>700078.5</v>
          </cell>
          <cell r="R42">
            <v>2393840</v>
          </cell>
        </row>
        <row r="43">
          <cell r="M43">
            <v>171039</v>
          </cell>
          <cell r="N43">
            <v>100987</v>
          </cell>
          <cell r="O43">
            <v>280918</v>
          </cell>
          <cell r="P43">
            <v>1689198</v>
          </cell>
          <cell r="Q43">
            <v>712539.5</v>
          </cell>
          <cell r="R43">
            <v>2441685</v>
          </cell>
        </row>
        <row r="44">
          <cell r="M44">
            <v>210462</v>
          </cell>
          <cell r="N44">
            <v>114058</v>
          </cell>
          <cell r="O44">
            <v>334316</v>
          </cell>
          <cell r="P44">
            <v>1728621</v>
          </cell>
          <cell r="Q44">
            <v>725610.5</v>
          </cell>
          <cell r="R44">
            <v>2495083</v>
          </cell>
        </row>
        <row r="45">
          <cell r="M45">
            <v>255782.5</v>
          </cell>
          <cell r="N45">
            <v>127600</v>
          </cell>
          <cell r="O45">
            <v>394477</v>
          </cell>
          <cell r="P45">
            <v>1773941.5</v>
          </cell>
          <cell r="Q45">
            <v>739152.5</v>
          </cell>
          <cell r="R45">
            <v>2555244</v>
          </cell>
        </row>
        <row r="46">
          <cell r="M46">
            <v>303536.5</v>
          </cell>
          <cell r="N46">
            <v>143366</v>
          </cell>
          <cell r="O46">
            <v>458864</v>
          </cell>
          <cell r="P46">
            <v>1821695.5</v>
          </cell>
          <cell r="Q46">
            <v>754918.5</v>
          </cell>
          <cell r="R46">
            <v>2619631</v>
          </cell>
        </row>
        <row r="47">
          <cell r="M47">
            <v>355077.5</v>
          </cell>
          <cell r="N47">
            <v>159932</v>
          </cell>
          <cell r="O47">
            <v>528306</v>
          </cell>
          <cell r="P47">
            <v>1873236.5</v>
          </cell>
          <cell r="Q47">
            <v>771484.5</v>
          </cell>
          <cell r="R47">
            <v>2689073</v>
          </cell>
        </row>
        <row r="48">
          <cell r="M48">
            <v>408621.5</v>
          </cell>
          <cell r="N48">
            <v>176654</v>
          </cell>
          <cell r="O48">
            <v>599609</v>
          </cell>
          <cell r="P48">
            <v>1926780.5</v>
          </cell>
          <cell r="Q48">
            <v>788206.5</v>
          </cell>
          <cell r="R48">
            <v>2760376</v>
          </cell>
        </row>
        <row r="49">
          <cell r="M49">
            <v>458563.5</v>
          </cell>
          <cell r="N49">
            <v>194934</v>
          </cell>
          <cell r="O49">
            <v>668760</v>
          </cell>
          <cell r="P49">
            <v>1976722.5</v>
          </cell>
          <cell r="Q49">
            <v>806486.5</v>
          </cell>
          <cell r="R49">
            <v>2829527</v>
          </cell>
        </row>
        <row r="50">
          <cell r="M50">
            <v>510840.5</v>
          </cell>
          <cell r="N50">
            <v>211481</v>
          </cell>
          <cell r="O50">
            <v>738462</v>
          </cell>
          <cell r="P50">
            <v>2028999.5</v>
          </cell>
          <cell r="Q50">
            <v>823033.5</v>
          </cell>
          <cell r="R50">
            <v>2899229</v>
          </cell>
        </row>
        <row r="51">
          <cell r="M51">
            <v>564472.5</v>
          </cell>
          <cell r="N51">
            <v>227536</v>
          </cell>
          <cell r="O51">
            <v>809000</v>
          </cell>
          <cell r="P51">
            <v>2082631.5</v>
          </cell>
          <cell r="Q51">
            <v>839088.5</v>
          </cell>
          <cell r="R51">
            <v>2969767</v>
          </cell>
        </row>
        <row r="52">
          <cell r="M52">
            <v>621904.5</v>
          </cell>
          <cell r="N52">
            <v>242750</v>
          </cell>
          <cell r="O52">
            <v>882668</v>
          </cell>
          <cell r="P52">
            <v>2140063.5</v>
          </cell>
          <cell r="Q52">
            <v>854302.5</v>
          </cell>
          <cell r="R52">
            <v>3043435</v>
          </cell>
        </row>
        <row r="53">
          <cell r="M53">
            <v>681957.5</v>
          </cell>
          <cell r="N53">
            <v>259351</v>
          </cell>
          <cell r="O53">
            <v>960969</v>
          </cell>
          <cell r="P53">
            <v>2200116.5</v>
          </cell>
          <cell r="Q53">
            <v>870903.5</v>
          </cell>
          <cell r="R53">
            <v>3121736</v>
          </cell>
        </row>
        <row r="54">
          <cell r="M54">
            <v>741256.5</v>
          </cell>
          <cell r="N54">
            <v>278806</v>
          </cell>
          <cell r="O54">
            <v>1041161</v>
          </cell>
          <cell r="P54">
            <v>2259415.5</v>
          </cell>
          <cell r="Q54">
            <v>890358.5</v>
          </cell>
          <cell r="R54">
            <v>3201928</v>
          </cell>
        </row>
        <row r="55">
          <cell r="M55">
            <v>801060.5</v>
          </cell>
          <cell r="N55">
            <v>298134</v>
          </cell>
          <cell r="O55">
            <v>1121462</v>
          </cell>
          <cell r="P55">
            <v>2319219.5</v>
          </cell>
          <cell r="Q55">
            <v>909686.5</v>
          </cell>
          <cell r="R55">
            <v>3282229</v>
          </cell>
        </row>
        <row r="56">
          <cell r="M56">
            <v>861194.5</v>
          </cell>
          <cell r="N56">
            <v>318544</v>
          </cell>
          <cell r="O56">
            <v>1203329</v>
          </cell>
          <cell r="P56">
            <v>2379353.5</v>
          </cell>
          <cell r="Q56">
            <v>930096.5</v>
          </cell>
          <cell r="R56">
            <v>3364096</v>
          </cell>
        </row>
        <row r="57">
          <cell r="M57">
            <v>920348.5</v>
          </cell>
          <cell r="N57">
            <v>338682</v>
          </cell>
          <cell r="O57">
            <v>1283705</v>
          </cell>
          <cell r="P57">
            <v>2438507.5</v>
          </cell>
          <cell r="Q57">
            <v>950234.5</v>
          </cell>
          <cell r="R57">
            <v>3444472</v>
          </cell>
        </row>
        <row r="58">
          <cell r="M58">
            <v>976919.5</v>
          </cell>
          <cell r="N58">
            <v>358479</v>
          </cell>
          <cell r="O58">
            <v>1361127</v>
          </cell>
          <cell r="P58">
            <v>2495078.5</v>
          </cell>
          <cell r="Q58">
            <v>970031.5</v>
          </cell>
          <cell r="R58">
            <v>3521894</v>
          </cell>
        </row>
        <row r="59">
          <cell r="M59">
            <v>1037887.5</v>
          </cell>
          <cell r="N59">
            <v>378914</v>
          </cell>
          <cell r="O59">
            <v>1443826</v>
          </cell>
          <cell r="P59">
            <v>2556046.5</v>
          </cell>
          <cell r="Q59">
            <v>990466.5</v>
          </cell>
          <cell r="R59">
            <v>3604593</v>
          </cell>
        </row>
        <row r="60">
          <cell r="M60">
            <v>1098838.5</v>
          </cell>
          <cell r="N60">
            <v>399482</v>
          </cell>
          <cell r="O60">
            <v>1526493</v>
          </cell>
          <cell r="P60">
            <v>2616997.5</v>
          </cell>
          <cell r="Q60">
            <v>1011034.5</v>
          </cell>
          <cell r="R60">
            <v>3687260</v>
          </cell>
        </row>
        <row r="61">
          <cell r="M61">
            <v>1158358.5</v>
          </cell>
          <cell r="N61">
            <v>419640</v>
          </cell>
          <cell r="O61">
            <v>1607428</v>
          </cell>
          <cell r="P61">
            <v>2676517.5</v>
          </cell>
          <cell r="Q61">
            <v>1031192.5</v>
          </cell>
          <cell r="R61">
            <v>3768195</v>
          </cell>
        </row>
        <row r="62">
          <cell r="M62">
            <v>1218057.5</v>
          </cell>
          <cell r="N62">
            <v>439830</v>
          </cell>
          <cell r="O62">
            <v>1688487</v>
          </cell>
          <cell r="P62">
            <v>2736216.5</v>
          </cell>
          <cell r="Q62">
            <v>1051382.5</v>
          </cell>
          <cell r="R62">
            <v>3849254</v>
          </cell>
        </row>
        <row r="63">
          <cell r="M63">
            <v>1277962</v>
          </cell>
          <cell r="N63">
            <v>461188</v>
          </cell>
          <cell r="O63">
            <v>1771062</v>
          </cell>
          <cell r="P63">
            <v>2796121</v>
          </cell>
          <cell r="Q63">
            <v>1072740.5</v>
          </cell>
          <cell r="R63">
            <v>3931829</v>
          </cell>
        </row>
        <row r="65">
          <cell r="M65">
            <v>61965</v>
          </cell>
          <cell r="N65">
            <v>17993</v>
          </cell>
          <cell r="O65">
            <v>81370</v>
          </cell>
          <cell r="P65">
            <v>2858086</v>
          </cell>
          <cell r="Q65">
            <v>1090733.5</v>
          </cell>
          <cell r="R65">
            <v>4013199</v>
          </cell>
        </row>
        <row r="66">
          <cell r="M66">
            <v>120685</v>
          </cell>
          <cell r="N66">
            <v>35670</v>
          </cell>
          <cell r="O66">
            <v>159239</v>
          </cell>
          <cell r="P66">
            <v>2916806</v>
          </cell>
          <cell r="Q66">
            <v>1108410.5</v>
          </cell>
          <cell r="R66">
            <v>4091068</v>
          </cell>
        </row>
        <row r="67">
          <cell r="M67">
            <v>181273</v>
          </cell>
          <cell r="N67">
            <v>55528</v>
          </cell>
          <cell r="O67">
            <v>241217</v>
          </cell>
          <cell r="P67">
            <v>2977394</v>
          </cell>
          <cell r="Q67">
            <v>1128268.5</v>
          </cell>
          <cell r="R67">
            <v>4173046</v>
          </cell>
        </row>
        <row r="68">
          <cell r="M68">
            <v>244903</v>
          </cell>
          <cell r="N68">
            <v>75487</v>
          </cell>
          <cell r="O68">
            <v>326127</v>
          </cell>
          <cell r="P68">
            <v>3041024</v>
          </cell>
          <cell r="Q68">
            <v>1148227.5</v>
          </cell>
          <cell r="R68">
            <v>4257956</v>
          </cell>
        </row>
        <row r="69">
          <cell r="M69">
            <v>308824</v>
          </cell>
          <cell r="N69">
            <v>95109</v>
          </cell>
          <cell r="O69">
            <v>411857</v>
          </cell>
          <cell r="P69">
            <v>3104945</v>
          </cell>
          <cell r="Q69">
            <v>1167849.5</v>
          </cell>
          <cell r="R69">
            <v>4343686</v>
          </cell>
        </row>
        <row r="70">
          <cell r="M70">
            <v>376730</v>
          </cell>
          <cell r="N70">
            <v>115017</v>
          </cell>
          <cell r="O70">
            <v>501637</v>
          </cell>
          <cell r="P70">
            <v>3172851</v>
          </cell>
          <cell r="Q70">
            <v>1187757.5</v>
          </cell>
          <cell r="R70">
            <v>4433466</v>
          </cell>
        </row>
        <row r="71">
          <cell r="M71">
            <v>442097</v>
          </cell>
          <cell r="N71">
            <v>136313</v>
          </cell>
          <cell r="O71">
            <v>590724</v>
          </cell>
          <cell r="P71">
            <v>3238218</v>
          </cell>
          <cell r="Q71">
            <v>1209053.5</v>
          </cell>
          <cell r="R71">
            <v>4522553</v>
          </cell>
        </row>
        <row r="72">
          <cell r="M72">
            <v>508076</v>
          </cell>
          <cell r="N72">
            <v>157141</v>
          </cell>
          <cell r="O72">
            <v>679557</v>
          </cell>
          <cell r="P72">
            <v>3304197</v>
          </cell>
          <cell r="Q72">
            <v>1229881.5</v>
          </cell>
          <cell r="R72">
            <v>4611386</v>
          </cell>
        </row>
        <row r="73">
          <cell r="M73">
            <v>568838</v>
          </cell>
          <cell r="N73">
            <v>177870</v>
          </cell>
          <cell r="O73">
            <v>762827</v>
          </cell>
          <cell r="P73">
            <v>3364959</v>
          </cell>
          <cell r="Q73">
            <v>1250610.5</v>
          </cell>
          <cell r="R73">
            <v>4694656</v>
          </cell>
        </row>
        <row r="74">
          <cell r="M74">
            <v>632167</v>
          </cell>
          <cell r="N74">
            <v>198788</v>
          </cell>
          <cell r="O74">
            <v>848858</v>
          </cell>
          <cell r="P74">
            <v>3428288</v>
          </cell>
          <cell r="Q74">
            <v>1271528.5</v>
          </cell>
          <cell r="R74">
            <v>4780687</v>
          </cell>
        </row>
        <row r="75">
          <cell r="M75">
            <v>694580</v>
          </cell>
          <cell r="N75">
            <v>220226</v>
          </cell>
          <cell r="O75">
            <v>934752</v>
          </cell>
          <cell r="P75">
            <v>3490701</v>
          </cell>
          <cell r="Q75">
            <v>1292966.5</v>
          </cell>
          <cell r="R75">
            <v>4866581</v>
          </cell>
        </row>
        <row r="76">
          <cell r="M76">
            <v>756787</v>
          </cell>
          <cell r="N76">
            <v>240438</v>
          </cell>
          <cell r="O76">
            <v>1019973</v>
          </cell>
          <cell r="P76">
            <v>3552908</v>
          </cell>
          <cell r="Q76">
            <v>1313178.5</v>
          </cell>
          <cell r="R76">
            <v>4951802</v>
          </cell>
        </row>
        <row r="77">
          <cell r="M77">
            <v>817668</v>
          </cell>
          <cell r="N77">
            <v>262017</v>
          </cell>
          <cell r="O77">
            <v>1105411</v>
          </cell>
          <cell r="P77">
            <v>3613789</v>
          </cell>
          <cell r="Q77">
            <v>1334757.5</v>
          </cell>
          <cell r="R77">
            <v>5037240</v>
          </cell>
        </row>
        <row r="78">
          <cell r="M78">
            <v>878433</v>
          </cell>
          <cell r="N78">
            <v>283463</v>
          </cell>
          <cell r="O78">
            <v>1190545</v>
          </cell>
          <cell r="P78">
            <v>3674554</v>
          </cell>
          <cell r="Q78">
            <v>1356203.5</v>
          </cell>
          <cell r="R78">
            <v>5122374</v>
          </cell>
        </row>
        <row r="79">
          <cell r="M79">
            <v>938743</v>
          </cell>
          <cell r="N79">
            <v>305291</v>
          </cell>
          <cell r="O79">
            <v>1273740</v>
          </cell>
          <cell r="P79">
            <v>3734864</v>
          </cell>
          <cell r="Q79">
            <v>1378031.5</v>
          </cell>
          <cell r="R79">
            <v>5205569</v>
          </cell>
        </row>
        <row r="80">
          <cell r="M80">
            <v>995185</v>
          </cell>
          <cell r="N80">
            <v>326366</v>
          </cell>
          <cell r="O80">
            <v>1352716</v>
          </cell>
          <cell r="P80">
            <v>3791306</v>
          </cell>
          <cell r="Q80">
            <v>1399106.5</v>
          </cell>
          <cell r="R80">
            <v>5284545</v>
          </cell>
        </row>
        <row r="81">
          <cell r="M81">
            <v>1053857</v>
          </cell>
          <cell r="N81">
            <v>347164</v>
          </cell>
          <cell r="O81">
            <v>1435493</v>
          </cell>
          <cell r="P81">
            <v>3849978</v>
          </cell>
          <cell r="Q81">
            <v>1419904.5</v>
          </cell>
          <cell r="R81">
            <v>5367322</v>
          </cell>
        </row>
        <row r="82">
          <cell r="M82">
            <v>1115844</v>
          </cell>
          <cell r="N82">
            <v>366662</v>
          </cell>
          <cell r="O82">
            <v>1518648</v>
          </cell>
          <cell r="P82">
            <v>3911965</v>
          </cell>
          <cell r="Q82">
            <v>1439402.5</v>
          </cell>
          <cell r="R82">
            <v>5450477</v>
          </cell>
        </row>
        <row r="83">
          <cell r="M83">
            <v>1179390</v>
          </cell>
          <cell r="N83">
            <v>386792</v>
          </cell>
          <cell r="O83">
            <v>1604251</v>
          </cell>
          <cell r="P83">
            <v>3975511</v>
          </cell>
          <cell r="Q83">
            <v>1459532.5</v>
          </cell>
          <cell r="R83">
            <v>5536080</v>
          </cell>
        </row>
        <row r="84">
          <cell r="M84">
            <v>1241201</v>
          </cell>
          <cell r="N84">
            <v>408844</v>
          </cell>
          <cell r="O84">
            <v>1690166</v>
          </cell>
          <cell r="P84">
            <v>4037322</v>
          </cell>
          <cell r="Q84">
            <v>1481584.5</v>
          </cell>
          <cell r="R84">
            <v>5621995</v>
          </cell>
        </row>
        <row r="85">
          <cell r="M85">
            <v>1303461</v>
          </cell>
          <cell r="N85">
            <v>430754</v>
          </cell>
          <cell r="O85">
            <v>1776231</v>
          </cell>
          <cell r="P85">
            <v>4099582</v>
          </cell>
          <cell r="Q85">
            <v>1503494.5</v>
          </cell>
          <cell r="R85">
            <v>5708060</v>
          </cell>
        </row>
        <row r="86">
          <cell r="M86">
            <v>1362384</v>
          </cell>
          <cell r="N86">
            <v>454468</v>
          </cell>
          <cell r="O86">
            <v>1861088</v>
          </cell>
          <cell r="P86">
            <v>4158505</v>
          </cell>
          <cell r="Q86">
            <v>1527208.5</v>
          </cell>
          <cell r="R86">
            <v>5792917</v>
          </cell>
        </row>
        <row r="87">
          <cell r="M87">
            <v>1418679</v>
          </cell>
          <cell r="N87">
            <v>477323</v>
          </cell>
          <cell r="O87">
            <v>1942054</v>
          </cell>
          <cell r="P87">
            <v>4214800</v>
          </cell>
          <cell r="Q87">
            <v>1550063.5</v>
          </cell>
          <cell r="R87">
            <v>5873883</v>
          </cell>
        </row>
        <row r="88">
          <cell r="M88">
            <v>1476855</v>
          </cell>
          <cell r="N88">
            <v>500572</v>
          </cell>
          <cell r="O88">
            <v>2026083</v>
          </cell>
          <cell r="P88">
            <v>4272976</v>
          </cell>
          <cell r="Q88">
            <v>1573312.5</v>
          </cell>
          <cell r="R88">
            <v>5957912</v>
          </cell>
        </row>
        <row r="89">
          <cell r="M89">
            <v>1535999</v>
          </cell>
          <cell r="N89">
            <v>524672</v>
          </cell>
          <cell r="O89">
            <v>2111134</v>
          </cell>
          <cell r="P89">
            <v>4332120</v>
          </cell>
          <cell r="Q89">
            <v>1597412.5</v>
          </cell>
          <cell r="R89">
            <v>6042963</v>
          </cell>
        </row>
        <row r="90">
          <cell r="M90">
            <v>1595811</v>
          </cell>
          <cell r="N90">
            <v>547924</v>
          </cell>
          <cell r="O90">
            <v>2196118</v>
          </cell>
          <cell r="P90">
            <v>4391932</v>
          </cell>
          <cell r="Q90">
            <v>1620664.5</v>
          </cell>
          <cell r="R90">
            <v>6127947</v>
          </cell>
        </row>
        <row r="91">
          <cell r="M91">
            <v>1655464</v>
          </cell>
          <cell r="N91">
            <v>571183</v>
          </cell>
          <cell r="O91">
            <v>2281166</v>
          </cell>
          <cell r="P91">
            <v>4451585</v>
          </cell>
          <cell r="Q91">
            <v>1643923.5</v>
          </cell>
          <cell r="R91">
            <v>6212995</v>
          </cell>
        </row>
        <row r="92">
          <cell r="M92">
            <v>1713618</v>
          </cell>
          <cell r="N92">
            <v>595718</v>
          </cell>
          <cell r="O92">
            <v>2365981</v>
          </cell>
          <cell r="P92">
            <v>4509739</v>
          </cell>
          <cell r="Q92">
            <v>1668458.5</v>
          </cell>
          <cell r="R92">
            <v>6297810</v>
          </cell>
        </row>
        <row r="93">
          <cell r="M93">
            <v>1768696</v>
          </cell>
          <cell r="N93">
            <v>621684</v>
          </cell>
          <cell r="O93">
            <v>2448374</v>
          </cell>
          <cell r="P93">
            <v>4564817</v>
          </cell>
          <cell r="Q93">
            <v>1694424.5</v>
          </cell>
          <cell r="R93">
            <v>6380203</v>
          </cell>
        </row>
        <row r="94">
          <cell r="M94">
            <v>1819484</v>
          </cell>
          <cell r="N94">
            <v>648587</v>
          </cell>
          <cell r="O94">
            <v>2527126</v>
          </cell>
          <cell r="P94">
            <v>4615605</v>
          </cell>
          <cell r="Q94">
            <v>1721327.5</v>
          </cell>
          <cell r="R94">
            <v>6458955</v>
          </cell>
        </row>
        <row r="95">
          <cell r="M95">
            <v>1872431.77</v>
          </cell>
          <cell r="N95">
            <v>676126.6</v>
          </cell>
          <cell r="O95">
            <v>2608951.16</v>
          </cell>
          <cell r="P95">
            <v>4668552.77</v>
          </cell>
          <cell r="Q95">
            <v>1748867.1</v>
          </cell>
          <cell r="R95">
            <v>6540780.16</v>
          </cell>
        </row>
        <row r="96">
          <cell r="M96">
            <v>57029</v>
          </cell>
          <cell r="N96">
            <v>23138</v>
          </cell>
          <cell r="O96">
            <v>81663</v>
          </cell>
          <cell r="P96">
            <v>4725581.77</v>
          </cell>
          <cell r="Q96">
            <v>1772005.1</v>
          </cell>
          <cell r="R96">
            <v>6622443.16</v>
          </cell>
        </row>
        <row r="97">
          <cell r="M97">
            <v>116580</v>
          </cell>
          <cell r="N97">
            <v>45085</v>
          </cell>
          <cell r="O97">
            <v>164776</v>
          </cell>
          <cell r="P97">
            <v>4785132.77</v>
          </cell>
          <cell r="Q97">
            <v>1793952.1</v>
          </cell>
          <cell r="R97">
            <v>6705556.16</v>
          </cell>
        </row>
        <row r="98">
          <cell r="M98">
            <v>176284</v>
          </cell>
          <cell r="N98">
            <v>66131</v>
          </cell>
          <cell r="O98">
            <v>247515</v>
          </cell>
          <cell r="P98">
            <v>4844836.77</v>
          </cell>
          <cell r="Q98">
            <v>1814998.1</v>
          </cell>
          <cell r="R98">
            <v>6788295.16</v>
          </cell>
        </row>
        <row r="99">
          <cell r="M99">
            <v>233823</v>
          </cell>
          <cell r="N99">
            <v>89130</v>
          </cell>
          <cell r="O99">
            <v>329644</v>
          </cell>
          <cell r="P99">
            <v>4902375.77</v>
          </cell>
          <cell r="Q99">
            <v>1837997.1</v>
          </cell>
          <cell r="R99">
            <v>6870424.16</v>
          </cell>
        </row>
        <row r="100">
          <cell r="M100">
            <v>281331</v>
          </cell>
          <cell r="N100">
            <v>105883</v>
          </cell>
          <cell r="O100">
            <v>395294</v>
          </cell>
          <cell r="P100">
            <v>4949883.77</v>
          </cell>
          <cell r="Q100">
            <v>1854750.1</v>
          </cell>
          <cell r="R100">
            <v>6936074.16</v>
          </cell>
        </row>
        <row r="101">
          <cell r="M101">
            <v>335026</v>
          </cell>
          <cell r="N101">
            <v>124710</v>
          </cell>
          <cell r="O101">
            <v>469404</v>
          </cell>
          <cell r="P101">
            <v>5003578.77</v>
          </cell>
          <cell r="Q101">
            <v>1873577.1</v>
          </cell>
          <cell r="R101">
            <v>7010184.16</v>
          </cell>
        </row>
        <row r="102">
          <cell r="M102">
            <v>391828</v>
          </cell>
          <cell r="N102">
            <v>148375</v>
          </cell>
          <cell r="O102">
            <v>551481</v>
          </cell>
          <cell r="P102">
            <v>5060380.77</v>
          </cell>
          <cell r="Q102">
            <v>1897242.1</v>
          </cell>
          <cell r="R102">
            <v>7092261.16</v>
          </cell>
        </row>
        <row r="103">
          <cell r="M103">
            <v>452042</v>
          </cell>
          <cell r="N103">
            <v>170950</v>
          </cell>
          <cell r="O103">
            <v>636435</v>
          </cell>
          <cell r="P103">
            <v>5120594.77</v>
          </cell>
          <cell r="Q103">
            <v>1919817.1</v>
          </cell>
          <cell r="R103">
            <v>7177215.16</v>
          </cell>
        </row>
        <row r="104">
          <cell r="M104">
            <v>512673</v>
          </cell>
          <cell r="N104">
            <v>194718</v>
          </cell>
          <cell r="O104">
            <v>722261</v>
          </cell>
          <cell r="P104">
            <v>5181225.77</v>
          </cell>
          <cell r="Q104">
            <v>1943585.1</v>
          </cell>
          <cell r="R104">
            <v>7263041.16</v>
          </cell>
        </row>
        <row r="105">
          <cell r="M105">
            <v>573443</v>
          </cell>
          <cell r="N105">
            <v>217863</v>
          </cell>
          <cell r="O105">
            <v>808165</v>
          </cell>
          <cell r="P105">
            <v>5241995.77</v>
          </cell>
          <cell r="Q105">
            <v>1966730.1</v>
          </cell>
          <cell r="R105">
            <v>7348945.16</v>
          </cell>
        </row>
        <row r="106">
          <cell r="M106">
            <v>633049</v>
          </cell>
          <cell r="N106">
            <v>242456</v>
          </cell>
          <cell r="O106">
            <v>893869</v>
          </cell>
          <cell r="P106">
            <v>5301601.77</v>
          </cell>
          <cell r="Q106">
            <v>1991323.1</v>
          </cell>
          <cell r="R106">
            <v>7434649.16</v>
          </cell>
        </row>
        <row r="107">
          <cell r="M107">
            <v>693097</v>
          </cell>
          <cell r="N107">
            <v>266384</v>
          </cell>
          <cell r="O107">
            <v>979278</v>
          </cell>
          <cell r="P107">
            <v>5361649.77</v>
          </cell>
          <cell r="Q107">
            <v>2015251.1</v>
          </cell>
          <cell r="R107">
            <v>7520058.16</v>
          </cell>
        </row>
        <row r="108">
          <cell r="M108">
            <v>751522</v>
          </cell>
          <cell r="N108">
            <v>288870</v>
          </cell>
          <cell r="O108">
            <v>1061319</v>
          </cell>
          <cell r="P108">
            <v>5420074.77</v>
          </cell>
          <cell r="Q108">
            <v>2037737.1</v>
          </cell>
          <cell r="R108">
            <v>7602099.16</v>
          </cell>
        </row>
        <row r="109">
          <cell r="M109">
            <v>810848</v>
          </cell>
          <cell r="N109">
            <v>312490</v>
          </cell>
          <cell r="O109">
            <v>1146226</v>
          </cell>
          <cell r="P109">
            <v>5479400.77</v>
          </cell>
          <cell r="Q109">
            <v>2061357.1</v>
          </cell>
          <cell r="R109">
            <v>7687006.16</v>
          </cell>
        </row>
        <row r="110">
          <cell r="M110">
            <v>872624</v>
          </cell>
          <cell r="N110">
            <v>335136</v>
          </cell>
          <cell r="O110">
            <v>1231998</v>
          </cell>
          <cell r="P110">
            <v>5541176.77</v>
          </cell>
          <cell r="Q110">
            <v>2084003.1</v>
          </cell>
          <cell r="R110">
            <v>7772778.16</v>
          </cell>
        </row>
        <row r="111">
          <cell r="M111">
            <v>933717</v>
          </cell>
          <cell r="N111">
            <v>357630</v>
          </cell>
          <cell r="O111">
            <v>1317531</v>
          </cell>
          <cell r="P111">
            <v>5602269.77</v>
          </cell>
          <cell r="Q111">
            <v>2106497.1</v>
          </cell>
          <cell r="R111">
            <v>7858311.16</v>
          </cell>
        </row>
        <row r="112">
          <cell r="M112">
            <v>996506</v>
          </cell>
          <cell r="N112">
            <v>379507</v>
          </cell>
          <cell r="O112">
            <v>1404023</v>
          </cell>
          <cell r="P112">
            <v>5665058.77</v>
          </cell>
          <cell r="Q112">
            <v>2128374.1</v>
          </cell>
          <cell r="R112">
            <v>7944803.16</v>
          </cell>
        </row>
        <row r="113">
          <cell r="M113">
            <v>1058821</v>
          </cell>
          <cell r="N113">
            <v>402509</v>
          </cell>
          <cell r="O113">
            <v>1490971</v>
          </cell>
          <cell r="P113">
            <v>5727373.77</v>
          </cell>
          <cell r="Q113">
            <v>2151376.1</v>
          </cell>
          <cell r="R113">
            <v>8031751.16</v>
          </cell>
        </row>
        <row r="114">
          <cell r="M114">
            <v>1121038</v>
          </cell>
          <cell r="N114">
            <v>424848</v>
          </cell>
          <cell r="O114">
            <v>1577026</v>
          </cell>
          <cell r="P114">
            <v>5789590.77</v>
          </cell>
          <cell r="Q114">
            <v>2173715.1</v>
          </cell>
          <cell r="R114">
            <v>8117806.16</v>
          </cell>
        </row>
        <row r="115">
          <cell r="M115">
            <v>1181079</v>
          </cell>
          <cell r="N115">
            <v>444964</v>
          </cell>
          <cell r="O115">
            <v>1658264</v>
          </cell>
          <cell r="P115">
            <v>5849631.77</v>
          </cell>
          <cell r="Q115">
            <v>2193831.1</v>
          </cell>
          <cell r="R115">
            <v>8199044.16</v>
          </cell>
        </row>
        <row r="116">
          <cell r="M116">
            <v>1241998</v>
          </cell>
          <cell r="N116">
            <v>467319</v>
          </cell>
          <cell r="O116">
            <v>1743959</v>
          </cell>
          <cell r="P116">
            <v>5910550.77</v>
          </cell>
          <cell r="Q116">
            <v>2216186.1</v>
          </cell>
          <cell r="R116">
            <v>8284739.16</v>
          </cell>
        </row>
        <row r="117">
          <cell r="M117">
            <v>1303535</v>
          </cell>
          <cell r="N117">
            <v>489789</v>
          </cell>
          <cell r="O117">
            <v>1829237</v>
          </cell>
          <cell r="P117">
            <v>5972087.77</v>
          </cell>
          <cell r="Q117">
            <v>2238656.1</v>
          </cell>
          <cell r="R117">
            <v>8370017.16</v>
          </cell>
        </row>
        <row r="118">
          <cell r="M118">
            <v>1365260</v>
          </cell>
          <cell r="N118">
            <v>511710</v>
          </cell>
          <cell r="O118">
            <v>1914158</v>
          </cell>
          <cell r="P118">
            <v>6033812.77</v>
          </cell>
          <cell r="Q118">
            <v>2260577.1</v>
          </cell>
          <cell r="R118">
            <v>8454938.16</v>
          </cell>
        </row>
        <row r="119">
          <cell r="M119">
            <v>1426473</v>
          </cell>
          <cell r="N119">
            <v>533874</v>
          </cell>
          <cell r="O119">
            <v>1999325</v>
          </cell>
          <cell r="P119">
            <v>6095025.77</v>
          </cell>
          <cell r="Q119">
            <v>2282741.1</v>
          </cell>
          <cell r="R119">
            <v>8540105.16</v>
          </cell>
        </row>
        <row r="120">
          <cell r="M120">
            <v>1487706</v>
          </cell>
          <cell r="N120">
            <v>555481</v>
          </cell>
          <cell r="O120">
            <v>2083926</v>
          </cell>
          <cell r="P120">
            <v>6156258.77</v>
          </cell>
          <cell r="Q120">
            <v>2304348.1</v>
          </cell>
          <cell r="R120">
            <v>8624706.16</v>
          </cell>
        </row>
        <row r="121">
          <cell r="M121">
            <v>1548020</v>
          </cell>
          <cell r="N121">
            <v>576944</v>
          </cell>
          <cell r="O121">
            <v>2166970</v>
          </cell>
          <cell r="P121">
            <v>6216572.77</v>
          </cell>
          <cell r="Q121">
            <v>2325811.1</v>
          </cell>
          <cell r="R121">
            <v>8707750.16</v>
          </cell>
        </row>
        <row r="122">
          <cell r="M122">
            <v>1608236</v>
          </cell>
          <cell r="N122">
            <v>595843</v>
          </cell>
          <cell r="O122">
            <v>2247089</v>
          </cell>
          <cell r="P122">
            <v>6276788.77</v>
          </cell>
          <cell r="Q122">
            <v>2344710.1</v>
          </cell>
          <cell r="R122">
            <v>8787869.16</v>
          </cell>
        </row>
        <row r="123">
          <cell r="M123">
            <v>1667712</v>
          </cell>
          <cell r="N123">
            <v>616989</v>
          </cell>
          <cell r="O123">
            <v>2329534</v>
          </cell>
          <cell r="P123">
            <v>6336264.77</v>
          </cell>
          <cell r="Q123">
            <v>2365856.1</v>
          </cell>
          <cell r="R123">
            <v>8870314.16</v>
          </cell>
        </row>
        <row r="124">
          <cell r="M124">
            <v>1727215</v>
          </cell>
          <cell r="N124">
            <v>639337</v>
          </cell>
          <cell r="O124">
            <v>2412866</v>
          </cell>
          <cell r="P124">
            <v>6395767.77</v>
          </cell>
          <cell r="Q124">
            <v>2388204.1</v>
          </cell>
          <cell r="R124">
            <v>8953646.16</v>
          </cell>
        </row>
        <row r="125">
          <cell r="M125">
            <v>1785213</v>
          </cell>
          <cell r="N125">
            <v>659406</v>
          </cell>
          <cell r="O125">
            <v>2493386</v>
          </cell>
          <cell r="P125">
            <v>6453765.77</v>
          </cell>
          <cell r="Q125">
            <v>2408273.1</v>
          </cell>
          <cell r="R125">
            <v>9034166.16</v>
          </cell>
        </row>
        <row r="126">
          <cell r="M126">
            <v>40647</v>
          </cell>
          <cell r="N126">
            <v>15094</v>
          </cell>
          <cell r="O126">
            <v>56694</v>
          </cell>
          <cell r="P126">
            <v>6494412.77</v>
          </cell>
          <cell r="Q126">
            <v>2423367.1</v>
          </cell>
          <cell r="R126">
            <v>9090860.16</v>
          </cell>
        </row>
        <row r="127">
          <cell r="M127">
            <v>86836</v>
          </cell>
          <cell r="N127">
            <v>30518</v>
          </cell>
          <cell r="O127">
            <v>119577</v>
          </cell>
          <cell r="P127">
            <v>6540601.77</v>
          </cell>
          <cell r="Q127">
            <v>2438791.1</v>
          </cell>
          <cell r="R127">
            <v>9153743.16</v>
          </cell>
        </row>
        <row r="128">
          <cell r="M128">
            <v>142662</v>
          </cell>
          <cell r="N128">
            <v>47372</v>
          </cell>
          <cell r="O128">
            <v>194336</v>
          </cell>
          <cell r="P128">
            <v>6596427.77</v>
          </cell>
          <cell r="Q128">
            <v>2455645.1</v>
          </cell>
          <cell r="R128">
            <v>9228502.16</v>
          </cell>
        </row>
        <row r="129">
          <cell r="M129">
            <v>203652</v>
          </cell>
          <cell r="N129">
            <v>64866</v>
          </cell>
          <cell r="O129">
            <v>274816</v>
          </cell>
          <cell r="P129">
            <v>6657417.77</v>
          </cell>
          <cell r="Q129">
            <v>2473139.1</v>
          </cell>
          <cell r="R129">
            <v>9308982.16</v>
          </cell>
        </row>
        <row r="130">
          <cell r="M130">
            <v>265012</v>
          </cell>
          <cell r="N130">
            <v>83605</v>
          </cell>
          <cell r="O130">
            <v>356898</v>
          </cell>
          <cell r="P130">
            <v>6718777.77</v>
          </cell>
          <cell r="Q130">
            <v>2491878.1</v>
          </cell>
          <cell r="R130">
            <v>9391064.16</v>
          </cell>
        </row>
        <row r="131">
          <cell r="M131">
            <v>327525</v>
          </cell>
          <cell r="N131">
            <v>101321</v>
          </cell>
          <cell r="O131">
            <v>439745</v>
          </cell>
          <cell r="P131">
            <v>6781290.77</v>
          </cell>
          <cell r="Q131">
            <v>2509594.1</v>
          </cell>
          <cell r="R131">
            <v>9473911.16</v>
          </cell>
        </row>
        <row r="132">
          <cell r="M132">
            <v>389681</v>
          </cell>
          <cell r="N132">
            <v>120235</v>
          </cell>
          <cell r="O132">
            <v>522833</v>
          </cell>
          <cell r="P132">
            <v>6843446.77</v>
          </cell>
          <cell r="Q132">
            <v>2528508.1</v>
          </cell>
          <cell r="R132">
            <v>9556999.16</v>
          </cell>
        </row>
        <row r="133">
          <cell r="M133">
            <v>453001</v>
          </cell>
          <cell r="N133">
            <v>139002</v>
          </cell>
          <cell r="O133">
            <v>606836</v>
          </cell>
          <cell r="P133">
            <v>6906766.77</v>
          </cell>
          <cell r="Q133">
            <v>2547275.1</v>
          </cell>
          <cell r="R133">
            <v>9641002.16</v>
          </cell>
        </row>
        <row r="134">
          <cell r="M134">
            <v>516625</v>
          </cell>
          <cell r="N134">
            <v>157779</v>
          </cell>
          <cell r="O134">
            <v>691148</v>
          </cell>
          <cell r="P134">
            <v>6970390.77</v>
          </cell>
          <cell r="Q134">
            <v>2566052.1</v>
          </cell>
          <cell r="R134">
            <v>9725314.16</v>
          </cell>
        </row>
        <row r="135">
          <cell r="M135">
            <v>578265</v>
          </cell>
          <cell r="N135">
            <v>177829</v>
          </cell>
          <cell r="O135">
            <v>774538</v>
          </cell>
          <cell r="P135">
            <v>7032030.77</v>
          </cell>
          <cell r="Q135">
            <v>2586102.1</v>
          </cell>
          <cell r="R135">
            <v>9808704.16</v>
          </cell>
        </row>
        <row r="136">
          <cell r="M136">
            <v>637938</v>
          </cell>
          <cell r="N136">
            <v>196347</v>
          </cell>
          <cell r="O136">
            <v>854039</v>
          </cell>
          <cell r="P136">
            <v>7091703.77</v>
          </cell>
          <cell r="Q136">
            <v>2604620.1</v>
          </cell>
          <cell r="R136">
            <v>9888205.16</v>
          </cell>
        </row>
        <row r="137">
          <cell r="M137">
            <v>697528</v>
          </cell>
          <cell r="N137">
            <v>216280</v>
          </cell>
          <cell r="O137">
            <v>935120</v>
          </cell>
          <cell r="P137">
            <v>7151293.77</v>
          </cell>
          <cell r="Q137">
            <v>2624553.1</v>
          </cell>
          <cell r="R137">
            <v>9969286.16</v>
          </cell>
        </row>
        <row r="138">
          <cell r="M138">
            <v>757027</v>
          </cell>
          <cell r="N138">
            <v>236401</v>
          </cell>
          <cell r="O138">
            <v>1017484</v>
          </cell>
          <cell r="P138">
            <v>7210792.77</v>
          </cell>
          <cell r="Q138">
            <v>2644674.1</v>
          </cell>
          <cell r="R138">
            <v>10051650.16</v>
          </cell>
        </row>
        <row r="139">
          <cell r="M139">
            <v>815982</v>
          </cell>
          <cell r="N139">
            <v>256105</v>
          </cell>
          <cell r="O139">
            <v>1098926</v>
          </cell>
          <cell r="P139">
            <v>7269747.77</v>
          </cell>
          <cell r="Q139">
            <v>2664378.1</v>
          </cell>
          <cell r="R139">
            <v>10133092.16</v>
          </cell>
        </row>
        <row r="140">
          <cell r="M140">
            <v>874982</v>
          </cell>
          <cell r="N140">
            <v>276105</v>
          </cell>
          <cell r="O140">
            <v>1180426</v>
          </cell>
          <cell r="P140">
            <v>7328747.77</v>
          </cell>
          <cell r="Q140">
            <v>2684378.1</v>
          </cell>
          <cell r="R140">
            <v>10214592.16</v>
          </cell>
        </row>
        <row r="141">
          <cell r="M141">
            <v>932986</v>
          </cell>
          <cell r="N141">
            <v>296182</v>
          </cell>
          <cell r="O141">
            <v>1261006</v>
          </cell>
          <cell r="P141">
            <v>7386751.77</v>
          </cell>
          <cell r="Q141">
            <v>2704455.1</v>
          </cell>
          <cell r="R141">
            <v>10295172.16</v>
          </cell>
        </row>
        <row r="142">
          <cell r="M142">
            <v>988965</v>
          </cell>
          <cell r="N142">
            <v>316051</v>
          </cell>
          <cell r="O142">
            <v>1339465</v>
          </cell>
          <cell r="P142">
            <v>7442730.77</v>
          </cell>
          <cell r="Q142">
            <v>2724324.1</v>
          </cell>
          <cell r="R142">
            <v>10373631.16</v>
          </cell>
        </row>
        <row r="143">
          <cell r="M143">
            <v>1040585</v>
          </cell>
          <cell r="N143">
            <v>335615</v>
          </cell>
          <cell r="O143">
            <v>1412892</v>
          </cell>
          <cell r="P143">
            <v>7494350.77</v>
          </cell>
          <cell r="Q143">
            <v>2743888.1</v>
          </cell>
          <cell r="R143">
            <v>10447058.16</v>
          </cell>
        </row>
        <row r="144">
          <cell r="M144">
            <v>1094870</v>
          </cell>
          <cell r="N144">
            <v>356027</v>
          </cell>
          <cell r="O144">
            <v>1490239</v>
          </cell>
          <cell r="P144">
            <v>7548635.77</v>
          </cell>
          <cell r="Q144">
            <v>2764300.1</v>
          </cell>
          <cell r="R144">
            <v>10524405.16</v>
          </cell>
        </row>
        <row r="145">
          <cell r="M145">
            <v>1150762</v>
          </cell>
          <cell r="N145">
            <v>375735</v>
          </cell>
          <cell r="O145">
            <v>1568981</v>
          </cell>
          <cell r="P145">
            <v>7604527.77</v>
          </cell>
          <cell r="Q145">
            <v>2784008.1</v>
          </cell>
          <cell r="R145">
            <v>10603147.16</v>
          </cell>
        </row>
        <row r="146">
          <cell r="M146">
            <v>1207449</v>
          </cell>
          <cell r="N146">
            <v>396246</v>
          </cell>
          <cell r="O146">
            <v>1649677</v>
          </cell>
          <cell r="P146">
            <v>7661214.77</v>
          </cell>
          <cell r="Q146">
            <v>2804519.1</v>
          </cell>
          <cell r="R146">
            <v>10683843.16</v>
          </cell>
        </row>
        <row r="147">
          <cell r="M147">
            <v>1262585</v>
          </cell>
          <cell r="N147">
            <v>417911</v>
          </cell>
          <cell r="O147">
            <v>1729648</v>
          </cell>
          <cell r="P147">
            <v>7716350.77</v>
          </cell>
          <cell r="Q147">
            <v>2826184.1</v>
          </cell>
          <cell r="R147">
            <v>10763814.16</v>
          </cell>
        </row>
        <row r="148">
          <cell r="M148">
            <v>1318885</v>
          </cell>
          <cell r="N148">
            <v>438911</v>
          </cell>
          <cell r="O148">
            <v>1809448</v>
          </cell>
          <cell r="P148">
            <v>7772650.77</v>
          </cell>
          <cell r="Q148">
            <v>2847184.1</v>
          </cell>
          <cell r="R148">
            <v>10843614.16</v>
          </cell>
        </row>
        <row r="149">
          <cell r="M149">
            <v>1375185</v>
          </cell>
          <cell r="N149">
            <v>458811</v>
          </cell>
          <cell r="O149">
            <v>1887348</v>
          </cell>
          <cell r="P149">
            <v>7828950.77</v>
          </cell>
          <cell r="Q149">
            <v>2867084.1</v>
          </cell>
          <cell r="R149">
            <v>10921514.16</v>
          </cell>
        </row>
        <row r="150">
          <cell r="M150">
            <v>1431485</v>
          </cell>
          <cell r="N150">
            <v>477311</v>
          </cell>
          <cell r="O150">
            <v>1965248</v>
          </cell>
          <cell r="P150">
            <v>7885250.77</v>
          </cell>
          <cell r="Q150">
            <v>2885584.1</v>
          </cell>
          <cell r="R150">
            <v>10999414.16</v>
          </cell>
        </row>
        <row r="151">
          <cell r="M151">
            <v>1488229</v>
          </cell>
          <cell r="N151">
            <v>498670</v>
          </cell>
          <cell r="O151">
            <v>2046635</v>
          </cell>
          <cell r="P151">
            <v>7941994.77</v>
          </cell>
          <cell r="Q151">
            <v>2906943.1</v>
          </cell>
          <cell r="R151">
            <v>11080801.16</v>
          </cell>
        </row>
        <row r="152">
          <cell r="M152">
            <v>1546125</v>
          </cell>
          <cell r="N152">
            <v>522057</v>
          </cell>
          <cell r="O152">
            <v>2130952</v>
          </cell>
          <cell r="P152">
            <v>7999890.77</v>
          </cell>
          <cell r="Q152">
            <v>2930330.1</v>
          </cell>
          <cell r="R152">
            <v>11165118.16</v>
          </cell>
        </row>
        <row r="153">
          <cell r="M153">
            <v>1606078</v>
          </cell>
          <cell r="N153">
            <v>545929</v>
          </cell>
          <cell r="O153">
            <v>2217472</v>
          </cell>
          <cell r="P153">
            <v>8059843.77</v>
          </cell>
          <cell r="Q153">
            <v>2954202.1</v>
          </cell>
          <cell r="R153">
            <v>11251638.16</v>
          </cell>
        </row>
        <row r="154">
          <cell r="M154">
            <v>1666513</v>
          </cell>
          <cell r="N154">
            <v>570264</v>
          </cell>
          <cell r="O154">
            <v>2305115</v>
          </cell>
          <cell r="P154">
            <v>8120278.77</v>
          </cell>
          <cell r="Q154">
            <v>2978537.1</v>
          </cell>
          <cell r="R154">
            <v>11339281.16</v>
          </cell>
        </row>
        <row r="155">
          <cell r="M155">
            <v>1723779</v>
          </cell>
          <cell r="N155">
            <v>594991</v>
          </cell>
          <cell r="O155">
            <v>2392191</v>
          </cell>
          <cell r="P155">
            <v>8177544.77</v>
          </cell>
          <cell r="Q155">
            <v>3003264.1</v>
          </cell>
          <cell r="R155">
            <v>11426357.16</v>
          </cell>
        </row>
        <row r="156">
          <cell r="M156">
            <v>1781398</v>
          </cell>
          <cell r="N156">
            <v>615413</v>
          </cell>
          <cell r="O156">
            <v>2473411</v>
          </cell>
          <cell r="P156">
            <v>8235163.77</v>
          </cell>
          <cell r="Q156">
            <v>3023686.1</v>
          </cell>
          <cell r="R156">
            <v>11507577.16</v>
          </cell>
        </row>
        <row r="157">
          <cell r="M157">
            <v>50500</v>
          </cell>
          <cell r="N157">
            <v>17500</v>
          </cell>
          <cell r="O157">
            <v>70135</v>
          </cell>
          <cell r="P157">
            <v>8285663.77</v>
          </cell>
          <cell r="Q157">
            <v>3041186.1</v>
          </cell>
          <cell r="R157">
            <v>11577712.16</v>
          </cell>
        </row>
        <row r="158">
          <cell r="M158">
            <v>89800</v>
          </cell>
          <cell r="N158">
            <v>34300</v>
          </cell>
          <cell r="O158">
            <v>128335</v>
          </cell>
          <cell r="P158">
            <v>8324963.77</v>
          </cell>
          <cell r="Q158">
            <v>3057986.1</v>
          </cell>
          <cell r="R158">
            <v>11635912.16</v>
          </cell>
        </row>
        <row r="159">
          <cell r="M159">
            <v>140960</v>
          </cell>
          <cell r="N159">
            <v>55200</v>
          </cell>
          <cell r="O159">
            <v>203035</v>
          </cell>
          <cell r="P159">
            <v>8376123.77</v>
          </cell>
          <cell r="Q159">
            <v>3078886.1</v>
          </cell>
          <cell r="R159">
            <v>11710612.16</v>
          </cell>
        </row>
        <row r="160">
          <cell r="M160">
            <v>196760</v>
          </cell>
          <cell r="N160">
            <v>78900</v>
          </cell>
          <cell r="O160">
            <v>285335</v>
          </cell>
          <cell r="P160">
            <v>8431923.77</v>
          </cell>
          <cell r="Q160">
            <v>3102586.1</v>
          </cell>
          <cell r="R160">
            <v>11792912.16</v>
          </cell>
        </row>
        <row r="161">
          <cell r="M161">
            <v>254260</v>
          </cell>
          <cell r="N161">
            <v>102000</v>
          </cell>
          <cell r="O161">
            <v>367035</v>
          </cell>
          <cell r="P161">
            <v>8489423.77</v>
          </cell>
          <cell r="Q161">
            <v>3125686.1</v>
          </cell>
          <cell r="R161">
            <v>11874612.16</v>
          </cell>
        </row>
        <row r="162">
          <cell r="M162">
            <v>316260</v>
          </cell>
          <cell r="N162">
            <v>124700</v>
          </cell>
          <cell r="O162">
            <v>455035</v>
          </cell>
          <cell r="P162">
            <v>8551423.77</v>
          </cell>
          <cell r="Q162">
            <v>3148386.1</v>
          </cell>
          <cell r="R162">
            <v>11962612.16</v>
          </cell>
        </row>
        <row r="163">
          <cell r="M163">
            <v>378260</v>
          </cell>
          <cell r="N163">
            <v>147700</v>
          </cell>
          <cell r="O163">
            <v>543035</v>
          </cell>
          <cell r="P163">
            <v>8613423.77</v>
          </cell>
          <cell r="Q163">
            <v>3171386.1</v>
          </cell>
          <cell r="R163">
            <v>12050612.16</v>
          </cell>
        </row>
        <row r="164">
          <cell r="M164">
            <v>440773</v>
          </cell>
          <cell r="N164">
            <v>169810</v>
          </cell>
          <cell r="O164">
            <v>630157</v>
          </cell>
          <cell r="P164">
            <v>8675936.77</v>
          </cell>
          <cell r="Q164">
            <v>3193496.1</v>
          </cell>
          <cell r="R164">
            <v>12137734.16</v>
          </cell>
        </row>
        <row r="165">
          <cell r="M165">
            <v>505173</v>
          </cell>
          <cell r="N165">
            <v>192110</v>
          </cell>
          <cell r="O165">
            <v>718657</v>
          </cell>
          <cell r="P165">
            <v>8740336.77</v>
          </cell>
          <cell r="Q165">
            <v>3215796.1</v>
          </cell>
          <cell r="R165">
            <v>12226234.16</v>
          </cell>
        </row>
        <row r="166">
          <cell r="M166">
            <v>568549</v>
          </cell>
          <cell r="N166">
            <v>216417</v>
          </cell>
          <cell r="O166">
            <v>807645</v>
          </cell>
          <cell r="P166">
            <v>8803712.77</v>
          </cell>
          <cell r="Q166">
            <v>3240103.1</v>
          </cell>
          <cell r="R166">
            <v>12315222.16</v>
          </cell>
        </row>
        <row r="167">
          <cell r="M167">
            <v>630649</v>
          </cell>
          <cell r="N167">
            <v>241817</v>
          </cell>
          <cell r="O167">
            <v>896445</v>
          </cell>
          <cell r="P167">
            <v>8865812.77</v>
          </cell>
          <cell r="Q167">
            <v>3265503.1</v>
          </cell>
          <cell r="R167">
            <v>12404022.16</v>
          </cell>
        </row>
        <row r="168">
          <cell r="M168">
            <v>695849</v>
          </cell>
          <cell r="N168">
            <v>265517</v>
          </cell>
          <cell r="O168">
            <v>986245</v>
          </cell>
          <cell r="P168">
            <v>8931012.77</v>
          </cell>
          <cell r="Q168">
            <v>3289203.1</v>
          </cell>
          <cell r="R168">
            <v>12493822.16</v>
          </cell>
        </row>
        <row r="169">
          <cell r="M169">
            <v>761649</v>
          </cell>
          <cell r="N169">
            <v>289517</v>
          </cell>
          <cell r="O169">
            <v>1076945</v>
          </cell>
          <cell r="P169">
            <v>8996812.77</v>
          </cell>
          <cell r="Q169">
            <v>3313203.1</v>
          </cell>
          <cell r="R169">
            <v>12584522.16</v>
          </cell>
        </row>
        <row r="170">
          <cell r="M170">
            <v>827449</v>
          </cell>
          <cell r="N170">
            <v>314317</v>
          </cell>
          <cell r="O170">
            <v>1167745</v>
          </cell>
          <cell r="P170">
            <v>9062612.77</v>
          </cell>
          <cell r="Q170">
            <v>3338003.1</v>
          </cell>
          <cell r="R170">
            <v>12675322.16</v>
          </cell>
        </row>
        <row r="171">
          <cell r="M171">
            <v>891349</v>
          </cell>
          <cell r="N171">
            <v>336417</v>
          </cell>
          <cell r="O171">
            <v>1254145</v>
          </cell>
          <cell r="P171">
            <v>9126512.77</v>
          </cell>
          <cell r="Q171">
            <v>3360103.1</v>
          </cell>
          <cell r="R171">
            <v>12761722.16</v>
          </cell>
        </row>
        <row r="172">
          <cell r="M172">
            <v>960849</v>
          </cell>
          <cell r="N172">
            <v>358317</v>
          </cell>
          <cell r="O172">
            <v>1345845</v>
          </cell>
          <cell r="P172">
            <v>9196012.77</v>
          </cell>
          <cell r="Q172">
            <v>3382003.1</v>
          </cell>
          <cell r="R172">
            <v>12853422.16</v>
          </cell>
        </row>
        <row r="173">
          <cell r="M173">
            <v>1027477</v>
          </cell>
          <cell r="N173">
            <v>381717</v>
          </cell>
          <cell r="O173">
            <v>1436359</v>
          </cell>
          <cell r="P173">
            <v>9262640.77</v>
          </cell>
          <cell r="Q173">
            <v>3405403.1</v>
          </cell>
          <cell r="R173">
            <v>12943936.16</v>
          </cell>
        </row>
        <row r="174">
          <cell r="M174">
            <v>1091577</v>
          </cell>
          <cell r="N174">
            <v>405917</v>
          </cell>
          <cell r="O174">
            <v>1524759</v>
          </cell>
          <cell r="P174">
            <v>9326740.77</v>
          </cell>
          <cell r="Q174">
            <v>3429603.1</v>
          </cell>
          <cell r="R174">
            <v>13032336.16</v>
          </cell>
        </row>
        <row r="175">
          <cell r="M175">
            <v>1155478</v>
          </cell>
          <cell r="N175">
            <v>429512</v>
          </cell>
          <cell r="O175">
            <v>1612739</v>
          </cell>
          <cell r="P175">
            <v>9390641.77</v>
          </cell>
          <cell r="Q175">
            <v>3453198.1</v>
          </cell>
          <cell r="R175">
            <v>13120316.16</v>
          </cell>
        </row>
        <row r="176">
          <cell r="M176">
            <v>1219612</v>
          </cell>
          <cell r="N176">
            <v>453846</v>
          </cell>
          <cell r="O176">
            <v>1701413</v>
          </cell>
          <cell r="P176">
            <v>9454775.77</v>
          </cell>
          <cell r="Q176">
            <v>3477532.1</v>
          </cell>
          <cell r="R176">
            <v>13208990.16</v>
          </cell>
        </row>
        <row r="177">
          <cell r="M177">
            <v>1282257</v>
          </cell>
          <cell r="N177">
            <v>476733</v>
          </cell>
          <cell r="O177">
            <v>1787148</v>
          </cell>
          <cell r="P177">
            <v>9517420.77</v>
          </cell>
          <cell r="Q177">
            <v>3500419.1</v>
          </cell>
          <cell r="R177">
            <v>13294725.16</v>
          </cell>
        </row>
        <row r="178">
          <cell r="M178">
            <v>1337411</v>
          </cell>
          <cell r="N178">
            <v>496768</v>
          </cell>
          <cell r="O178">
            <v>1862897</v>
          </cell>
          <cell r="P178">
            <v>9572574.77</v>
          </cell>
          <cell r="Q178">
            <v>3520454.1</v>
          </cell>
          <cell r="R178">
            <v>13370474.16</v>
          </cell>
        </row>
        <row r="179">
          <cell r="M179">
            <v>1393906</v>
          </cell>
          <cell r="N179">
            <v>516970</v>
          </cell>
          <cell r="O179">
            <v>1940501</v>
          </cell>
          <cell r="P179">
            <v>9629069.77</v>
          </cell>
          <cell r="Q179">
            <v>3540656.1</v>
          </cell>
          <cell r="R179">
            <v>13448078.16</v>
          </cell>
        </row>
        <row r="180">
          <cell r="M180">
            <v>1449053</v>
          </cell>
          <cell r="N180">
            <v>537736</v>
          </cell>
          <cell r="O180">
            <v>2018673</v>
          </cell>
          <cell r="P180">
            <v>9684216.77</v>
          </cell>
          <cell r="Q180">
            <v>3561422.1</v>
          </cell>
          <cell r="R180">
            <v>13526250.16</v>
          </cell>
        </row>
        <row r="181">
          <cell r="M181">
            <v>1499646</v>
          </cell>
          <cell r="N181">
            <v>562369</v>
          </cell>
          <cell r="O181">
            <v>2096910</v>
          </cell>
          <cell r="P181">
            <v>9734809.77</v>
          </cell>
          <cell r="Q181">
            <v>3586055.1</v>
          </cell>
          <cell r="R181">
            <v>13604487.16</v>
          </cell>
        </row>
        <row r="182">
          <cell r="M182">
            <v>1550257</v>
          </cell>
          <cell r="N182">
            <v>589832</v>
          </cell>
          <cell r="O182">
            <v>2178327</v>
          </cell>
          <cell r="P182">
            <v>9785420.77</v>
          </cell>
          <cell r="Q182">
            <v>3613518.1</v>
          </cell>
          <cell r="R182">
            <v>13685904.16</v>
          </cell>
        </row>
        <row r="183">
          <cell r="M183">
            <v>1600867</v>
          </cell>
          <cell r="N183">
            <v>616588</v>
          </cell>
          <cell r="O183">
            <v>2259685</v>
          </cell>
          <cell r="P183">
            <v>9836030.77</v>
          </cell>
          <cell r="Q183">
            <v>3640274.1</v>
          </cell>
          <cell r="R183">
            <v>13767262.16</v>
          </cell>
        </row>
        <row r="184">
          <cell r="M184">
            <v>1649483</v>
          </cell>
          <cell r="N184">
            <v>642106</v>
          </cell>
          <cell r="O184">
            <v>2338008</v>
          </cell>
          <cell r="P184">
            <v>9884646.77</v>
          </cell>
          <cell r="Q184">
            <v>3665792.1</v>
          </cell>
          <cell r="R184">
            <v>13845585.16</v>
          </cell>
        </row>
        <row r="185">
          <cell r="M185">
            <v>1694166</v>
          </cell>
          <cell r="N185">
            <v>667853</v>
          </cell>
          <cell r="O185">
            <v>2411607</v>
          </cell>
          <cell r="P185">
            <v>9929329.77</v>
          </cell>
          <cell r="Q185">
            <v>3691539.1</v>
          </cell>
          <cell r="R185">
            <v>13919184.16</v>
          </cell>
        </row>
        <row r="186">
          <cell r="M186">
            <v>1741075</v>
          </cell>
          <cell r="N186">
            <v>694345</v>
          </cell>
          <cell r="O186">
            <v>2488062</v>
          </cell>
          <cell r="P186">
            <v>9976408</v>
          </cell>
          <cell r="Q186">
            <v>3718031.1</v>
          </cell>
          <cell r="R186">
            <v>13995639.16</v>
          </cell>
        </row>
        <row r="187">
          <cell r="M187">
            <v>44861</v>
          </cell>
          <cell r="N187">
            <v>28770</v>
          </cell>
          <cell r="O187">
            <v>76920</v>
          </cell>
          <cell r="P187">
            <v>10021269</v>
          </cell>
          <cell r="Q187">
            <v>3746801.1</v>
          </cell>
          <cell r="R187">
            <v>14072559.16</v>
          </cell>
        </row>
        <row r="188">
          <cell r="M188">
            <v>92159</v>
          </cell>
          <cell r="N188">
            <v>60152</v>
          </cell>
          <cell r="O188">
            <v>159085</v>
          </cell>
          <cell r="P188">
            <v>10068567</v>
          </cell>
          <cell r="Q188">
            <v>3778183.1</v>
          </cell>
          <cell r="R188">
            <v>14154724.16</v>
          </cell>
        </row>
        <row r="189">
          <cell r="M189">
            <v>141611</v>
          </cell>
          <cell r="N189">
            <v>92886</v>
          </cell>
          <cell r="O189">
            <v>244408</v>
          </cell>
          <cell r="P189">
            <v>10118019</v>
          </cell>
          <cell r="Q189">
            <v>3810917.1</v>
          </cell>
          <cell r="R189">
            <v>14240047.16</v>
          </cell>
        </row>
        <row r="190">
          <cell r="M190">
            <v>190742</v>
          </cell>
          <cell r="N190">
            <v>127281</v>
          </cell>
          <cell r="O190">
            <v>331010</v>
          </cell>
          <cell r="P190">
            <v>10167150</v>
          </cell>
          <cell r="Q190">
            <v>3845312.1</v>
          </cell>
          <cell r="R190">
            <v>14326649.16</v>
          </cell>
        </row>
        <row r="191">
          <cell r="M191">
            <v>246266</v>
          </cell>
          <cell r="N191">
            <v>154961</v>
          </cell>
          <cell r="O191">
            <v>418127</v>
          </cell>
          <cell r="P191">
            <v>10222674</v>
          </cell>
          <cell r="Q191">
            <v>3872992.1</v>
          </cell>
          <cell r="R191">
            <v>14413766.16</v>
          </cell>
        </row>
        <row r="192">
          <cell r="M192">
            <v>297895</v>
          </cell>
          <cell r="N192">
            <v>182220</v>
          </cell>
          <cell r="O192">
            <v>501516</v>
          </cell>
          <cell r="P192">
            <v>10274303</v>
          </cell>
          <cell r="Q192">
            <v>3900251.1</v>
          </cell>
          <cell r="R192">
            <v>14497155.16</v>
          </cell>
        </row>
        <row r="193">
          <cell r="M193">
            <v>351060</v>
          </cell>
          <cell r="N193">
            <v>215467</v>
          </cell>
          <cell r="O193">
            <v>590398</v>
          </cell>
          <cell r="P193">
            <v>10327468</v>
          </cell>
          <cell r="Q193">
            <v>3933498.1</v>
          </cell>
          <cell r="R193">
            <v>14586037.16</v>
          </cell>
        </row>
        <row r="194">
          <cell r="M194">
            <v>407211</v>
          </cell>
          <cell r="N194">
            <v>249295</v>
          </cell>
          <cell r="O194">
            <v>682943</v>
          </cell>
          <cell r="P194">
            <v>10383619</v>
          </cell>
          <cell r="Q194">
            <v>3967326.1</v>
          </cell>
          <cell r="R194">
            <v>14678582.16</v>
          </cell>
        </row>
        <row r="195">
          <cell r="M195">
            <v>467340</v>
          </cell>
          <cell r="N195">
            <v>283034</v>
          </cell>
          <cell r="O195">
            <v>779651</v>
          </cell>
          <cell r="P195">
            <v>10443748</v>
          </cell>
          <cell r="Q195">
            <v>4001065.1</v>
          </cell>
          <cell r="R195">
            <v>14775290.16</v>
          </cell>
        </row>
        <row r="196">
          <cell r="M196">
            <v>531760</v>
          </cell>
          <cell r="N196">
            <v>317030</v>
          </cell>
          <cell r="O196">
            <v>880831</v>
          </cell>
          <cell r="P196">
            <v>10508168</v>
          </cell>
          <cell r="Q196">
            <v>4035061.1</v>
          </cell>
          <cell r="R196">
            <v>14876470.16</v>
          </cell>
        </row>
        <row r="197">
          <cell r="M197">
            <v>598720</v>
          </cell>
          <cell r="N197">
            <v>352571</v>
          </cell>
          <cell r="O197">
            <v>985065</v>
          </cell>
          <cell r="P197">
            <v>10575128</v>
          </cell>
          <cell r="Q197">
            <v>4070602.1</v>
          </cell>
          <cell r="R197">
            <v>14980704.16</v>
          </cell>
        </row>
        <row r="198">
          <cell r="M198">
            <v>665490</v>
          </cell>
          <cell r="N198">
            <v>387342</v>
          </cell>
          <cell r="O198">
            <v>1087961</v>
          </cell>
          <cell r="P198">
            <v>10641898</v>
          </cell>
          <cell r="Q198">
            <v>4105373.1</v>
          </cell>
          <cell r="R198">
            <v>15083600.16</v>
          </cell>
        </row>
        <row r="199">
          <cell r="M199">
            <v>719311</v>
          </cell>
          <cell r="N199">
            <v>420894</v>
          </cell>
          <cell r="O199">
            <v>1176562</v>
          </cell>
          <cell r="P199">
            <v>10695719</v>
          </cell>
          <cell r="Q199">
            <v>4138925.1</v>
          </cell>
          <cell r="R199">
            <v>15172201.16</v>
          </cell>
        </row>
        <row r="200">
          <cell r="M200">
            <v>773033</v>
          </cell>
          <cell r="N200">
            <v>456519</v>
          </cell>
          <cell r="O200">
            <v>1267453</v>
          </cell>
          <cell r="P200">
            <v>10749441</v>
          </cell>
          <cell r="Q200">
            <v>4174550.1</v>
          </cell>
          <cell r="R200">
            <v>15263092.16</v>
          </cell>
        </row>
        <row r="201">
          <cell r="M201">
            <v>821257</v>
          </cell>
          <cell r="N201">
            <v>496095</v>
          </cell>
          <cell r="O201">
            <v>1357447</v>
          </cell>
          <cell r="P201">
            <v>10797665</v>
          </cell>
          <cell r="Q201">
            <v>4214126.1</v>
          </cell>
          <cell r="R201">
            <v>15353086.16</v>
          </cell>
        </row>
        <row r="202">
          <cell r="M202">
            <v>877008</v>
          </cell>
          <cell r="N202">
            <v>530005</v>
          </cell>
          <cell r="O202">
            <v>1449148</v>
          </cell>
          <cell r="P202">
            <v>10853416</v>
          </cell>
          <cell r="Q202">
            <v>4248036.1</v>
          </cell>
          <cell r="R202">
            <v>15444787.16</v>
          </cell>
        </row>
        <row r="203">
          <cell r="M203">
            <v>935862</v>
          </cell>
          <cell r="N203">
            <v>566805</v>
          </cell>
          <cell r="O203">
            <v>1546457</v>
          </cell>
          <cell r="P203">
            <v>10912270</v>
          </cell>
          <cell r="Q203">
            <v>4284836.1</v>
          </cell>
          <cell r="R203">
            <v>15542096.16</v>
          </cell>
        </row>
        <row r="204">
          <cell r="M204">
            <v>996990</v>
          </cell>
          <cell r="N204">
            <v>605931</v>
          </cell>
          <cell r="O204">
            <v>1648403</v>
          </cell>
          <cell r="P204">
            <v>10973398</v>
          </cell>
          <cell r="Q204">
            <v>4323962.1</v>
          </cell>
          <cell r="R204">
            <v>15644042.16</v>
          </cell>
        </row>
        <row r="205">
          <cell r="M205">
            <v>1058819</v>
          </cell>
          <cell r="N205">
            <v>644643</v>
          </cell>
          <cell r="O205">
            <v>1751173</v>
          </cell>
          <cell r="P205">
            <v>11035227</v>
          </cell>
          <cell r="Q205">
            <v>4362674.1</v>
          </cell>
          <cell r="R205">
            <v>15746812.16</v>
          </cell>
        </row>
        <row r="206">
          <cell r="M206">
            <v>1118170</v>
          </cell>
          <cell r="N206">
            <v>683268</v>
          </cell>
          <cell r="O206">
            <v>1851002</v>
          </cell>
          <cell r="P206">
            <v>11094578</v>
          </cell>
          <cell r="Q206">
            <v>4401299.1</v>
          </cell>
          <cell r="R206">
            <v>15846641.16</v>
          </cell>
        </row>
        <row r="207">
          <cell r="M207">
            <v>1184486</v>
          </cell>
          <cell r="N207">
            <v>721785</v>
          </cell>
          <cell r="O207">
            <v>1958741</v>
          </cell>
          <cell r="P207">
            <v>11160894</v>
          </cell>
          <cell r="Q207">
            <v>4439816.1</v>
          </cell>
          <cell r="R207">
            <v>15954380.16</v>
          </cell>
        </row>
        <row r="208">
          <cell r="M208">
            <v>1248262.52</v>
          </cell>
          <cell r="N208">
            <v>758165</v>
          </cell>
          <cell r="O208">
            <v>2062929</v>
          </cell>
          <cell r="P208">
            <v>11224670.52</v>
          </cell>
          <cell r="Q208">
            <v>4476196.1</v>
          </cell>
          <cell r="R208">
            <v>16058568.16</v>
          </cell>
        </row>
        <row r="209">
          <cell r="M209">
            <v>1312874.52</v>
          </cell>
          <cell r="N209">
            <v>796126</v>
          </cell>
          <cell r="O209">
            <v>2169632</v>
          </cell>
          <cell r="P209">
            <v>11289282.52</v>
          </cell>
          <cell r="Q209">
            <v>4514157.1</v>
          </cell>
          <cell r="R209">
            <v>16165271.16</v>
          </cell>
        </row>
        <row r="210">
          <cell r="M210">
            <v>1374874.52</v>
          </cell>
          <cell r="N210">
            <v>832486</v>
          </cell>
          <cell r="O210">
            <v>2272132</v>
          </cell>
          <cell r="P210">
            <v>11351282.52</v>
          </cell>
          <cell r="Q210">
            <v>4550517.1</v>
          </cell>
          <cell r="R210">
            <v>16267771.16</v>
          </cell>
        </row>
        <row r="211">
          <cell r="M211">
            <v>1430495.52</v>
          </cell>
          <cell r="N211">
            <v>870393</v>
          </cell>
          <cell r="O211">
            <v>2369004</v>
          </cell>
          <cell r="P211">
            <v>11406903.52</v>
          </cell>
          <cell r="Q211">
            <v>4588424.1</v>
          </cell>
          <cell r="R211">
            <v>16364643.16</v>
          </cell>
        </row>
        <row r="212">
          <cell r="M212">
            <v>1487049.52</v>
          </cell>
          <cell r="N212">
            <v>907966</v>
          </cell>
          <cell r="O212">
            <v>2465825</v>
          </cell>
          <cell r="P212">
            <v>11463457.52</v>
          </cell>
          <cell r="Q212">
            <v>4625997.1</v>
          </cell>
          <cell r="R212">
            <v>16461464.16</v>
          </cell>
        </row>
        <row r="213">
          <cell r="M213">
            <v>1537834.52</v>
          </cell>
          <cell r="N213">
            <v>945509</v>
          </cell>
          <cell r="O213">
            <v>2556195</v>
          </cell>
          <cell r="P213">
            <v>11514242.52</v>
          </cell>
          <cell r="Q213">
            <v>4663540.1</v>
          </cell>
          <cell r="R213">
            <v>16551834.16</v>
          </cell>
        </row>
        <row r="214">
          <cell r="M214">
            <v>1592602.52</v>
          </cell>
          <cell r="N214">
            <v>983701</v>
          </cell>
          <cell r="O214">
            <v>2652135</v>
          </cell>
          <cell r="P214">
            <v>11569010.52</v>
          </cell>
          <cell r="Q214">
            <v>4701732.1</v>
          </cell>
          <cell r="R214">
            <v>16647774.16</v>
          </cell>
        </row>
        <row r="215">
          <cell r="M215">
            <v>1653100.52</v>
          </cell>
          <cell r="N215">
            <v>1020924</v>
          </cell>
          <cell r="O215">
            <v>2753071</v>
          </cell>
          <cell r="P215">
            <v>11629508.52</v>
          </cell>
          <cell r="Q215">
            <v>4738955.1</v>
          </cell>
          <cell r="R215">
            <v>16748710.16</v>
          </cell>
        </row>
        <row r="216">
          <cell r="M216">
            <v>1719325.52</v>
          </cell>
          <cell r="N216">
            <v>1056173</v>
          </cell>
          <cell r="O216">
            <v>2858171</v>
          </cell>
          <cell r="P216">
            <v>11695733.52</v>
          </cell>
          <cell r="Q216">
            <v>4774204.1</v>
          </cell>
          <cell r="R216">
            <v>16853810.16</v>
          </cell>
        </row>
        <row r="217">
          <cell r="M217">
            <v>1785255.52</v>
          </cell>
          <cell r="N217">
            <v>1090543</v>
          </cell>
          <cell r="O217">
            <v>2962437</v>
          </cell>
          <cell r="P217">
            <v>11761663.52</v>
          </cell>
          <cell r="Q217">
            <v>4808574.1</v>
          </cell>
          <cell r="R217">
            <v>16958076.16</v>
          </cell>
        </row>
        <row r="218">
          <cell r="M218">
            <v>56413</v>
          </cell>
          <cell r="N218">
            <v>34245</v>
          </cell>
          <cell r="O218">
            <v>93059</v>
          </cell>
          <cell r="P218">
            <v>11818076.52</v>
          </cell>
          <cell r="Q218">
            <v>4842819.1</v>
          </cell>
          <cell r="R218">
            <v>17051135.16</v>
          </cell>
        </row>
        <row r="219">
          <cell r="M219">
            <v>110297</v>
          </cell>
          <cell r="N219">
            <v>68582</v>
          </cell>
          <cell r="O219">
            <v>183084</v>
          </cell>
          <cell r="P219">
            <v>11871960.52</v>
          </cell>
          <cell r="Q219">
            <v>4877156.1</v>
          </cell>
          <cell r="R219">
            <v>17141160.16</v>
          </cell>
        </row>
        <row r="220">
          <cell r="M220">
            <v>169187</v>
          </cell>
          <cell r="N220">
            <v>101436</v>
          </cell>
          <cell r="O220">
            <v>276990</v>
          </cell>
          <cell r="P220">
            <v>11930850.52</v>
          </cell>
          <cell r="Q220">
            <v>4910010.1</v>
          </cell>
          <cell r="R220">
            <v>17235066.16</v>
          </cell>
        </row>
        <row r="221">
          <cell r="M221">
            <v>240344</v>
          </cell>
          <cell r="N221">
            <v>133453</v>
          </cell>
          <cell r="O221">
            <v>383296</v>
          </cell>
          <cell r="P221">
            <v>12002007.52</v>
          </cell>
          <cell r="Q221">
            <v>4942027.1</v>
          </cell>
          <cell r="R221">
            <v>17341372.16</v>
          </cell>
        </row>
        <row r="222">
          <cell r="M222">
            <v>313766</v>
          </cell>
          <cell r="N222">
            <v>168266</v>
          </cell>
          <cell r="O222">
            <v>493950</v>
          </cell>
          <cell r="P222">
            <v>12075429.52</v>
          </cell>
          <cell r="Q222">
            <v>4976840.1</v>
          </cell>
          <cell r="R222">
            <v>17452026.16</v>
          </cell>
        </row>
        <row r="223">
          <cell r="M223">
            <v>386154</v>
          </cell>
          <cell r="N223">
            <v>207164</v>
          </cell>
          <cell r="O223">
            <v>607471</v>
          </cell>
          <cell r="P223">
            <v>12147817.52</v>
          </cell>
          <cell r="Q223">
            <v>5015738.1</v>
          </cell>
          <cell r="R223">
            <v>17565547.16</v>
          </cell>
        </row>
        <row r="224">
          <cell r="M224">
            <v>457271</v>
          </cell>
          <cell r="N224">
            <v>243411</v>
          </cell>
          <cell r="O224">
            <v>716557</v>
          </cell>
          <cell r="P224">
            <v>12218934.52</v>
          </cell>
          <cell r="Q224">
            <v>5051985.1</v>
          </cell>
          <cell r="R224">
            <v>17674633.16</v>
          </cell>
        </row>
        <row r="225">
          <cell r="M225">
            <v>519728</v>
          </cell>
          <cell r="N225">
            <v>280740</v>
          </cell>
          <cell r="O225">
            <v>818282</v>
          </cell>
          <cell r="P225">
            <v>12281391.52</v>
          </cell>
          <cell r="Q225">
            <v>5089314.1</v>
          </cell>
          <cell r="R225">
            <v>17776358.16</v>
          </cell>
        </row>
        <row r="226">
          <cell r="M226">
            <v>581497</v>
          </cell>
          <cell r="N226">
            <v>314498</v>
          </cell>
          <cell r="O226">
            <v>915872</v>
          </cell>
          <cell r="P226">
            <v>12343160.52</v>
          </cell>
          <cell r="Q226">
            <v>5123072.1</v>
          </cell>
          <cell r="R226">
            <v>17873948.16</v>
          </cell>
        </row>
        <row r="227">
          <cell r="M227">
            <v>635790</v>
          </cell>
          <cell r="N227">
            <v>348841</v>
          </cell>
          <cell r="O227">
            <v>1005807</v>
          </cell>
          <cell r="P227">
            <v>12397453.52</v>
          </cell>
          <cell r="Q227">
            <v>5157415.1</v>
          </cell>
          <cell r="R227">
            <v>17963883.16</v>
          </cell>
        </row>
        <row r="228">
          <cell r="M228">
            <v>690177</v>
          </cell>
          <cell r="N228">
            <v>385287</v>
          </cell>
          <cell r="O228">
            <v>1098083</v>
          </cell>
          <cell r="P228">
            <v>12451840.52</v>
          </cell>
          <cell r="Q228">
            <v>5193861.1</v>
          </cell>
          <cell r="R228">
            <v>18056159.16</v>
          </cell>
        </row>
        <row r="229">
          <cell r="M229">
            <v>739991</v>
          </cell>
          <cell r="N229">
            <v>423270</v>
          </cell>
          <cell r="O229">
            <v>1187093</v>
          </cell>
          <cell r="P229">
            <v>12501654.52</v>
          </cell>
          <cell r="Q229">
            <v>5231844.1</v>
          </cell>
          <cell r="R229">
            <v>18145169.16</v>
          </cell>
        </row>
        <row r="230">
          <cell r="M230">
            <v>792364</v>
          </cell>
          <cell r="N230">
            <v>461417</v>
          </cell>
          <cell r="O230">
            <v>1279425</v>
          </cell>
          <cell r="P230">
            <v>12554027.52</v>
          </cell>
          <cell r="Q230">
            <v>5269991.1</v>
          </cell>
          <cell r="R230">
            <v>18237501.16</v>
          </cell>
        </row>
        <row r="231">
          <cell r="M231">
            <v>842950</v>
          </cell>
          <cell r="N231">
            <v>498511</v>
          </cell>
          <cell r="O231">
            <v>1369409</v>
          </cell>
          <cell r="P231">
            <v>12604613.52</v>
          </cell>
          <cell r="Q231">
            <v>5307085.1</v>
          </cell>
          <cell r="R231">
            <v>18327485.16</v>
          </cell>
        </row>
        <row r="232">
          <cell r="M232">
            <v>890218</v>
          </cell>
          <cell r="N232">
            <v>536158</v>
          </cell>
          <cell r="O232">
            <v>1456609</v>
          </cell>
          <cell r="P232">
            <v>12651881.52</v>
          </cell>
          <cell r="Q232">
            <v>5344732.1</v>
          </cell>
          <cell r="R232">
            <v>18414685.16</v>
          </cell>
        </row>
        <row r="233">
          <cell r="M233">
            <v>934888</v>
          </cell>
          <cell r="N233">
            <v>573130</v>
          </cell>
          <cell r="O233">
            <v>1540921</v>
          </cell>
          <cell r="P233">
            <v>12696551.52</v>
          </cell>
          <cell r="Q233">
            <v>5381704.1</v>
          </cell>
          <cell r="R233">
            <v>18498997.16</v>
          </cell>
        </row>
        <row r="234">
          <cell r="M234">
            <v>973026</v>
          </cell>
          <cell r="N234">
            <v>610129</v>
          </cell>
          <cell r="O234">
            <v>1618749</v>
          </cell>
          <cell r="P234">
            <v>12734689.52</v>
          </cell>
          <cell r="Q234">
            <v>5418703.1</v>
          </cell>
          <cell r="R234">
            <v>18576825.16</v>
          </cell>
        </row>
        <row r="235">
          <cell r="M235">
            <v>1013819</v>
          </cell>
          <cell r="N235">
            <v>647604</v>
          </cell>
          <cell r="O235">
            <v>1700664</v>
          </cell>
          <cell r="P235">
            <v>12775482.52</v>
          </cell>
          <cell r="Q235">
            <v>5456178.1</v>
          </cell>
          <cell r="R235">
            <v>18658740.16</v>
          </cell>
        </row>
        <row r="236">
          <cell r="M236">
            <v>1052268</v>
          </cell>
          <cell r="N236">
            <v>684920</v>
          </cell>
          <cell r="O236">
            <v>1780484</v>
          </cell>
          <cell r="P236">
            <v>12813931.52</v>
          </cell>
          <cell r="Q236">
            <v>5493494.1</v>
          </cell>
          <cell r="R236">
            <v>18738560.16</v>
          </cell>
        </row>
        <row r="237">
          <cell r="M237">
            <v>1090690</v>
          </cell>
          <cell r="N237">
            <v>721178</v>
          </cell>
          <cell r="O237">
            <v>1859014</v>
          </cell>
          <cell r="P237">
            <v>12852499</v>
          </cell>
          <cell r="Q237">
            <v>5529752.1</v>
          </cell>
          <cell r="R237">
            <v>18817090.16</v>
          </cell>
        </row>
        <row r="238">
          <cell r="M238">
            <v>1130237</v>
          </cell>
          <cell r="N238">
            <v>758846</v>
          </cell>
          <cell r="O238">
            <v>1940772</v>
          </cell>
          <cell r="P238">
            <v>12891900.52</v>
          </cell>
          <cell r="Q238">
            <v>5567420.1</v>
          </cell>
          <cell r="R238">
            <v>18898848.16</v>
          </cell>
        </row>
        <row r="239">
          <cell r="M239">
            <v>1174068</v>
          </cell>
          <cell r="N239">
            <v>796956</v>
          </cell>
          <cell r="O239">
            <v>2027333</v>
          </cell>
          <cell r="P239">
            <v>12935731.52</v>
          </cell>
          <cell r="Q239">
            <v>5605530.1</v>
          </cell>
          <cell r="R239">
            <v>18985409.16</v>
          </cell>
        </row>
        <row r="240">
          <cell r="M240">
            <v>1220445</v>
          </cell>
          <cell r="N240">
            <v>834581</v>
          </cell>
          <cell r="O240">
            <v>2116070</v>
          </cell>
          <cell r="P240">
            <v>12982108.52</v>
          </cell>
          <cell r="Q240">
            <v>5643155.1</v>
          </cell>
          <cell r="R240">
            <v>19074146.16</v>
          </cell>
        </row>
        <row r="241">
          <cell r="M241">
            <v>1268023</v>
          </cell>
          <cell r="N241">
            <v>870738</v>
          </cell>
          <cell r="O241">
            <v>2204503</v>
          </cell>
          <cell r="P241">
            <v>13029686.52</v>
          </cell>
          <cell r="Q241">
            <v>5679312.1</v>
          </cell>
          <cell r="R241">
            <v>19162579.16</v>
          </cell>
        </row>
        <row r="242">
          <cell r="M242">
            <v>1317737</v>
          </cell>
          <cell r="N242">
            <v>908175</v>
          </cell>
          <cell r="O242">
            <v>2296290</v>
          </cell>
          <cell r="P242">
            <v>13079400.52</v>
          </cell>
          <cell r="Q242">
            <v>5716749.1</v>
          </cell>
          <cell r="R242">
            <v>19254366.16</v>
          </cell>
        </row>
        <row r="243">
          <cell r="M243">
            <v>1363919</v>
          </cell>
          <cell r="N243">
            <v>947053</v>
          </cell>
          <cell r="O243">
            <v>2385994</v>
          </cell>
          <cell r="P243">
            <v>13125582.52</v>
          </cell>
          <cell r="Q243">
            <v>5755627.1</v>
          </cell>
          <cell r="R243">
            <v>19344070.16</v>
          </cell>
        </row>
        <row r="244">
          <cell r="M244">
            <v>1410945</v>
          </cell>
          <cell r="N244">
            <v>985506</v>
          </cell>
          <cell r="O244">
            <v>2474851</v>
          </cell>
          <cell r="P244">
            <v>13172608.52</v>
          </cell>
          <cell r="Q244">
            <v>5794080.1</v>
          </cell>
          <cell r="R244">
            <v>19432927.16</v>
          </cell>
        </row>
        <row r="245">
          <cell r="M245">
            <v>1460470</v>
          </cell>
          <cell r="N245">
            <v>1023778</v>
          </cell>
          <cell r="O245">
            <v>2568076</v>
          </cell>
          <cell r="P245">
            <v>13222133.52</v>
          </cell>
          <cell r="Q245">
            <v>5832352.1</v>
          </cell>
          <cell r="R245">
            <v>19526152.16</v>
          </cell>
        </row>
        <row r="246">
          <cell r="M246">
            <v>1509992</v>
          </cell>
          <cell r="N246">
            <v>1062493</v>
          </cell>
          <cell r="O246">
            <v>2660708</v>
          </cell>
          <cell r="P246">
            <v>13271655.52</v>
          </cell>
          <cell r="Q246">
            <v>5871067.1</v>
          </cell>
          <cell r="R246">
            <v>19618784.16</v>
          </cell>
        </row>
        <row r="247">
          <cell r="M247">
            <v>1556203</v>
          </cell>
          <cell r="N247">
            <v>1100794</v>
          </cell>
          <cell r="O247">
            <v>2749256</v>
          </cell>
          <cell r="P247">
            <v>13317866.52</v>
          </cell>
          <cell r="Q247">
            <v>5909368.1</v>
          </cell>
          <cell r="R247">
            <v>19707332.16</v>
          </cell>
        </row>
        <row r="248">
          <cell r="M248">
            <v>1600311</v>
          </cell>
          <cell r="N248">
            <v>1137133</v>
          </cell>
          <cell r="O248">
            <v>2833871</v>
          </cell>
          <cell r="P248">
            <v>13361974.52</v>
          </cell>
          <cell r="Q248">
            <v>5945707.1</v>
          </cell>
          <cell r="R248">
            <v>19791947.16</v>
          </cell>
        </row>
        <row r="249">
          <cell r="M249">
            <v>46043</v>
          </cell>
          <cell r="N249">
            <v>38763</v>
          </cell>
          <cell r="O249">
            <v>87980</v>
          </cell>
          <cell r="P249">
            <v>13408017.52</v>
          </cell>
          <cell r="Q249">
            <v>5984470.1</v>
          </cell>
          <cell r="R249">
            <v>19879927.16</v>
          </cell>
        </row>
        <row r="250">
          <cell r="M250">
            <v>97313</v>
          </cell>
          <cell r="N250">
            <v>77830</v>
          </cell>
          <cell r="O250">
            <v>181392</v>
          </cell>
          <cell r="P250">
            <v>13459287.52</v>
          </cell>
          <cell r="Q250">
            <v>6023537.1</v>
          </cell>
          <cell r="R250">
            <v>19973339.16</v>
          </cell>
        </row>
        <row r="251">
          <cell r="M251">
            <v>143443</v>
          </cell>
          <cell r="N251">
            <v>116962</v>
          </cell>
          <cell r="O251">
            <v>269390</v>
          </cell>
          <cell r="P251">
            <v>13505417.52</v>
          </cell>
          <cell r="Q251">
            <v>6062669.1</v>
          </cell>
          <cell r="R251">
            <v>20061337.16</v>
          </cell>
        </row>
        <row r="252">
          <cell r="M252">
            <v>190089</v>
          </cell>
          <cell r="N252">
            <v>156424</v>
          </cell>
          <cell r="O252">
            <v>357673</v>
          </cell>
          <cell r="P252">
            <v>13552063.52</v>
          </cell>
          <cell r="Q252">
            <v>6102131.1</v>
          </cell>
          <cell r="R252">
            <v>20149620.16</v>
          </cell>
        </row>
        <row r="253">
          <cell r="M253">
            <v>239879</v>
          </cell>
          <cell r="N253">
            <v>195733</v>
          </cell>
          <cell r="O253">
            <v>447997</v>
          </cell>
          <cell r="P253">
            <v>13601853.52</v>
          </cell>
          <cell r="Q253">
            <v>6141440.1</v>
          </cell>
          <cell r="R253">
            <v>20239944.16</v>
          </cell>
        </row>
        <row r="254">
          <cell r="M254">
            <v>290747</v>
          </cell>
          <cell r="N254">
            <v>234129</v>
          </cell>
          <cell r="O254">
            <v>538872</v>
          </cell>
          <cell r="P254">
            <v>13652721.52</v>
          </cell>
          <cell r="Q254">
            <v>6179836.1</v>
          </cell>
          <cell r="R254">
            <v>20330819.16</v>
          </cell>
        </row>
        <row r="255">
          <cell r="M255">
            <v>335513</v>
          </cell>
          <cell r="N255">
            <v>271535</v>
          </cell>
          <cell r="O255">
            <v>622910</v>
          </cell>
          <cell r="P255">
            <v>13697487.52</v>
          </cell>
          <cell r="Q255">
            <v>6217242.1</v>
          </cell>
          <cell r="R255">
            <v>20414857.16</v>
          </cell>
        </row>
        <row r="256">
          <cell r="M256">
            <v>366045</v>
          </cell>
          <cell r="N256">
            <v>307085</v>
          </cell>
          <cell r="O256">
            <v>689982</v>
          </cell>
          <cell r="P256">
            <v>13728019.52</v>
          </cell>
          <cell r="Q256">
            <v>6252792.1</v>
          </cell>
          <cell r="R256">
            <v>20481929.16</v>
          </cell>
        </row>
        <row r="257">
          <cell r="M257">
            <v>413872</v>
          </cell>
          <cell r="N257">
            <v>342341</v>
          </cell>
          <cell r="O257">
            <v>775503</v>
          </cell>
          <cell r="P257">
            <v>13775846.52</v>
          </cell>
          <cell r="Q257">
            <v>6288048.1</v>
          </cell>
          <cell r="R257">
            <v>20567450.16</v>
          </cell>
        </row>
        <row r="258">
          <cell r="M258">
            <v>464796</v>
          </cell>
          <cell r="N258">
            <v>381365</v>
          </cell>
          <cell r="O258">
            <v>867106</v>
          </cell>
          <cell r="P258">
            <v>13826770.52</v>
          </cell>
          <cell r="Q258">
            <v>6327072.1</v>
          </cell>
          <cell r="R258">
            <v>20659053.16</v>
          </cell>
        </row>
        <row r="259">
          <cell r="M259">
            <v>513262</v>
          </cell>
          <cell r="N259">
            <v>420540</v>
          </cell>
          <cell r="O259">
            <v>956663</v>
          </cell>
          <cell r="P259">
            <v>13875236.52</v>
          </cell>
          <cell r="Q259">
            <v>6366247.1</v>
          </cell>
          <cell r="R259">
            <v>20748610.16</v>
          </cell>
        </row>
        <row r="260">
          <cell r="M260">
            <v>566271</v>
          </cell>
          <cell r="N260">
            <v>459207</v>
          </cell>
          <cell r="O260">
            <v>1050213</v>
          </cell>
          <cell r="P260">
            <v>13928245.52</v>
          </cell>
          <cell r="Q260">
            <v>6404914.1</v>
          </cell>
          <cell r="R260">
            <v>20842160.16</v>
          </cell>
        </row>
        <row r="261">
          <cell r="M261">
            <v>617351</v>
          </cell>
          <cell r="N261">
            <v>496657</v>
          </cell>
          <cell r="O261">
            <v>1140280</v>
          </cell>
          <cell r="P261">
            <v>13979325.52</v>
          </cell>
          <cell r="Q261">
            <v>6442364.1</v>
          </cell>
          <cell r="R261">
            <v>20932227.16</v>
          </cell>
        </row>
        <row r="262">
          <cell r="M262">
            <v>663118</v>
          </cell>
          <cell r="N262">
            <v>533847</v>
          </cell>
          <cell r="O262">
            <v>1224664</v>
          </cell>
          <cell r="P262">
            <v>14025092.52</v>
          </cell>
          <cell r="Q262">
            <v>6479554.1</v>
          </cell>
          <cell r="R262">
            <v>21016611.16</v>
          </cell>
        </row>
        <row r="263">
          <cell r="M263">
            <v>712535</v>
          </cell>
          <cell r="N263">
            <v>571685</v>
          </cell>
          <cell r="O263">
            <v>1313205</v>
          </cell>
          <cell r="P263">
            <v>14074509.52</v>
          </cell>
          <cell r="Q263">
            <v>6517392.1</v>
          </cell>
          <cell r="R263">
            <v>21105152.16</v>
          </cell>
        </row>
        <row r="264">
          <cell r="M264">
            <v>761726</v>
          </cell>
          <cell r="N264">
            <v>608723</v>
          </cell>
          <cell r="O264">
            <v>1401643</v>
          </cell>
          <cell r="P264">
            <v>14123700.52</v>
          </cell>
          <cell r="Q264">
            <v>6554430.1</v>
          </cell>
          <cell r="R264">
            <v>21193590.16</v>
          </cell>
        </row>
        <row r="265">
          <cell r="M265">
            <v>815023</v>
          </cell>
          <cell r="N265">
            <v>646497</v>
          </cell>
          <cell r="O265">
            <v>1494261</v>
          </cell>
          <cell r="P265">
            <v>14176997.52</v>
          </cell>
          <cell r="Q265">
            <v>6592204.1</v>
          </cell>
          <cell r="R265">
            <v>21286208.16</v>
          </cell>
        </row>
        <row r="266">
          <cell r="M266">
            <v>865798</v>
          </cell>
          <cell r="N266">
            <v>684293</v>
          </cell>
          <cell r="O266">
            <v>1584884</v>
          </cell>
          <cell r="P266">
            <v>14227772.52</v>
          </cell>
          <cell r="Q266">
            <v>6630000.1</v>
          </cell>
          <cell r="R266">
            <v>21376831.16</v>
          </cell>
        </row>
        <row r="267">
          <cell r="M267">
            <v>908862</v>
          </cell>
          <cell r="N267">
            <v>723144</v>
          </cell>
          <cell r="O267">
            <v>1669078</v>
          </cell>
          <cell r="P267">
            <v>14270836.52</v>
          </cell>
          <cell r="Q267">
            <v>6668851.1</v>
          </cell>
          <cell r="R267">
            <v>21461025.16</v>
          </cell>
        </row>
        <row r="268">
          <cell r="M268">
            <v>950260</v>
          </cell>
          <cell r="N268">
            <v>761088</v>
          </cell>
          <cell r="O268">
            <v>1750689</v>
          </cell>
          <cell r="P268">
            <v>14312234.52</v>
          </cell>
          <cell r="Q268">
            <v>6706795.1</v>
          </cell>
          <cell r="R268">
            <v>21542636.16</v>
          </cell>
        </row>
        <row r="269">
          <cell r="M269">
            <v>985305</v>
          </cell>
          <cell r="N269">
            <v>798153</v>
          </cell>
          <cell r="O269">
            <v>1826033</v>
          </cell>
          <cell r="P269">
            <v>14347279.52</v>
          </cell>
          <cell r="Q269">
            <v>6743860.1</v>
          </cell>
          <cell r="R269">
            <v>21617980.16</v>
          </cell>
        </row>
        <row r="270">
          <cell r="M270">
            <v>1024317</v>
          </cell>
          <cell r="N270">
            <v>832328</v>
          </cell>
          <cell r="O270">
            <v>1902881</v>
          </cell>
          <cell r="P270">
            <v>14386291.52</v>
          </cell>
          <cell r="Q270">
            <v>6778035.1</v>
          </cell>
          <cell r="R270">
            <v>21694828.16</v>
          </cell>
        </row>
        <row r="271">
          <cell r="M271">
            <v>1065387</v>
          </cell>
          <cell r="N271">
            <v>868761</v>
          </cell>
          <cell r="O271">
            <v>1983461</v>
          </cell>
          <cell r="P271">
            <v>14427361.52</v>
          </cell>
          <cell r="Q271">
            <v>6814468.1</v>
          </cell>
          <cell r="R271">
            <v>21775408.16</v>
          </cell>
        </row>
        <row r="272">
          <cell r="M272">
            <v>1110815</v>
          </cell>
          <cell r="N272">
            <v>906333</v>
          </cell>
          <cell r="O272">
            <v>2068323</v>
          </cell>
          <cell r="P272">
            <v>14472789.52</v>
          </cell>
          <cell r="Q272">
            <v>6852040.1</v>
          </cell>
          <cell r="R272">
            <v>21860270.16</v>
          </cell>
        </row>
        <row r="273">
          <cell r="M273">
            <v>1155391</v>
          </cell>
          <cell r="N273">
            <v>944776</v>
          </cell>
          <cell r="O273">
            <v>2153178</v>
          </cell>
          <cell r="P273">
            <v>14517365.52</v>
          </cell>
          <cell r="Q273">
            <v>6890483.1</v>
          </cell>
          <cell r="R273">
            <v>21945125.16</v>
          </cell>
        </row>
        <row r="274">
          <cell r="M274">
            <v>1201756</v>
          </cell>
          <cell r="N274">
            <v>983434</v>
          </cell>
          <cell r="O274">
            <v>2239509</v>
          </cell>
          <cell r="P274">
            <v>14563730.52</v>
          </cell>
          <cell r="Q274">
            <v>6929141.1</v>
          </cell>
          <cell r="R274">
            <v>22031456.16</v>
          </cell>
        </row>
        <row r="275">
          <cell r="M275">
            <v>1250668</v>
          </cell>
          <cell r="N275">
            <v>1021586</v>
          </cell>
          <cell r="O275">
            <v>2328225</v>
          </cell>
          <cell r="P275">
            <v>14612642.52</v>
          </cell>
          <cell r="Q275">
            <v>6967293.1</v>
          </cell>
          <cell r="R275">
            <v>22120172.16</v>
          </cell>
        </row>
        <row r="276">
          <cell r="M276">
            <v>1300837</v>
          </cell>
          <cell r="N276">
            <v>1059841</v>
          </cell>
          <cell r="O276">
            <v>2418410</v>
          </cell>
          <cell r="P276">
            <v>14662811.52</v>
          </cell>
          <cell r="Q276">
            <v>7005548.1</v>
          </cell>
          <cell r="R276">
            <v>22210357.16</v>
          </cell>
        </row>
        <row r="277">
          <cell r="M277">
            <v>1352324</v>
          </cell>
          <cell r="N277">
            <v>1098483</v>
          </cell>
          <cell r="O277">
            <v>2510461</v>
          </cell>
          <cell r="P277">
            <v>14714298.52</v>
          </cell>
          <cell r="Q277">
            <v>7044190.1</v>
          </cell>
          <cell r="R277">
            <v>22302408.16</v>
          </cell>
        </row>
        <row r="278">
          <cell r="M278">
            <v>1395042.17</v>
          </cell>
          <cell r="N278">
            <v>1134665.4</v>
          </cell>
          <cell r="O278">
            <v>2590631.57</v>
          </cell>
          <cell r="P278">
            <v>14757016.69</v>
          </cell>
          <cell r="Q278">
            <v>7080372.5</v>
          </cell>
          <cell r="R278">
            <v>22382578.73</v>
          </cell>
        </row>
        <row r="279">
          <cell r="M279">
            <v>26675</v>
          </cell>
          <cell r="N279">
            <v>26314</v>
          </cell>
          <cell r="O279">
            <v>54188</v>
          </cell>
          <cell r="P279">
            <v>14783691.69</v>
          </cell>
          <cell r="Q279">
            <v>7106686.5</v>
          </cell>
          <cell r="R279">
            <v>22436766.73</v>
          </cell>
        </row>
        <row r="280">
          <cell r="M280">
            <v>56509</v>
          </cell>
          <cell r="N280">
            <v>50855</v>
          </cell>
          <cell r="O280">
            <v>109578</v>
          </cell>
          <cell r="P280">
            <v>14813525.69</v>
          </cell>
          <cell r="Q280">
            <v>7131227.5</v>
          </cell>
          <cell r="R280">
            <v>22492156.73</v>
          </cell>
        </row>
        <row r="281">
          <cell r="M281">
            <v>94472</v>
          </cell>
          <cell r="N281">
            <v>76553</v>
          </cell>
          <cell r="O281">
            <v>174602</v>
          </cell>
          <cell r="P281">
            <v>14851488.69</v>
          </cell>
          <cell r="Q281">
            <v>7156925.5</v>
          </cell>
          <cell r="R281">
            <v>22557180.73</v>
          </cell>
        </row>
        <row r="282">
          <cell r="M282">
            <v>136727</v>
          </cell>
          <cell r="N282">
            <v>105394</v>
          </cell>
          <cell r="O282">
            <v>247523</v>
          </cell>
          <cell r="P282">
            <v>14893743.69</v>
          </cell>
          <cell r="Q282">
            <v>7185766.5</v>
          </cell>
          <cell r="R282">
            <v>22630101.73</v>
          </cell>
        </row>
        <row r="283">
          <cell r="M283">
            <v>183332</v>
          </cell>
          <cell r="N283">
            <v>134003</v>
          </cell>
          <cell r="O283">
            <v>324242</v>
          </cell>
          <cell r="P283">
            <v>14940348.69</v>
          </cell>
          <cell r="Q283">
            <v>7214375.5</v>
          </cell>
          <cell r="R283">
            <v>22706820.73</v>
          </cell>
        </row>
        <row r="284">
          <cell r="M284">
            <v>232477</v>
          </cell>
          <cell r="N284">
            <v>162511</v>
          </cell>
          <cell r="O284">
            <v>403722</v>
          </cell>
          <cell r="P284">
            <v>14989493.69</v>
          </cell>
          <cell r="Q284">
            <v>7242883.5</v>
          </cell>
          <cell r="R284">
            <v>22786300.73</v>
          </cell>
        </row>
        <row r="285">
          <cell r="M285">
            <v>285270</v>
          </cell>
          <cell r="N285">
            <v>188990</v>
          </cell>
          <cell r="O285">
            <v>484341</v>
          </cell>
          <cell r="P285">
            <v>15042286.69</v>
          </cell>
          <cell r="Q285">
            <v>7269362.5</v>
          </cell>
          <cell r="R285">
            <v>22866919.73</v>
          </cell>
        </row>
        <row r="286">
          <cell r="M286">
            <v>338909</v>
          </cell>
          <cell r="N286">
            <v>216755</v>
          </cell>
          <cell r="O286">
            <v>567119</v>
          </cell>
          <cell r="P286">
            <v>15095925.69</v>
          </cell>
          <cell r="Q286">
            <v>7297127.5</v>
          </cell>
          <cell r="R286">
            <v>22949697.73</v>
          </cell>
        </row>
        <row r="287">
          <cell r="M287">
            <v>392248</v>
          </cell>
          <cell r="N287">
            <v>245956</v>
          </cell>
          <cell r="O287">
            <v>650852</v>
          </cell>
          <cell r="P287">
            <v>15149264.69</v>
          </cell>
          <cell r="Q287">
            <v>7326328.5</v>
          </cell>
          <cell r="R287">
            <v>23033430.73</v>
          </cell>
        </row>
        <row r="288">
          <cell r="M288">
            <v>444944</v>
          </cell>
          <cell r="N288">
            <v>276570</v>
          </cell>
          <cell r="O288">
            <v>735259</v>
          </cell>
          <cell r="P288">
            <v>15201960.69</v>
          </cell>
          <cell r="Q288">
            <v>7356942.5</v>
          </cell>
          <cell r="R288">
            <v>23117837.73</v>
          </cell>
        </row>
        <row r="289">
          <cell r="M289">
            <v>499476</v>
          </cell>
          <cell r="N289">
            <v>305202</v>
          </cell>
          <cell r="O289">
            <v>819570</v>
          </cell>
          <cell r="P289">
            <v>15256492.69</v>
          </cell>
          <cell r="Q289">
            <v>7385574.5</v>
          </cell>
          <cell r="R289">
            <v>23202148.73</v>
          </cell>
        </row>
        <row r="290">
          <cell r="M290">
            <v>549060</v>
          </cell>
          <cell r="N290">
            <v>334420</v>
          </cell>
          <cell r="O290">
            <v>899510</v>
          </cell>
          <cell r="P290">
            <v>15306076.69</v>
          </cell>
          <cell r="Q290">
            <v>7414792.5</v>
          </cell>
          <cell r="R290">
            <v>23282088.73</v>
          </cell>
        </row>
        <row r="291">
          <cell r="M291">
            <v>602281</v>
          </cell>
          <cell r="N291">
            <v>362804</v>
          </cell>
          <cell r="O291">
            <v>982296</v>
          </cell>
          <cell r="P291">
            <v>15359297.69</v>
          </cell>
          <cell r="Q291">
            <v>7443176.5</v>
          </cell>
          <cell r="R291">
            <v>23364874.73</v>
          </cell>
        </row>
        <row r="292">
          <cell r="M292">
            <v>661564</v>
          </cell>
          <cell r="N292">
            <v>386193</v>
          </cell>
          <cell r="O292">
            <v>1066292</v>
          </cell>
          <cell r="P292">
            <v>15418580.69</v>
          </cell>
          <cell r="Q292">
            <v>7466565.5</v>
          </cell>
          <cell r="R292">
            <v>23448870.73</v>
          </cell>
        </row>
        <row r="293">
          <cell r="M293">
            <v>722028</v>
          </cell>
          <cell r="N293">
            <v>409464</v>
          </cell>
          <cell r="O293">
            <v>1151036</v>
          </cell>
          <cell r="P293">
            <v>15479044.69</v>
          </cell>
          <cell r="Q293">
            <v>7489836.5</v>
          </cell>
          <cell r="R293">
            <v>23533614.73</v>
          </cell>
        </row>
        <row r="294">
          <cell r="M294">
            <v>782690</v>
          </cell>
          <cell r="N294">
            <v>432689</v>
          </cell>
          <cell r="O294">
            <v>1235835</v>
          </cell>
          <cell r="P294">
            <v>15539706.69</v>
          </cell>
          <cell r="Q294">
            <v>7513061.5</v>
          </cell>
          <cell r="R294">
            <v>23618413.73</v>
          </cell>
        </row>
        <row r="295">
          <cell r="M295">
            <v>843360</v>
          </cell>
          <cell r="N295">
            <v>455989</v>
          </cell>
          <cell r="O295">
            <v>1320835</v>
          </cell>
          <cell r="P295">
            <v>15600376.69</v>
          </cell>
          <cell r="Q295">
            <v>7536361.5</v>
          </cell>
          <cell r="R295">
            <v>23703413.73</v>
          </cell>
        </row>
        <row r="296">
          <cell r="M296">
            <v>902940</v>
          </cell>
          <cell r="N296">
            <v>478989</v>
          </cell>
          <cell r="O296">
            <v>1405335</v>
          </cell>
          <cell r="P296">
            <v>15659956.69</v>
          </cell>
          <cell r="Q296">
            <v>7559361.5</v>
          </cell>
          <cell r="R296">
            <v>23787913.73</v>
          </cell>
        </row>
        <row r="297">
          <cell r="M297">
            <v>961656</v>
          </cell>
          <cell r="N297">
            <v>501975</v>
          </cell>
          <cell r="O297">
            <v>1488029</v>
          </cell>
          <cell r="P297">
            <v>15718672.69</v>
          </cell>
          <cell r="Q297">
            <v>7582347.5</v>
          </cell>
          <cell r="R297">
            <v>23870607.73</v>
          </cell>
        </row>
        <row r="298">
          <cell r="M298">
            <v>1022879</v>
          </cell>
          <cell r="N298">
            <v>525716</v>
          </cell>
          <cell r="O298">
            <v>1574342</v>
          </cell>
          <cell r="P298">
            <v>15779895.69</v>
          </cell>
          <cell r="Q298">
            <v>7606088.5</v>
          </cell>
          <cell r="R298">
            <v>23956920.73</v>
          </cell>
        </row>
        <row r="299">
          <cell r="M299">
            <v>1085805</v>
          </cell>
          <cell r="N299">
            <v>549751</v>
          </cell>
          <cell r="O299">
            <v>1662301</v>
          </cell>
          <cell r="P299">
            <v>15842821.69</v>
          </cell>
          <cell r="Q299">
            <v>7630123.5</v>
          </cell>
          <cell r="R299">
            <v>24044879.73</v>
          </cell>
        </row>
        <row r="300">
          <cell r="M300">
            <v>1146991</v>
          </cell>
          <cell r="N300">
            <v>573502</v>
          </cell>
          <cell r="O300">
            <v>1748225</v>
          </cell>
          <cell r="P300">
            <v>15904007.69</v>
          </cell>
          <cell r="Q300">
            <v>7653874.5</v>
          </cell>
          <cell r="R300">
            <v>24130803.73</v>
          </cell>
        </row>
        <row r="301">
          <cell r="M301">
            <v>1209115</v>
          </cell>
          <cell r="N301">
            <v>596628</v>
          </cell>
          <cell r="O301">
            <v>1834506</v>
          </cell>
          <cell r="P301">
            <v>15966131.69</v>
          </cell>
          <cell r="Q301">
            <v>7677000.5</v>
          </cell>
          <cell r="R301">
            <v>24217084.73</v>
          </cell>
        </row>
        <row r="302">
          <cell r="M302">
            <v>1271729</v>
          </cell>
          <cell r="N302">
            <v>619667</v>
          </cell>
          <cell r="O302">
            <v>1921116</v>
          </cell>
          <cell r="P302">
            <v>16028745.69</v>
          </cell>
          <cell r="Q302">
            <v>7700039.5</v>
          </cell>
          <cell r="R302">
            <v>24303694.73</v>
          </cell>
        </row>
        <row r="303">
          <cell r="M303">
            <v>1335087</v>
          </cell>
          <cell r="N303">
            <v>641094</v>
          </cell>
          <cell r="O303">
            <v>2006849</v>
          </cell>
          <cell r="P303">
            <v>16092103.69</v>
          </cell>
          <cell r="Q303">
            <v>7721466.5</v>
          </cell>
          <cell r="R303">
            <v>24389427.73</v>
          </cell>
        </row>
        <row r="304">
          <cell r="M304">
            <v>1393993</v>
          </cell>
          <cell r="N304">
            <v>662713</v>
          </cell>
          <cell r="O304">
            <v>2088439</v>
          </cell>
          <cell r="P304">
            <v>16151009.69</v>
          </cell>
          <cell r="Q304">
            <v>7743085.5</v>
          </cell>
          <cell r="R304">
            <v>24471017.73</v>
          </cell>
        </row>
        <row r="305">
          <cell r="M305">
            <v>1453773</v>
          </cell>
          <cell r="N305">
            <v>686931</v>
          </cell>
          <cell r="O305">
            <v>2173411</v>
          </cell>
          <cell r="P305">
            <v>16210789.69</v>
          </cell>
          <cell r="Q305">
            <v>7767303.5</v>
          </cell>
          <cell r="R305">
            <v>24555989.73</v>
          </cell>
        </row>
        <row r="306">
          <cell r="M306">
            <v>1514094</v>
          </cell>
          <cell r="N306">
            <v>711100</v>
          </cell>
          <cell r="O306">
            <v>2259032</v>
          </cell>
          <cell r="P306">
            <v>16271110.69</v>
          </cell>
          <cell r="Q306">
            <v>7791472.5</v>
          </cell>
          <cell r="R306">
            <v>24641610.73</v>
          </cell>
        </row>
        <row r="307">
          <cell r="M307">
            <v>1576483</v>
          </cell>
          <cell r="N307">
            <v>733281</v>
          </cell>
          <cell r="O307">
            <v>2344744</v>
          </cell>
          <cell r="P307">
            <v>16333499.69</v>
          </cell>
          <cell r="Q307">
            <v>7813653.5</v>
          </cell>
          <cell r="R307">
            <v>24727322.73</v>
          </cell>
        </row>
        <row r="308">
          <cell r="M308">
            <v>1638397</v>
          </cell>
          <cell r="N308">
            <v>756072</v>
          </cell>
          <cell r="O308">
            <v>2430644</v>
          </cell>
          <cell r="P308">
            <v>16395413.69</v>
          </cell>
          <cell r="Q308">
            <v>7836444.5</v>
          </cell>
          <cell r="R308">
            <v>24813222.73</v>
          </cell>
        </row>
        <row r="309">
          <cell r="M309">
            <v>1699066</v>
          </cell>
          <cell r="N309">
            <v>778917</v>
          </cell>
          <cell r="O309">
            <v>2515379</v>
          </cell>
          <cell r="P309">
            <v>16456228</v>
          </cell>
          <cell r="Q309">
            <v>7859289.5</v>
          </cell>
          <cell r="R309">
            <v>24897957.73</v>
          </cell>
        </row>
        <row r="310">
          <cell r="M310">
            <v>53903</v>
          </cell>
          <cell r="N310">
            <v>25479</v>
          </cell>
          <cell r="O310">
            <v>80438</v>
          </cell>
          <cell r="P310">
            <v>16510131</v>
          </cell>
          <cell r="Q310">
            <v>7884768.5</v>
          </cell>
          <cell r="R310">
            <v>24978395.73</v>
          </cell>
        </row>
        <row r="311">
          <cell r="M311">
            <v>104344</v>
          </cell>
          <cell r="N311">
            <v>50383</v>
          </cell>
          <cell r="O311">
            <v>156946</v>
          </cell>
          <cell r="P311">
            <v>16560572</v>
          </cell>
          <cell r="Q311">
            <v>7909672.5</v>
          </cell>
          <cell r="R311">
            <v>25054903.73</v>
          </cell>
        </row>
        <row r="312">
          <cell r="M312">
            <v>160962</v>
          </cell>
          <cell r="N312">
            <v>74895</v>
          </cell>
          <cell r="O312">
            <v>239203</v>
          </cell>
          <cell r="P312">
            <v>16617190</v>
          </cell>
          <cell r="Q312">
            <v>7934184.5</v>
          </cell>
          <cell r="R312">
            <v>25137160.73</v>
          </cell>
        </row>
        <row r="313">
          <cell r="M313">
            <v>224498</v>
          </cell>
          <cell r="N313">
            <v>95327</v>
          </cell>
          <cell r="O313">
            <v>324271</v>
          </cell>
          <cell r="P313">
            <v>16680726</v>
          </cell>
          <cell r="Q313">
            <v>7954616.5</v>
          </cell>
          <cell r="R313">
            <v>25222228.73</v>
          </cell>
        </row>
        <row r="314">
          <cell r="M314">
            <v>288403</v>
          </cell>
          <cell r="N314">
            <v>115489</v>
          </cell>
          <cell r="O314">
            <v>409465</v>
          </cell>
          <cell r="P314">
            <v>16744631</v>
          </cell>
          <cell r="Q314">
            <v>7974778.5</v>
          </cell>
          <cell r="R314">
            <v>25307422.73</v>
          </cell>
        </row>
        <row r="315">
          <cell r="M315">
            <v>352551</v>
          </cell>
          <cell r="N315">
            <v>135848</v>
          </cell>
          <cell r="O315">
            <v>495190</v>
          </cell>
          <cell r="P315">
            <v>16808779</v>
          </cell>
          <cell r="Q315">
            <v>7995137.5</v>
          </cell>
          <cell r="R315">
            <v>25393147.73</v>
          </cell>
        </row>
        <row r="316">
          <cell r="M316">
            <v>416273</v>
          </cell>
          <cell r="N316">
            <v>157017</v>
          </cell>
          <cell r="O316">
            <v>581389</v>
          </cell>
          <cell r="P316">
            <v>16872501</v>
          </cell>
          <cell r="Q316">
            <v>8016306.5</v>
          </cell>
          <cell r="R316">
            <v>25479346.73</v>
          </cell>
        </row>
        <row r="317">
          <cell r="M317">
            <v>480028</v>
          </cell>
          <cell r="N317">
            <v>177519</v>
          </cell>
          <cell r="O317">
            <v>666876</v>
          </cell>
          <cell r="P317">
            <v>16936256</v>
          </cell>
          <cell r="Q317">
            <v>8036808.5</v>
          </cell>
          <cell r="R317">
            <v>25564833.73</v>
          </cell>
        </row>
        <row r="318">
          <cell r="M318">
            <v>540588</v>
          </cell>
          <cell r="N318">
            <v>196290</v>
          </cell>
          <cell r="O318">
            <v>747439</v>
          </cell>
          <cell r="P318">
            <v>16996816</v>
          </cell>
          <cell r="Q318">
            <v>8055579.5</v>
          </cell>
          <cell r="R318">
            <v>25645396.73</v>
          </cell>
        </row>
        <row r="319">
          <cell r="M319">
            <v>605035</v>
          </cell>
          <cell r="N319">
            <v>215932</v>
          </cell>
          <cell r="O319">
            <v>833274</v>
          </cell>
          <cell r="P319">
            <v>17061263.85</v>
          </cell>
          <cell r="Q319">
            <v>8075221.5</v>
          </cell>
          <cell r="R319">
            <v>25731231.73</v>
          </cell>
        </row>
        <row r="320">
          <cell r="M320">
            <v>674613</v>
          </cell>
          <cell r="N320">
            <v>231715</v>
          </cell>
          <cell r="O320">
            <v>920553</v>
          </cell>
          <cell r="P320">
            <v>17130841</v>
          </cell>
          <cell r="Q320">
            <v>8091004.5</v>
          </cell>
          <cell r="R320">
            <v>25818510.73</v>
          </cell>
        </row>
        <row r="321">
          <cell r="M321">
            <v>744189</v>
          </cell>
          <cell r="N321">
            <v>247224</v>
          </cell>
          <cell r="O321">
            <v>1007093</v>
          </cell>
          <cell r="P321">
            <v>17200417</v>
          </cell>
          <cell r="Q321">
            <v>8106513.5</v>
          </cell>
          <cell r="R321">
            <v>25905050.73</v>
          </cell>
        </row>
        <row r="322">
          <cell r="M322">
            <v>814366</v>
          </cell>
          <cell r="N322">
            <v>262935</v>
          </cell>
          <cell r="O322">
            <v>1094241</v>
          </cell>
          <cell r="P322">
            <v>17270594</v>
          </cell>
          <cell r="Q322">
            <v>8122224.5</v>
          </cell>
          <cell r="R322">
            <v>25992198.73</v>
          </cell>
        </row>
        <row r="323">
          <cell r="M323">
            <v>885050</v>
          </cell>
          <cell r="N323">
            <v>278881</v>
          </cell>
          <cell r="O323">
            <v>1182127</v>
          </cell>
          <cell r="P323">
            <v>17341278</v>
          </cell>
          <cell r="Q323">
            <v>8138170.5</v>
          </cell>
          <cell r="R323">
            <v>26080084.73</v>
          </cell>
        </row>
        <row r="324">
          <cell r="M324">
            <v>954036</v>
          </cell>
          <cell r="N324">
            <v>294754</v>
          </cell>
          <cell r="O324">
            <v>1267969</v>
          </cell>
          <cell r="P324">
            <v>17410264</v>
          </cell>
          <cell r="Q324">
            <v>8154043.5</v>
          </cell>
          <cell r="R324">
            <v>26165926.73</v>
          </cell>
        </row>
        <row r="325">
          <cell r="M325">
            <v>1019292</v>
          </cell>
          <cell r="N325">
            <v>310366</v>
          </cell>
          <cell r="O325">
            <v>1349750</v>
          </cell>
          <cell r="P325">
            <v>17475520</v>
          </cell>
          <cell r="Q325">
            <v>8169655.5</v>
          </cell>
          <cell r="R325">
            <v>26247707.73</v>
          </cell>
        </row>
        <row r="326">
          <cell r="M326">
            <v>1087738</v>
          </cell>
          <cell r="N326">
            <v>326132</v>
          </cell>
          <cell r="O326">
            <v>1435204</v>
          </cell>
          <cell r="P326">
            <v>17543966</v>
          </cell>
          <cell r="Q326">
            <v>8185421.5</v>
          </cell>
          <cell r="R326">
            <v>26333161.73</v>
          </cell>
        </row>
        <row r="327">
          <cell r="M327">
            <v>1156727</v>
          </cell>
          <cell r="N327">
            <v>343905</v>
          </cell>
          <cell r="O327">
            <v>1522969</v>
          </cell>
          <cell r="P327">
            <v>17612955</v>
          </cell>
          <cell r="Q327">
            <v>8203194.5</v>
          </cell>
          <cell r="R327">
            <v>26420926.73</v>
          </cell>
        </row>
        <row r="328">
          <cell r="M328">
            <v>1227810</v>
          </cell>
          <cell r="N328">
            <v>360359</v>
          </cell>
          <cell r="O328">
            <v>1611784</v>
          </cell>
          <cell r="P328">
            <v>17684038</v>
          </cell>
          <cell r="Q328">
            <v>8219648.5</v>
          </cell>
          <cell r="R328">
            <v>26509741.73</v>
          </cell>
        </row>
        <row r="329">
          <cell r="M329">
            <v>1295743</v>
          </cell>
          <cell r="N329">
            <v>378884</v>
          </cell>
          <cell r="O329">
            <v>1699281</v>
          </cell>
          <cell r="P329">
            <v>17751971</v>
          </cell>
          <cell r="Q329">
            <v>8238173.5</v>
          </cell>
          <cell r="R329">
            <v>26597238.73</v>
          </cell>
        </row>
        <row r="330">
          <cell r="M330">
            <v>1362100</v>
          </cell>
          <cell r="N330">
            <v>399208</v>
          </cell>
          <cell r="O330">
            <v>1786875</v>
          </cell>
          <cell r="P330">
            <v>17818328</v>
          </cell>
          <cell r="Q330">
            <v>8258497.5</v>
          </cell>
          <cell r="R330">
            <v>26684832.73</v>
          </cell>
        </row>
        <row r="331">
          <cell r="M331">
            <v>1424916</v>
          </cell>
          <cell r="N331">
            <v>421014</v>
          </cell>
          <cell r="O331">
            <v>1872637</v>
          </cell>
          <cell r="P331">
            <v>17881144</v>
          </cell>
          <cell r="Q331">
            <v>8280303.5</v>
          </cell>
          <cell r="R331">
            <v>26770594.73</v>
          </cell>
        </row>
        <row r="332">
          <cell r="M332">
            <v>1483287</v>
          </cell>
          <cell r="N332">
            <v>442599</v>
          </cell>
          <cell r="O332">
            <v>1953634</v>
          </cell>
          <cell r="P332">
            <v>17939515</v>
          </cell>
          <cell r="Q332">
            <v>8301888.5</v>
          </cell>
          <cell r="R332">
            <v>26851591.73</v>
          </cell>
        </row>
        <row r="333">
          <cell r="M333">
            <v>1545240</v>
          </cell>
          <cell r="N333">
            <v>464224</v>
          </cell>
          <cell r="O333">
            <v>2038193</v>
          </cell>
          <cell r="P333">
            <v>18001468</v>
          </cell>
          <cell r="Q333">
            <v>8323513.5</v>
          </cell>
          <cell r="R333">
            <v>26936150.73</v>
          </cell>
        </row>
        <row r="334">
          <cell r="M334">
            <v>1608147</v>
          </cell>
          <cell r="N334">
            <v>484016</v>
          </cell>
          <cell r="O334">
            <v>2122012</v>
          </cell>
          <cell r="P334">
            <v>18064375</v>
          </cell>
          <cell r="Q334">
            <v>8343305.5</v>
          </cell>
          <cell r="R334">
            <v>27019969.73</v>
          </cell>
        </row>
        <row r="335">
          <cell r="M335">
            <v>1672897</v>
          </cell>
          <cell r="N335">
            <v>504313</v>
          </cell>
          <cell r="O335">
            <v>2208084</v>
          </cell>
          <cell r="P335">
            <v>18129125</v>
          </cell>
          <cell r="Q335">
            <v>8363602.5</v>
          </cell>
          <cell r="R335">
            <v>27106041.73</v>
          </cell>
        </row>
        <row r="336">
          <cell r="M336">
            <v>1736572</v>
          </cell>
          <cell r="N336">
            <v>525826</v>
          </cell>
          <cell r="O336">
            <v>2294161</v>
          </cell>
          <cell r="P336">
            <v>18192800</v>
          </cell>
          <cell r="Q336">
            <v>8385115.5</v>
          </cell>
          <cell r="R336">
            <v>27192118.73</v>
          </cell>
        </row>
        <row r="337">
          <cell r="M337">
            <v>1800331</v>
          </cell>
          <cell r="N337">
            <v>546927</v>
          </cell>
          <cell r="O337">
            <v>2380049</v>
          </cell>
          <cell r="P337">
            <v>18256559</v>
          </cell>
          <cell r="Q337">
            <v>8406216.5</v>
          </cell>
          <cell r="R337">
            <v>27278006.73</v>
          </cell>
        </row>
        <row r="338">
          <cell r="M338">
            <v>1863408</v>
          </cell>
          <cell r="N338">
            <v>568853</v>
          </cell>
          <cell r="O338">
            <v>2466139</v>
          </cell>
          <cell r="P338">
            <v>18319636</v>
          </cell>
          <cell r="Q338">
            <v>8428142.5</v>
          </cell>
          <cell r="R338">
            <v>27364096.73</v>
          </cell>
        </row>
        <row r="339">
          <cell r="M339">
            <v>1920379</v>
          </cell>
          <cell r="N339">
            <v>589485</v>
          </cell>
          <cell r="O339">
            <v>2544620</v>
          </cell>
          <cell r="P339">
            <v>18376607</v>
          </cell>
          <cell r="Q339">
            <v>8448774.5</v>
          </cell>
          <cell r="R339">
            <v>27442577.73</v>
          </cell>
        </row>
        <row r="340">
          <cell r="M340">
            <v>56773</v>
          </cell>
          <cell r="N340">
            <v>23754</v>
          </cell>
          <cell r="O340">
            <v>81538</v>
          </cell>
          <cell r="P340">
            <v>18433380</v>
          </cell>
          <cell r="Q340">
            <v>8472528.5</v>
          </cell>
          <cell r="R340">
            <v>27524115.73</v>
          </cell>
        </row>
        <row r="341">
          <cell r="M341">
            <v>120467</v>
          </cell>
          <cell r="N341">
            <v>46268</v>
          </cell>
          <cell r="O341">
            <v>168876</v>
          </cell>
          <cell r="P341">
            <v>18497074</v>
          </cell>
          <cell r="Q341">
            <v>8495042.5</v>
          </cell>
          <cell r="R341">
            <v>27611453.73</v>
          </cell>
        </row>
        <row r="342">
          <cell r="M342">
            <v>190768</v>
          </cell>
          <cell r="N342">
            <v>65443</v>
          </cell>
          <cell r="O342">
            <v>259701</v>
          </cell>
          <cell r="P342">
            <v>18567375</v>
          </cell>
          <cell r="Q342">
            <v>8514217.5</v>
          </cell>
          <cell r="R342">
            <v>27702278.73</v>
          </cell>
        </row>
        <row r="343">
          <cell r="M343">
            <v>261503</v>
          </cell>
          <cell r="N343">
            <v>85038</v>
          </cell>
          <cell r="O343">
            <v>351597</v>
          </cell>
          <cell r="P343">
            <v>18638110</v>
          </cell>
          <cell r="Q343">
            <v>8533812.5</v>
          </cell>
          <cell r="R343">
            <v>27794174.73</v>
          </cell>
        </row>
        <row r="344">
          <cell r="M344">
            <v>332585</v>
          </cell>
          <cell r="N344">
            <v>105351</v>
          </cell>
          <cell r="O344">
            <v>443994</v>
          </cell>
          <cell r="P344">
            <v>18709192</v>
          </cell>
          <cell r="Q344">
            <v>8554125.5</v>
          </cell>
          <cell r="R344">
            <v>27886571.73</v>
          </cell>
        </row>
        <row r="345">
          <cell r="M345">
            <v>402818</v>
          </cell>
          <cell r="N345">
            <v>125660</v>
          </cell>
          <cell r="O345">
            <v>535686</v>
          </cell>
          <cell r="P345">
            <v>18779425</v>
          </cell>
          <cell r="Q345">
            <v>8574434.5</v>
          </cell>
          <cell r="R345">
            <v>27978263.73</v>
          </cell>
        </row>
        <row r="346">
          <cell r="M346">
            <v>467312</v>
          </cell>
          <cell r="N346">
            <v>146849</v>
          </cell>
          <cell r="O346">
            <v>622583</v>
          </cell>
          <cell r="P346">
            <v>18843919</v>
          </cell>
          <cell r="Q346">
            <v>8595623.5</v>
          </cell>
          <cell r="R346">
            <v>28065160.73</v>
          </cell>
        </row>
        <row r="347">
          <cell r="M347">
            <v>536522</v>
          </cell>
          <cell r="N347">
            <v>167424</v>
          </cell>
          <cell r="O347">
            <v>713539</v>
          </cell>
          <cell r="P347">
            <v>18913129</v>
          </cell>
          <cell r="Q347">
            <v>8616198.5</v>
          </cell>
          <cell r="R347">
            <v>28156116.73</v>
          </cell>
        </row>
        <row r="348">
          <cell r="M348">
            <v>609279</v>
          </cell>
          <cell r="N348">
            <v>187089</v>
          </cell>
          <cell r="O348">
            <v>807282</v>
          </cell>
          <cell r="P348">
            <v>18985886</v>
          </cell>
          <cell r="Q348">
            <v>8635863.5</v>
          </cell>
          <cell r="R348">
            <v>28249859.73</v>
          </cell>
        </row>
        <row r="349">
          <cell r="M349">
            <v>681260</v>
          </cell>
          <cell r="N349">
            <v>206539</v>
          </cell>
          <cell r="O349">
            <v>900144</v>
          </cell>
          <cell r="P349">
            <v>19057867</v>
          </cell>
          <cell r="Q349">
            <v>8655313.5</v>
          </cell>
          <cell r="R349">
            <v>28342721.73</v>
          </cell>
        </row>
        <row r="350">
          <cell r="M350">
            <v>755849</v>
          </cell>
          <cell r="N350">
            <v>225932</v>
          </cell>
          <cell r="O350">
            <v>995475</v>
          </cell>
          <cell r="P350">
            <v>19132456</v>
          </cell>
          <cell r="Q350">
            <v>8674706.5</v>
          </cell>
          <cell r="R350">
            <v>28438052.73</v>
          </cell>
        </row>
        <row r="351">
          <cell r="M351">
            <v>829098</v>
          </cell>
          <cell r="N351">
            <v>246581</v>
          </cell>
          <cell r="O351">
            <v>1090523</v>
          </cell>
          <cell r="P351">
            <v>19205705</v>
          </cell>
          <cell r="Q351">
            <v>8695355.5</v>
          </cell>
          <cell r="R351">
            <v>28533100.73</v>
          </cell>
        </row>
        <row r="352">
          <cell r="M352">
            <v>901895</v>
          </cell>
          <cell r="N352">
            <v>266499</v>
          </cell>
          <cell r="O352">
            <v>1184171</v>
          </cell>
          <cell r="P352">
            <v>19278502</v>
          </cell>
          <cell r="Q352">
            <v>8715273.5</v>
          </cell>
          <cell r="R352">
            <v>28626748.73</v>
          </cell>
        </row>
        <row r="353">
          <cell r="M353">
            <v>968887</v>
          </cell>
          <cell r="N353">
            <v>287285</v>
          </cell>
          <cell r="O353">
            <v>1272839</v>
          </cell>
          <cell r="P353">
            <v>19345494</v>
          </cell>
          <cell r="Q353">
            <v>8736059.5</v>
          </cell>
          <cell r="R353">
            <v>28715416.73</v>
          </cell>
        </row>
        <row r="354">
          <cell r="M354">
            <v>1040305</v>
          </cell>
          <cell r="N354">
            <v>308068</v>
          </cell>
          <cell r="O354">
            <v>1366242</v>
          </cell>
          <cell r="P354">
            <v>19416912</v>
          </cell>
          <cell r="Q354">
            <v>8756842.5</v>
          </cell>
          <cell r="R354">
            <v>28808819.73</v>
          </cell>
        </row>
        <row r="355">
          <cell r="M355">
            <v>1113530</v>
          </cell>
          <cell r="N355">
            <v>328308</v>
          </cell>
          <cell r="O355">
            <v>1461035</v>
          </cell>
          <cell r="P355">
            <v>19490137</v>
          </cell>
          <cell r="Q355">
            <v>8777082.5</v>
          </cell>
          <cell r="R355">
            <v>28903612.73</v>
          </cell>
        </row>
        <row r="356">
          <cell r="M356">
            <v>1189429</v>
          </cell>
          <cell r="N356">
            <v>347982</v>
          </cell>
          <cell r="O356">
            <v>1557537</v>
          </cell>
          <cell r="P356">
            <v>19566036</v>
          </cell>
          <cell r="Q356">
            <v>8796756.5</v>
          </cell>
          <cell r="R356">
            <v>29000114.73</v>
          </cell>
        </row>
        <row r="357">
          <cell r="M357">
            <v>1263935</v>
          </cell>
          <cell r="N357">
            <v>370638</v>
          </cell>
          <cell r="O357">
            <v>1654970</v>
          </cell>
          <cell r="P357">
            <v>19640542</v>
          </cell>
          <cell r="Q357">
            <v>8819412.5</v>
          </cell>
          <cell r="R357">
            <v>29097547.73</v>
          </cell>
        </row>
        <row r="358">
          <cell r="M358">
            <v>1336395</v>
          </cell>
          <cell r="N358">
            <v>394375</v>
          </cell>
          <cell r="O358">
            <v>1751940</v>
          </cell>
          <cell r="P358">
            <v>19713002</v>
          </cell>
          <cell r="Q358">
            <v>8843149.5</v>
          </cell>
          <cell r="R358">
            <v>29194517.73</v>
          </cell>
        </row>
        <row r="359">
          <cell r="M359">
            <v>1405099</v>
          </cell>
          <cell r="N359">
            <v>418593</v>
          </cell>
          <cell r="O359">
            <v>1845489</v>
          </cell>
          <cell r="P359">
            <v>19781706</v>
          </cell>
          <cell r="Q359">
            <v>8867367.5</v>
          </cell>
          <cell r="R359">
            <v>29288066.73</v>
          </cell>
        </row>
        <row r="360">
          <cell r="M360">
            <v>1475568</v>
          </cell>
          <cell r="N360">
            <v>438605</v>
          </cell>
          <cell r="O360">
            <v>1936316</v>
          </cell>
          <cell r="P360">
            <v>19852175</v>
          </cell>
          <cell r="Q360">
            <v>8887379.5</v>
          </cell>
          <cell r="R360">
            <v>29378893.73</v>
          </cell>
        </row>
        <row r="361">
          <cell r="M361">
            <v>1548037</v>
          </cell>
          <cell r="N361">
            <v>461081</v>
          </cell>
          <cell r="O361">
            <v>2031831</v>
          </cell>
          <cell r="P361">
            <v>19924644</v>
          </cell>
          <cell r="Q361">
            <v>8909855.5</v>
          </cell>
          <cell r="R361">
            <v>29474408.73</v>
          </cell>
        </row>
        <row r="362">
          <cell r="M362">
            <v>1620796</v>
          </cell>
          <cell r="N362">
            <v>483325</v>
          </cell>
          <cell r="O362">
            <v>2127300</v>
          </cell>
          <cell r="P362">
            <v>19997403</v>
          </cell>
          <cell r="Q362">
            <v>8932099.5</v>
          </cell>
          <cell r="R362">
            <v>29569877.73</v>
          </cell>
        </row>
        <row r="363">
          <cell r="M363">
            <v>1690326</v>
          </cell>
          <cell r="N363">
            <v>506200</v>
          </cell>
          <cell r="O363">
            <v>2220585</v>
          </cell>
          <cell r="P363">
            <v>20066933</v>
          </cell>
          <cell r="Q363">
            <v>8954974.5</v>
          </cell>
          <cell r="R363">
            <v>29663162.73</v>
          </cell>
        </row>
        <row r="364">
          <cell r="M364">
            <v>1762220</v>
          </cell>
          <cell r="N364">
            <v>527434</v>
          </cell>
          <cell r="O364">
            <v>2314875</v>
          </cell>
          <cell r="P364">
            <v>20138827</v>
          </cell>
          <cell r="Q364">
            <v>8976208.5</v>
          </cell>
          <cell r="R364">
            <v>29757452.73</v>
          </cell>
        </row>
        <row r="365">
          <cell r="M365">
            <v>1834570</v>
          </cell>
          <cell r="N365">
            <v>548824</v>
          </cell>
          <cell r="O365">
            <v>2409623</v>
          </cell>
          <cell r="P365">
            <v>20211177</v>
          </cell>
          <cell r="Q365">
            <v>8997598.5</v>
          </cell>
          <cell r="R365">
            <v>29852200.73</v>
          </cell>
        </row>
        <row r="366">
          <cell r="M366">
            <v>1905407</v>
          </cell>
          <cell r="N366">
            <v>569826</v>
          </cell>
          <cell r="O366">
            <v>2502476</v>
          </cell>
          <cell r="P366">
            <v>20282014</v>
          </cell>
          <cell r="Q366">
            <v>9018600.5</v>
          </cell>
          <cell r="R366">
            <v>29945053.73</v>
          </cell>
        </row>
        <row r="367">
          <cell r="M367">
            <v>1972038</v>
          </cell>
          <cell r="N367">
            <v>591064</v>
          </cell>
          <cell r="O367">
            <v>2591303</v>
          </cell>
          <cell r="P367">
            <v>20348645</v>
          </cell>
          <cell r="Q367">
            <v>9039838.5</v>
          </cell>
          <cell r="R367">
            <v>30033880.73</v>
          </cell>
        </row>
        <row r="368">
          <cell r="M368">
            <v>2039438</v>
          </cell>
          <cell r="N368">
            <v>613064</v>
          </cell>
          <cell r="O368">
            <v>2682003</v>
          </cell>
          <cell r="P368">
            <v>20416045</v>
          </cell>
          <cell r="Q368">
            <v>9061838.5</v>
          </cell>
          <cell r="R368">
            <v>30124580.73</v>
          </cell>
        </row>
        <row r="369">
          <cell r="M369">
            <v>2106826</v>
          </cell>
          <cell r="N369">
            <v>635268</v>
          </cell>
          <cell r="O369">
            <v>2772765</v>
          </cell>
          <cell r="P369">
            <v>20483433</v>
          </cell>
          <cell r="Q369">
            <v>9084042.5</v>
          </cell>
          <cell r="R369">
            <v>30215342.73</v>
          </cell>
        </row>
        <row r="370">
          <cell r="M370">
            <v>2168866</v>
          </cell>
          <cell r="N370">
            <v>658845</v>
          </cell>
          <cell r="O370">
            <v>2859299</v>
          </cell>
          <cell r="P370">
            <v>20545473</v>
          </cell>
          <cell r="Q370">
            <v>9107619.5</v>
          </cell>
          <cell r="R370">
            <v>30301876.73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 refreshError="1"/>
      <sheetData sheetId="1" refreshError="1">
        <row r="3">
          <cell r="D3">
            <v>2971268.14</v>
          </cell>
        </row>
        <row r="3">
          <cell r="I3">
            <v>11317748.98</v>
          </cell>
        </row>
        <row r="4">
          <cell r="I4">
            <v>7572430.98</v>
          </cell>
        </row>
        <row r="10">
          <cell r="D10">
            <v>2000577.88</v>
          </cell>
        </row>
        <row r="10">
          <cell r="I10">
            <v>7390704.48</v>
          </cell>
        </row>
        <row r="12">
          <cell r="I12">
            <v>371570.39</v>
          </cell>
        </row>
        <row r="13">
          <cell r="I13">
            <v>52541.2</v>
          </cell>
        </row>
        <row r="14">
          <cell r="D14">
            <v>921258</v>
          </cell>
        </row>
        <row r="14">
          <cell r="I14">
            <v>3745318</v>
          </cell>
        </row>
        <row r="15">
          <cell r="I15">
            <v>43161.64</v>
          </cell>
        </row>
        <row r="16">
          <cell r="I16">
            <v>18387.8</v>
          </cell>
        </row>
        <row r="17">
          <cell r="I17">
            <v>67635.86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/>
      <sheetData sheetId="1">
        <row r="3">
          <cell r="D3">
            <v>3236304.25</v>
          </cell>
        </row>
        <row r="3">
          <cell r="I3">
            <v>14554202.57</v>
          </cell>
        </row>
        <row r="4">
          <cell r="I4">
            <v>9786714.57</v>
          </cell>
        </row>
        <row r="10">
          <cell r="D10">
            <v>2165250.76</v>
          </cell>
        </row>
        <row r="10">
          <cell r="I10">
            <v>9556059.18</v>
          </cell>
        </row>
        <row r="11">
          <cell r="I11">
            <v>9105821.43</v>
          </cell>
        </row>
        <row r="12">
          <cell r="I12">
            <v>449967.19</v>
          </cell>
        </row>
        <row r="13">
          <cell r="I13">
            <v>76209.22</v>
          </cell>
        </row>
        <row r="14">
          <cell r="D14">
            <v>1022170</v>
          </cell>
        </row>
        <row r="14">
          <cell r="I14">
            <v>4767488</v>
          </cell>
        </row>
        <row r="15">
          <cell r="I15">
            <v>43161.64</v>
          </cell>
        </row>
        <row r="16">
          <cell r="I16">
            <v>22893.64</v>
          </cell>
        </row>
        <row r="17">
          <cell r="I17">
            <v>88390.89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/>
      <sheetData sheetId="1">
        <row r="3">
          <cell r="D3">
            <v>3222478.17</v>
          </cell>
        </row>
        <row r="3">
          <cell r="I3">
            <v>17776680.74</v>
          </cell>
        </row>
        <row r="10">
          <cell r="D10">
            <v>2022262.82</v>
          </cell>
        </row>
        <row r="10">
          <cell r="I10">
            <v>11578322</v>
          </cell>
        </row>
        <row r="12">
          <cell r="I12">
            <v>537640.3</v>
          </cell>
        </row>
        <row r="14">
          <cell r="D14">
            <v>1137803</v>
          </cell>
        </row>
        <row r="14">
          <cell r="I14">
            <v>5905291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 refreshError="1"/>
      <sheetData sheetId="1" refreshError="1">
        <row r="3">
          <cell r="D3">
            <v>3992595.62</v>
          </cell>
        </row>
        <row r="3">
          <cell r="I3">
            <v>21771111.72</v>
          </cell>
        </row>
        <row r="10">
          <cell r="D10">
            <v>2299564.7</v>
          </cell>
        </row>
        <row r="10">
          <cell r="I10">
            <v>13879287.72</v>
          </cell>
        </row>
        <row r="11">
          <cell r="I11">
            <v>13184987.03</v>
          </cell>
        </row>
        <row r="12">
          <cell r="I12">
            <v>694300.69</v>
          </cell>
        </row>
        <row r="14">
          <cell r="D14">
            <v>1614262</v>
          </cell>
        </row>
        <row r="14">
          <cell r="I14">
            <v>7519553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/>
      <sheetData sheetId="1">
        <row r="3">
          <cell r="D3">
            <v>4060084.02</v>
          </cell>
        </row>
        <row r="3">
          <cell r="I3">
            <v>25831195.74</v>
          </cell>
        </row>
        <row r="4">
          <cell r="I4">
            <v>16539165.94</v>
          </cell>
        </row>
        <row r="10">
          <cell r="D10">
            <v>2142873.35</v>
          </cell>
        </row>
        <row r="10">
          <cell r="I10">
            <v>16022161.07</v>
          </cell>
        </row>
        <row r="12">
          <cell r="I12">
            <v>832210.87</v>
          </cell>
        </row>
        <row r="13">
          <cell r="I13">
            <v>151020.45</v>
          </cell>
        </row>
        <row r="14">
          <cell r="D14">
            <v>1772476.8</v>
          </cell>
        </row>
        <row r="14">
          <cell r="I14">
            <v>9292029.8</v>
          </cell>
        </row>
        <row r="17">
          <cell r="I17">
            <v>160719.97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/>
      <sheetData sheetId="1">
        <row r="3">
          <cell r="D3">
            <v>3347475.69</v>
          </cell>
        </row>
        <row r="3">
          <cell r="I3">
            <v>29178671.43</v>
          </cell>
        </row>
        <row r="10">
          <cell r="D10">
            <v>1546472.23</v>
          </cell>
        </row>
        <row r="10">
          <cell r="I10">
            <v>17568633.3</v>
          </cell>
        </row>
        <row r="12">
          <cell r="I12">
            <v>936075.33</v>
          </cell>
        </row>
        <row r="14">
          <cell r="D14">
            <v>1622410</v>
          </cell>
        </row>
        <row r="14">
          <cell r="I14">
            <v>10914439.8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表1、调度口径（含华东）电量"/>
      <sheetName val="表2、统调口径电量"/>
      <sheetName val="表3、调度口径（不含华东）电量"/>
      <sheetName val="表4、地区数据统计"/>
      <sheetName val="表5、统调电厂发电量统计"/>
      <sheetName val="表6、受电量统计"/>
      <sheetName val="表7、负荷统计"/>
      <sheetName val="表8、按时段负荷统计"/>
      <sheetName val="表9、停机容量统计"/>
      <sheetName val="表10、旋转备用"/>
    </sheetNames>
    <sheetDataSet>
      <sheetData sheetId="0"/>
      <sheetData sheetId="1">
        <row r="3">
          <cell r="D3">
            <v>3010714.77</v>
          </cell>
        </row>
        <row r="3">
          <cell r="I3">
            <v>32189402.91</v>
          </cell>
        </row>
        <row r="4">
          <cell r="I4">
            <v>19778292.11</v>
          </cell>
        </row>
        <row r="10">
          <cell r="D10">
            <v>1316440.92</v>
          </cell>
        </row>
        <row r="10">
          <cell r="I10">
            <v>18885074.22</v>
          </cell>
        </row>
        <row r="11">
          <cell r="I11">
            <v>17788332.14</v>
          </cell>
        </row>
        <row r="12">
          <cell r="I12">
            <v>1096742.08</v>
          </cell>
        </row>
        <row r="13">
          <cell r="I13">
            <v>194521.13</v>
          </cell>
        </row>
        <row r="14">
          <cell r="D14">
            <v>1496671</v>
          </cell>
        </row>
        <row r="14">
          <cell r="I14">
            <v>12411110.8</v>
          </cell>
        </row>
        <row r="17">
          <cell r="I17">
            <v>436642.62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818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F65" sqref="F65"/>
    </sheetView>
  </sheetViews>
  <sheetFormatPr defaultColWidth="9" defaultRowHeight="14.25"/>
  <cols>
    <col min="1" max="1" width="9.625" style="165" customWidth="1"/>
    <col min="2" max="2" width="6" style="165" customWidth="1"/>
    <col min="3" max="3" width="10.375" style="165" customWidth="1"/>
    <col min="4" max="4" width="8.75" style="165" customWidth="1"/>
    <col min="5" max="5" width="10.5" style="165" customWidth="1"/>
    <col min="6" max="6" width="9.5" style="166" customWidth="1"/>
    <col min="7" max="7" width="9.5" style="165" customWidth="1"/>
    <col min="8" max="8" width="7.5" style="165" hidden="1" customWidth="1"/>
    <col min="9" max="9" width="8.5" style="165" hidden="1" customWidth="1"/>
    <col min="10" max="10" width="11.25" style="165" customWidth="1"/>
    <col min="11" max="12" width="9" style="165"/>
    <col min="13" max="13" width="11.625" style="167" customWidth="1"/>
    <col min="14" max="14" width="11" style="165" customWidth="1"/>
    <col min="15" max="15" width="12.75" style="165" customWidth="1"/>
    <col min="16" max="16" width="10.625" style="165" customWidth="1"/>
    <col min="17" max="17" width="11.875" style="165" customWidth="1"/>
    <col min="18" max="18" width="10.125" style="165" customWidth="1"/>
    <col min="19" max="19" width="12.25" style="165" customWidth="1"/>
    <col min="20" max="25" width="10.625" style="165" customWidth="1"/>
    <col min="26" max="26" width="8.75" style="168" customWidth="1"/>
    <col min="27" max="27" width="10.75" style="168" customWidth="1"/>
    <col min="28" max="28" width="9.75" style="165" customWidth="1"/>
    <col min="29" max="29" width="15.125" style="165" customWidth="1"/>
    <col min="30" max="30" width="13.25" style="165" customWidth="1"/>
    <col min="31" max="33" width="9" style="165"/>
    <col min="34" max="34" width="16.25" style="162" customWidth="1"/>
    <col min="35" max="35" width="13.875" style="165" customWidth="1"/>
    <col min="36" max="36" width="12.75" style="165" customWidth="1"/>
    <col min="37" max="16384" width="9" style="165"/>
  </cols>
  <sheetData>
    <row r="1" ht="15" customHeight="1" spans="1:5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281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</row>
    <row r="2" ht="15" customHeight="1" spans="1:55">
      <c r="A2" s="170"/>
      <c r="B2" s="171"/>
      <c r="C2" s="170" t="s"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208"/>
      <c r="N2" s="170" t="s">
        <v>2</v>
      </c>
      <c r="O2" s="171"/>
      <c r="P2" s="208"/>
      <c r="Q2" s="171" t="s">
        <v>3</v>
      </c>
      <c r="R2" s="171"/>
      <c r="S2" s="208"/>
      <c r="T2" s="170" t="s">
        <v>4</v>
      </c>
      <c r="U2" s="171"/>
      <c r="V2" s="208"/>
      <c r="W2" s="234" t="s">
        <v>5</v>
      </c>
      <c r="X2" s="235"/>
      <c r="Y2" s="250"/>
      <c r="Z2" s="251"/>
      <c r="AA2" s="252"/>
      <c r="AB2" s="253"/>
      <c r="AC2" s="254"/>
      <c r="AD2" s="170"/>
      <c r="AE2" s="171"/>
      <c r="AF2" s="171"/>
      <c r="AG2" s="208"/>
      <c r="AH2" s="281"/>
      <c r="AI2" s="282"/>
      <c r="AJ2" s="282"/>
      <c r="AK2" s="282"/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V2" s="282"/>
      <c r="AW2" s="282"/>
      <c r="AX2" s="282"/>
      <c r="AY2" s="282"/>
      <c r="AZ2" s="282"/>
      <c r="BA2" s="282"/>
      <c r="BB2" s="282"/>
      <c r="BC2" s="282"/>
    </row>
    <row r="3" s="162" customFormat="1" ht="24.75" customHeight="1" spans="1:55">
      <c r="A3" s="172" t="s">
        <v>6</v>
      </c>
      <c r="B3" s="173" t="s">
        <v>7</v>
      </c>
      <c r="C3" s="174" t="s">
        <v>8</v>
      </c>
      <c r="D3" s="175" t="s">
        <v>9</v>
      </c>
      <c r="E3" s="175" t="s">
        <v>10</v>
      </c>
      <c r="F3" s="176" t="s">
        <v>11</v>
      </c>
      <c r="G3" s="177" t="s">
        <v>12</v>
      </c>
      <c r="H3" s="178" t="s">
        <v>13</v>
      </c>
      <c r="I3" s="178" t="s">
        <v>14</v>
      </c>
      <c r="J3" s="172" t="s">
        <v>15</v>
      </c>
      <c r="K3" s="177" t="s">
        <v>16</v>
      </c>
      <c r="L3" s="177" t="s">
        <v>17</v>
      </c>
      <c r="M3" s="209" t="s">
        <v>18</v>
      </c>
      <c r="N3" s="210" t="s">
        <v>8</v>
      </c>
      <c r="O3" s="173" t="s">
        <v>9</v>
      </c>
      <c r="P3" s="211" t="s">
        <v>10</v>
      </c>
      <c r="Q3" s="236" t="s">
        <v>8</v>
      </c>
      <c r="R3" s="173" t="s">
        <v>9</v>
      </c>
      <c r="S3" s="211" t="s">
        <v>10</v>
      </c>
      <c r="T3" s="210" t="s">
        <v>8</v>
      </c>
      <c r="U3" s="173" t="s">
        <v>9</v>
      </c>
      <c r="V3" s="173" t="s">
        <v>10</v>
      </c>
      <c r="W3" s="173" t="s">
        <v>8</v>
      </c>
      <c r="X3" s="173" t="s">
        <v>9</v>
      </c>
      <c r="Y3" s="211" t="s">
        <v>10</v>
      </c>
      <c r="Z3" s="255" t="s">
        <v>19</v>
      </c>
      <c r="AA3" s="256" t="s">
        <v>20</v>
      </c>
      <c r="AB3" s="257" t="s">
        <v>21</v>
      </c>
      <c r="AC3" s="258" t="s">
        <v>22</v>
      </c>
      <c r="AD3" s="257" t="s">
        <v>23</v>
      </c>
      <c r="AE3" s="259" t="s">
        <v>24</v>
      </c>
      <c r="AF3" s="259" t="s">
        <v>25</v>
      </c>
      <c r="AG3" s="258" t="s">
        <v>26</v>
      </c>
      <c r="AH3" s="281" t="s">
        <v>27</v>
      </c>
      <c r="AI3" s="282" t="s">
        <v>28</v>
      </c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</row>
    <row r="4" s="365" customFormat="1" ht="15" customHeight="1" spans="1:55">
      <c r="A4" s="368"/>
      <c r="B4" s="369"/>
      <c r="C4" s="370" t="s">
        <v>29</v>
      </c>
      <c r="D4" s="368" t="s">
        <v>29</v>
      </c>
      <c r="E4" s="368" t="s">
        <v>29</v>
      </c>
      <c r="F4" s="371" t="s">
        <v>30</v>
      </c>
      <c r="G4" s="368" t="s">
        <v>30</v>
      </c>
      <c r="H4" s="368" t="s">
        <v>30</v>
      </c>
      <c r="I4" s="368" t="s">
        <v>30</v>
      </c>
      <c r="J4" s="368" t="s">
        <v>29</v>
      </c>
      <c r="K4" s="368" t="s">
        <v>29</v>
      </c>
      <c r="L4" s="368" t="s">
        <v>29</v>
      </c>
      <c r="M4" s="398" t="s">
        <v>29</v>
      </c>
      <c r="N4" s="370" t="s">
        <v>29</v>
      </c>
      <c r="O4" s="368" t="s">
        <v>29</v>
      </c>
      <c r="P4" s="398" t="s">
        <v>29</v>
      </c>
      <c r="Q4" s="413" t="s">
        <v>29</v>
      </c>
      <c r="R4" s="368" t="s">
        <v>29</v>
      </c>
      <c r="S4" s="398" t="s">
        <v>29</v>
      </c>
      <c r="T4" s="370" t="s">
        <v>31</v>
      </c>
      <c r="U4" s="368" t="s">
        <v>31</v>
      </c>
      <c r="V4" s="368" t="s">
        <v>31</v>
      </c>
      <c r="W4" s="368" t="s">
        <v>31</v>
      </c>
      <c r="X4" s="368" t="s">
        <v>31</v>
      </c>
      <c r="Y4" s="398" t="s">
        <v>31</v>
      </c>
      <c r="Z4" s="422" t="s">
        <v>32</v>
      </c>
      <c r="AA4" s="423" t="s">
        <v>32</v>
      </c>
      <c r="AB4" s="370" t="s">
        <v>30</v>
      </c>
      <c r="AC4" s="398" t="s">
        <v>33</v>
      </c>
      <c r="AD4" s="370" t="s">
        <v>29</v>
      </c>
      <c r="AE4" s="368" t="s">
        <v>29</v>
      </c>
      <c r="AF4" s="368" t="s">
        <v>29</v>
      </c>
      <c r="AG4" s="398" t="s">
        <v>29</v>
      </c>
      <c r="AH4" s="439"/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0"/>
      <c r="AY4" s="400"/>
      <c r="AZ4" s="400"/>
      <c r="BA4" s="400"/>
      <c r="BB4" s="400"/>
      <c r="BC4" s="400"/>
    </row>
    <row r="5" s="366" customFormat="1" ht="15" customHeight="1" spans="1:55">
      <c r="A5" s="372">
        <v>42736</v>
      </c>
      <c r="B5" s="373" t="s">
        <v>34</v>
      </c>
      <c r="C5" s="374">
        <v>68297</v>
      </c>
      <c r="D5" s="375">
        <f>22335+10436</f>
        <v>32771</v>
      </c>
      <c r="E5" s="375">
        <f>86323+19497</f>
        <v>105820</v>
      </c>
      <c r="F5" s="375">
        <v>5029</v>
      </c>
      <c r="G5" s="329">
        <v>3612.3</v>
      </c>
      <c r="H5" s="376"/>
      <c r="I5" s="376"/>
      <c r="J5" s="399">
        <f t="shared" ref="J5:J68" si="0">E5-D5</f>
        <v>73049</v>
      </c>
      <c r="K5" s="400">
        <v>391</v>
      </c>
      <c r="L5" s="329">
        <v>3791</v>
      </c>
      <c r="M5" s="401">
        <f>J5-K5-L5-C5</f>
        <v>570</v>
      </c>
      <c r="N5" s="396">
        <f>C5</f>
        <v>68297</v>
      </c>
      <c r="O5" s="402">
        <f>D5</f>
        <v>32771</v>
      </c>
      <c r="P5" s="398">
        <f>E5</f>
        <v>105820</v>
      </c>
      <c r="Q5" s="414">
        <f>N5</f>
        <v>68297</v>
      </c>
      <c r="R5" s="402">
        <f>O5</f>
        <v>32771</v>
      </c>
      <c r="S5" s="415">
        <f>P5</f>
        <v>105820</v>
      </c>
      <c r="T5" s="416">
        <f>N5/'2018'!N5-1</f>
        <v>0.253731069297843</v>
      </c>
      <c r="U5" s="417">
        <f>O5/'2018'!O5-1</f>
        <v>0.160158600913371</v>
      </c>
      <c r="V5" s="417">
        <f>P5/'2018'!P5-1</f>
        <v>0.254222422396321</v>
      </c>
      <c r="W5" s="417">
        <f>Q5/'2018'!Q5-1</f>
        <v>0.253731069297843</v>
      </c>
      <c r="X5" s="417">
        <f>R5/'2018'!R5-1</f>
        <v>0.160158600913371</v>
      </c>
      <c r="Y5" s="424">
        <f>S5/'2018'!S5-1</f>
        <v>0.254222422396321</v>
      </c>
      <c r="Z5" s="425"/>
      <c r="AA5" s="426">
        <f t="shared" ref="AA5:AA68" si="1">Q5/10000-Z5</f>
        <v>6.8297</v>
      </c>
      <c r="AB5" s="427"/>
      <c r="AC5" s="401"/>
      <c r="AD5" s="427">
        <f>S5-R5</f>
        <v>73049</v>
      </c>
      <c r="AE5" s="329">
        <f>K5</f>
        <v>391</v>
      </c>
      <c r="AF5" s="329">
        <f>L5</f>
        <v>3791</v>
      </c>
      <c r="AG5" s="401">
        <f>AD5-Q5-AE5-AF5</f>
        <v>570</v>
      </c>
      <c r="AH5" s="439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0"/>
      <c r="AU5" s="400"/>
      <c r="AV5" s="400"/>
      <c r="AW5" s="400"/>
      <c r="AX5" s="400"/>
      <c r="AY5" s="400"/>
      <c r="AZ5" s="400"/>
      <c r="BA5" s="400"/>
      <c r="BB5" s="400"/>
      <c r="BC5" s="400"/>
    </row>
    <row r="6" s="366" customFormat="1" ht="15" customHeight="1" spans="1:55">
      <c r="A6" s="372">
        <v>42737</v>
      </c>
      <c r="B6" s="373" t="s">
        <v>35</v>
      </c>
      <c r="C6" s="377">
        <v>79444</v>
      </c>
      <c r="D6" s="329">
        <f>31769+11302</f>
        <v>43071</v>
      </c>
      <c r="E6" s="329">
        <v>127545</v>
      </c>
      <c r="F6" s="378">
        <v>6618.5</v>
      </c>
      <c r="G6" s="329">
        <v>3366.3</v>
      </c>
      <c r="H6" s="376"/>
      <c r="I6" s="376"/>
      <c r="J6" s="399">
        <f t="shared" si="0"/>
        <v>84474</v>
      </c>
      <c r="K6" s="329">
        <v>801</v>
      </c>
      <c r="L6" s="329">
        <v>3861</v>
      </c>
      <c r="M6" s="401">
        <f t="shared" ref="M6:M69" si="2">J6-K6-L6-C6</f>
        <v>368</v>
      </c>
      <c r="N6" s="396">
        <f t="shared" ref="N6:P21" si="3">N5+C6</f>
        <v>147741</v>
      </c>
      <c r="O6" s="368">
        <f t="shared" si="3"/>
        <v>75842</v>
      </c>
      <c r="P6" s="398">
        <f t="shared" si="3"/>
        <v>233365</v>
      </c>
      <c r="Q6" s="414">
        <f t="shared" ref="Q6:S35" si="4">N6</f>
        <v>147741</v>
      </c>
      <c r="R6" s="402">
        <f t="shared" si="4"/>
        <v>75842</v>
      </c>
      <c r="S6" s="415">
        <f t="shared" si="4"/>
        <v>233365</v>
      </c>
      <c r="T6" s="416">
        <f>N6/'2018'!N6-1</f>
        <v>0.213747607272249</v>
      </c>
      <c r="U6" s="417">
        <f>O6/'2018'!O6-1</f>
        <v>0.204644366085327</v>
      </c>
      <c r="V6" s="417">
        <f>P6/'2018'!P6-1</f>
        <v>0.243022264834345</v>
      </c>
      <c r="W6" s="417">
        <f>Q6/'2018'!Q6-1</f>
        <v>0.213747607272249</v>
      </c>
      <c r="X6" s="417">
        <f>R6/'2018'!R6-1</f>
        <v>0.204644366085327</v>
      </c>
      <c r="Y6" s="424">
        <f>S6/'2018'!S6-1</f>
        <v>0.243022264834345</v>
      </c>
      <c r="Z6" s="425"/>
      <c r="AA6" s="426">
        <f t="shared" si="1"/>
        <v>14.7741</v>
      </c>
      <c r="AB6" s="428"/>
      <c r="AC6" s="401"/>
      <c r="AD6" s="427">
        <f t="shared" ref="AD6:AD69" si="5">S6-R6</f>
        <v>157523</v>
      </c>
      <c r="AE6" s="329">
        <f>AE5+K6</f>
        <v>1192</v>
      </c>
      <c r="AF6" s="329">
        <f>AF5+L6</f>
        <v>7652</v>
      </c>
      <c r="AG6" s="401">
        <f>AD6-Q6-AE6-AF6</f>
        <v>938</v>
      </c>
      <c r="AH6" s="439"/>
      <c r="AI6" s="400"/>
      <c r="AJ6" s="400"/>
      <c r="AK6" s="400"/>
      <c r="AL6" s="400"/>
      <c r="AM6" s="400"/>
      <c r="AN6" s="400"/>
      <c r="AO6" s="400"/>
      <c r="AP6" s="400"/>
      <c r="AQ6" s="400"/>
      <c r="AR6" s="400"/>
      <c r="AS6" s="400"/>
      <c r="AT6" s="400"/>
      <c r="AU6" s="400"/>
      <c r="AV6" s="400"/>
      <c r="AW6" s="400"/>
      <c r="AX6" s="400"/>
      <c r="AY6" s="400"/>
      <c r="AZ6" s="400"/>
      <c r="BA6" s="400"/>
      <c r="BB6" s="400"/>
      <c r="BC6" s="400"/>
    </row>
    <row r="7" s="163" customFormat="1" ht="15" customHeight="1" spans="1:55">
      <c r="A7" s="379">
        <v>42738</v>
      </c>
      <c r="B7" s="191" t="s">
        <v>36</v>
      </c>
      <c r="C7" s="192">
        <v>79037</v>
      </c>
      <c r="D7" s="193">
        <v>46320</v>
      </c>
      <c r="E7" s="193">
        <v>130230</v>
      </c>
      <c r="F7" s="194">
        <v>6664</v>
      </c>
      <c r="G7" s="193">
        <v>3944</v>
      </c>
      <c r="H7" s="195"/>
      <c r="I7" s="195"/>
      <c r="J7" s="220">
        <f t="shared" si="0"/>
        <v>83910</v>
      </c>
      <c r="K7" s="193">
        <v>596</v>
      </c>
      <c r="L7" s="193">
        <v>3837</v>
      </c>
      <c r="M7" s="221">
        <f t="shared" si="2"/>
        <v>440</v>
      </c>
      <c r="N7" s="222">
        <f t="shared" si="3"/>
        <v>226778</v>
      </c>
      <c r="O7" s="225">
        <f t="shared" si="3"/>
        <v>122162</v>
      </c>
      <c r="P7" s="224">
        <f t="shared" si="3"/>
        <v>363595</v>
      </c>
      <c r="Q7" s="242">
        <f t="shared" si="4"/>
        <v>226778</v>
      </c>
      <c r="R7" s="223">
        <f t="shared" si="4"/>
        <v>122162</v>
      </c>
      <c r="S7" s="243">
        <f t="shared" si="4"/>
        <v>363595</v>
      </c>
      <c r="T7" s="244">
        <f>N7/'2018'!N7-1</f>
        <v>0.151262551908296</v>
      </c>
      <c r="U7" s="245">
        <f>O7/'2018'!O7-1</f>
        <v>0.241900230768449</v>
      </c>
      <c r="V7" s="245">
        <f>P7/'2018'!P7-1</f>
        <v>0.212399590526081</v>
      </c>
      <c r="W7" s="245">
        <f>Q7/'2018'!Q7-1</f>
        <v>0.151262551908296</v>
      </c>
      <c r="X7" s="245">
        <f>R7/'2018'!R7-1</f>
        <v>0.241900230768449</v>
      </c>
      <c r="Y7" s="267">
        <f>S7/'2018'!S7-1</f>
        <v>0.212399590526081</v>
      </c>
      <c r="Z7" s="268">
        <v>0.79</v>
      </c>
      <c r="AA7" s="269">
        <f t="shared" si="1"/>
        <v>21.8878</v>
      </c>
      <c r="AB7" s="429">
        <v>4259.88</v>
      </c>
      <c r="AC7" s="221">
        <f t="shared" ref="AC7" si="6">AA7*10000/AB7</f>
        <v>51.3812595659972</v>
      </c>
      <c r="AD7" s="270">
        <f t="shared" si="5"/>
        <v>241433</v>
      </c>
      <c r="AE7" s="193">
        <f t="shared" ref="AE7:AF22" si="7">AE6+K7</f>
        <v>1788</v>
      </c>
      <c r="AF7" s="193">
        <f t="shared" si="7"/>
        <v>11489</v>
      </c>
      <c r="AG7" s="221">
        <f t="shared" ref="AG7:AG70" si="8">AD7-Q7-AE7-AF7</f>
        <v>1378</v>
      </c>
      <c r="AH7" s="305"/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306"/>
      <c r="AW7" s="306"/>
      <c r="AX7" s="306"/>
      <c r="AY7" s="306"/>
      <c r="AZ7" s="306"/>
      <c r="BA7" s="306"/>
      <c r="BB7" s="306"/>
      <c r="BC7" s="306"/>
    </row>
    <row r="8" s="366" customFormat="1" ht="15" customHeight="1" spans="1:55">
      <c r="A8" s="372">
        <v>42739</v>
      </c>
      <c r="B8" s="373" t="s">
        <v>37</v>
      </c>
      <c r="C8" s="377">
        <v>76538</v>
      </c>
      <c r="D8" s="329">
        <f>35483+11493</f>
        <v>46976</v>
      </c>
      <c r="E8" s="329">
        <v>128115</v>
      </c>
      <c r="F8" s="378">
        <v>6484.2</v>
      </c>
      <c r="G8" s="329">
        <v>3906.5</v>
      </c>
      <c r="H8" s="376"/>
      <c r="I8" s="376"/>
      <c r="J8" s="399">
        <f t="shared" si="0"/>
        <v>81139</v>
      </c>
      <c r="K8" s="329">
        <v>340</v>
      </c>
      <c r="L8" s="329">
        <v>3846</v>
      </c>
      <c r="M8" s="401">
        <f t="shared" si="2"/>
        <v>415</v>
      </c>
      <c r="N8" s="396">
        <f t="shared" si="3"/>
        <v>303316</v>
      </c>
      <c r="O8" s="402">
        <f>O7+D8</f>
        <v>169138</v>
      </c>
      <c r="P8" s="398">
        <f t="shared" si="3"/>
        <v>491710</v>
      </c>
      <c r="Q8" s="414">
        <f t="shared" si="4"/>
        <v>303316</v>
      </c>
      <c r="R8" s="402">
        <f t="shared" si="4"/>
        <v>169138</v>
      </c>
      <c r="S8" s="415">
        <f t="shared" si="4"/>
        <v>491710</v>
      </c>
      <c r="T8" s="416">
        <f>N8/'2018'!N8-1</f>
        <v>0.103661576191568</v>
      </c>
      <c r="U8" s="417">
        <f>O8/'2018'!O8-1</f>
        <v>0.256037427595426</v>
      </c>
      <c r="V8" s="417">
        <f>P8/'2018'!P8-1</f>
        <v>0.182296450537877</v>
      </c>
      <c r="W8" s="417">
        <f>Q8/'2018'!Q8-1</f>
        <v>0.103661576191568</v>
      </c>
      <c r="X8" s="417">
        <f>R8/'2018'!R8-1</f>
        <v>0.256037427595426</v>
      </c>
      <c r="Y8" s="424">
        <f>S8/'2018'!S8-1</f>
        <v>0.182296450537877</v>
      </c>
      <c r="Z8" s="425"/>
      <c r="AA8" s="426">
        <f t="shared" si="1"/>
        <v>30.3316</v>
      </c>
      <c r="AB8" s="428"/>
      <c r="AC8" s="401"/>
      <c r="AD8" s="427">
        <f t="shared" si="5"/>
        <v>322572</v>
      </c>
      <c r="AE8" s="329">
        <f t="shared" si="7"/>
        <v>2128</v>
      </c>
      <c r="AF8" s="329">
        <f t="shared" si="7"/>
        <v>15335</v>
      </c>
      <c r="AG8" s="401">
        <f t="shared" si="8"/>
        <v>1793</v>
      </c>
      <c r="AH8" s="439"/>
      <c r="AI8" s="400"/>
      <c r="AJ8" s="400"/>
      <c r="AK8" s="400"/>
      <c r="AL8" s="400"/>
      <c r="AM8" s="400"/>
      <c r="AN8" s="400"/>
      <c r="AO8" s="400"/>
      <c r="AP8" s="400"/>
      <c r="AQ8" s="400"/>
      <c r="AR8" s="400"/>
      <c r="AS8" s="400"/>
      <c r="AT8" s="400"/>
      <c r="AU8" s="400"/>
      <c r="AV8" s="400"/>
      <c r="AW8" s="400"/>
      <c r="AX8" s="400"/>
      <c r="AY8" s="400"/>
      <c r="AZ8" s="400"/>
      <c r="BA8" s="400"/>
      <c r="BB8" s="400"/>
      <c r="BC8" s="400"/>
    </row>
    <row r="9" s="366" customFormat="1" ht="15" customHeight="1" spans="1:55">
      <c r="A9" s="372">
        <v>42740</v>
      </c>
      <c r="B9" s="373" t="s">
        <v>38</v>
      </c>
      <c r="C9" s="377">
        <v>72424</v>
      </c>
      <c r="D9" s="329">
        <f>35121+11496</f>
        <v>46617</v>
      </c>
      <c r="E9" s="329">
        <v>123604</v>
      </c>
      <c r="F9" s="378">
        <v>6253.1</v>
      </c>
      <c r="G9" s="329">
        <v>3790.2</v>
      </c>
      <c r="H9" s="376"/>
      <c r="I9" s="376"/>
      <c r="J9" s="399">
        <f t="shared" si="0"/>
        <v>76987</v>
      </c>
      <c r="K9" s="329">
        <v>148</v>
      </c>
      <c r="L9" s="329">
        <v>3843</v>
      </c>
      <c r="M9" s="401">
        <f t="shared" si="2"/>
        <v>572</v>
      </c>
      <c r="N9" s="396">
        <f t="shared" si="3"/>
        <v>375740</v>
      </c>
      <c r="O9" s="368">
        <f t="shared" si="3"/>
        <v>215755</v>
      </c>
      <c r="P9" s="398">
        <f t="shared" si="3"/>
        <v>615314</v>
      </c>
      <c r="Q9" s="414">
        <f t="shared" si="4"/>
        <v>375740</v>
      </c>
      <c r="R9" s="402">
        <f t="shared" si="4"/>
        <v>215755</v>
      </c>
      <c r="S9" s="415">
        <f t="shared" si="4"/>
        <v>615314</v>
      </c>
      <c r="T9" s="416">
        <f>N9/'2018'!N9-1</f>
        <v>0.0636328380432598</v>
      </c>
      <c r="U9" s="417">
        <f>O9/'2018'!O9-1</f>
        <v>0.248350999814849</v>
      </c>
      <c r="V9" s="417">
        <f>P9/'2018'!P9-1</f>
        <v>0.152348936728063</v>
      </c>
      <c r="W9" s="417">
        <f>Q9/'2018'!Q9-1</f>
        <v>0.0636328380432598</v>
      </c>
      <c r="X9" s="417">
        <f>R9/'2018'!R9-1</f>
        <v>0.248350999814849</v>
      </c>
      <c r="Y9" s="430">
        <f>S9/'2018'!S9-1</f>
        <v>0.152348936728063</v>
      </c>
      <c r="Z9" s="425"/>
      <c r="AA9" s="426">
        <f t="shared" si="1"/>
        <v>37.574</v>
      </c>
      <c r="AB9" s="428"/>
      <c r="AC9" s="401"/>
      <c r="AD9" s="427">
        <f t="shared" si="5"/>
        <v>399559</v>
      </c>
      <c r="AE9" s="329">
        <f t="shared" si="7"/>
        <v>2276</v>
      </c>
      <c r="AF9" s="329">
        <f t="shared" si="7"/>
        <v>19178</v>
      </c>
      <c r="AG9" s="401">
        <f t="shared" si="8"/>
        <v>2365</v>
      </c>
      <c r="AH9" s="439"/>
      <c r="AI9" s="400"/>
      <c r="AJ9" s="400"/>
      <c r="AK9" s="400"/>
      <c r="AL9" s="400"/>
      <c r="AM9" s="400"/>
      <c r="AN9" s="400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0"/>
      <c r="BA9" s="400"/>
      <c r="BB9" s="400"/>
      <c r="BC9" s="400"/>
    </row>
    <row r="10" s="366" customFormat="1" ht="15" customHeight="1" spans="1:55">
      <c r="A10" s="372">
        <v>42741</v>
      </c>
      <c r="B10" s="373" t="s">
        <v>1</v>
      </c>
      <c r="C10" s="377">
        <v>66729</v>
      </c>
      <c r="D10" s="329">
        <f>34643+11620</f>
        <v>46263</v>
      </c>
      <c r="E10" s="329">
        <v>117670</v>
      </c>
      <c r="F10" s="378">
        <v>5889.8</v>
      </c>
      <c r="G10" s="329">
        <v>3670.4</v>
      </c>
      <c r="H10" s="376"/>
      <c r="I10" s="376"/>
      <c r="J10" s="399">
        <f t="shared" si="0"/>
        <v>71407</v>
      </c>
      <c r="K10" s="329">
        <v>349</v>
      </c>
      <c r="L10" s="329">
        <v>3850</v>
      </c>
      <c r="M10" s="401">
        <f t="shared" si="2"/>
        <v>479</v>
      </c>
      <c r="N10" s="396">
        <f t="shared" si="3"/>
        <v>442469</v>
      </c>
      <c r="O10" s="368">
        <f t="shared" si="3"/>
        <v>262018</v>
      </c>
      <c r="P10" s="398">
        <f t="shared" si="3"/>
        <v>732984</v>
      </c>
      <c r="Q10" s="414">
        <f t="shared" si="4"/>
        <v>442469</v>
      </c>
      <c r="R10" s="402">
        <f t="shared" si="4"/>
        <v>262018</v>
      </c>
      <c r="S10" s="415">
        <f t="shared" si="4"/>
        <v>732984</v>
      </c>
      <c r="T10" s="416">
        <f>N10/'2018'!N10-1</f>
        <v>0.0239209315672064</v>
      </c>
      <c r="U10" s="417">
        <f>O10/'2018'!O10-1</f>
        <v>0.246434585707898</v>
      </c>
      <c r="V10" s="417">
        <f>P10/'2018'!P10-1</f>
        <v>0.124593227438219</v>
      </c>
      <c r="W10" s="417">
        <f>Q10/'2018'!Q10-1</f>
        <v>0.0239209315672064</v>
      </c>
      <c r="X10" s="417">
        <f>R10/'2018'!R10-1</f>
        <v>0.246434585707898</v>
      </c>
      <c r="Y10" s="424">
        <f>S10/'2018'!S10-1</f>
        <v>0.124593227438219</v>
      </c>
      <c r="Z10" s="425"/>
      <c r="AA10" s="426">
        <f t="shared" si="1"/>
        <v>44.2469</v>
      </c>
      <c r="AB10" s="428"/>
      <c r="AC10" s="401"/>
      <c r="AD10" s="427">
        <f t="shared" si="5"/>
        <v>470966</v>
      </c>
      <c r="AE10" s="329">
        <f t="shared" si="7"/>
        <v>2625</v>
      </c>
      <c r="AF10" s="329">
        <f t="shared" si="7"/>
        <v>23028</v>
      </c>
      <c r="AG10" s="401">
        <f t="shared" si="8"/>
        <v>2844</v>
      </c>
      <c r="AH10" s="439"/>
      <c r="AI10" s="400"/>
      <c r="AJ10" s="400"/>
      <c r="AK10" s="400"/>
      <c r="AL10" s="400"/>
      <c r="AM10" s="400"/>
      <c r="AN10" s="400"/>
      <c r="AO10" s="400"/>
      <c r="AP10" s="400"/>
      <c r="AQ10" s="400"/>
      <c r="AR10" s="400"/>
      <c r="AS10" s="400"/>
      <c r="AT10" s="400"/>
      <c r="AU10" s="400"/>
      <c r="AV10" s="400"/>
      <c r="AW10" s="400"/>
      <c r="AX10" s="400"/>
      <c r="AY10" s="400"/>
      <c r="AZ10" s="400"/>
      <c r="BA10" s="400"/>
      <c r="BB10" s="400"/>
      <c r="BC10" s="400"/>
    </row>
    <row r="11" s="366" customFormat="1" ht="15" customHeight="1" spans="1:55">
      <c r="A11" s="372">
        <v>42742</v>
      </c>
      <c r="B11" s="373" t="s">
        <v>39</v>
      </c>
      <c r="C11" s="377">
        <v>72450</v>
      </c>
      <c r="D11" s="329">
        <f>34178+11496</f>
        <v>45674</v>
      </c>
      <c r="E11" s="329">
        <v>122733</v>
      </c>
      <c r="F11" s="378">
        <v>6292.2</v>
      </c>
      <c r="G11" s="329">
        <v>3602.6</v>
      </c>
      <c r="H11" s="376"/>
      <c r="I11" s="376"/>
      <c r="J11" s="399">
        <f t="shared" si="0"/>
        <v>77059</v>
      </c>
      <c r="K11" s="329">
        <v>451</v>
      </c>
      <c r="L11" s="329">
        <v>3866</v>
      </c>
      <c r="M11" s="401">
        <f t="shared" si="2"/>
        <v>292</v>
      </c>
      <c r="N11" s="396">
        <f t="shared" si="3"/>
        <v>514919</v>
      </c>
      <c r="O11" s="368">
        <f t="shared" si="3"/>
        <v>307692</v>
      </c>
      <c r="P11" s="398">
        <f t="shared" si="3"/>
        <v>855717</v>
      </c>
      <c r="Q11" s="414">
        <f t="shared" si="4"/>
        <v>514919</v>
      </c>
      <c r="R11" s="402">
        <f t="shared" si="4"/>
        <v>307692</v>
      </c>
      <c r="S11" s="415">
        <f t="shared" si="4"/>
        <v>855717</v>
      </c>
      <c r="T11" s="416">
        <f>N11/'2018'!N11-1</f>
        <v>0.0155311965036564</v>
      </c>
      <c r="U11" s="417">
        <f>O11/'2018'!O11-1</f>
        <v>0.248861505491562</v>
      </c>
      <c r="V11" s="417">
        <f>P11/'2018'!P11-1</f>
        <v>0.119674715899798</v>
      </c>
      <c r="W11" s="417">
        <f>Q11/'2018'!Q11-1</f>
        <v>0.0155311965036564</v>
      </c>
      <c r="X11" s="417">
        <f>R11/'2018'!R11-1</f>
        <v>0.248861505491562</v>
      </c>
      <c r="Y11" s="424">
        <f>S11/'2018'!S11-1</f>
        <v>0.119674715899798</v>
      </c>
      <c r="Z11" s="425"/>
      <c r="AA11" s="426">
        <f t="shared" si="1"/>
        <v>51.4919</v>
      </c>
      <c r="AB11" s="428"/>
      <c r="AC11" s="401"/>
      <c r="AD11" s="427">
        <f t="shared" si="5"/>
        <v>548025</v>
      </c>
      <c r="AE11" s="329">
        <f t="shared" si="7"/>
        <v>3076</v>
      </c>
      <c r="AF11" s="329">
        <f t="shared" si="7"/>
        <v>26894</v>
      </c>
      <c r="AG11" s="401">
        <f t="shared" si="8"/>
        <v>3136</v>
      </c>
      <c r="AH11" s="439"/>
      <c r="AI11" s="400"/>
      <c r="AJ11" s="400"/>
      <c r="AK11" s="400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0"/>
      <c r="AX11" s="400"/>
      <c r="AY11" s="400"/>
      <c r="AZ11" s="400"/>
      <c r="BA11" s="400"/>
      <c r="BB11" s="400"/>
      <c r="BC11" s="400"/>
    </row>
    <row r="12" s="366" customFormat="1" ht="15" customHeight="1" spans="1:55">
      <c r="A12" s="372">
        <v>42743</v>
      </c>
      <c r="B12" s="373" t="s">
        <v>34</v>
      </c>
      <c r="C12" s="377">
        <v>74522</v>
      </c>
      <c r="D12" s="329">
        <f>33603+11419</f>
        <v>45022</v>
      </c>
      <c r="E12" s="329">
        <v>124129</v>
      </c>
      <c r="F12" s="378">
        <v>6269.2</v>
      </c>
      <c r="G12" s="329">
        <v>3729.5</v>
      </c>
      <c r="H12" s="376"/>
      <c r="I12" s="376"/>
      <c r="J12" s="399">
        <f t="shared" si="0"/>
        <v>79107</v>
      </c>
      <c r="K12" s="329">
        <v>372</v>
      </c>
      <c r="L12" s="329">
        <v>3834</v>
      </c>
      <c r="M12" s="401">
        <f t="shared" si="2"/>
        <v>379</v>
      </c>
      <c r="N12" s="396">
        <f t="shared" si="3"/>
        <v>589441</v>
      </c>
      <c r="O12" s="368">
        <f t="shared" si="3"/>
        <v>352714</v>
      </c>
      <c r="P12" s="398">
        <f t="shared" si="3"/>
        <v>979846</v>
      </c>
      <c r="Q12" s="414">
        <f t="shared" si="4"/>
        <v>589441</v>
      </c>
      <c r="R12" s="402">
        <f t="shared" si="4"/>
        <v>352714</v>
      </c>
      <c r="S12" s="415">
        <f t="shared" si="4"/>
        <v>979846</v>
      </c>
      <c r="T12" s="416">
        <f>N12/'2018'!N12-1</f>
        <v>0.00729012688511976</v>
      </c>
      <c r="U12" s="417">
        <f>O12/'2018'!O12-1</f>
        <v>0.23653433551626</v>
      </c>
      <c r="V12" s="417">
        <f>P12/'2018'!P12-1</f>
        <v>0.110108331879392</v>
      </c>
      <c r="W12" s="417">
        <f>Q12/'2018'!Q12-1</f>
        <v>0.00729012688511976</v>
      </c>
      <c r="X12" s="417">
        <f>R12/'2018'!R12-1</f>
        <v>0.23653433551626</v>
      </c>
      <c r="Y12" s="424">
        <f>S12/'2018'!S12-1</f>
        <v>0.110108331879392</v>
      </c>
      <c r="Z12" s="425"/>
      <c r="AA12" s="426">
        <f t="shared" si="1"/>
        <v>58.9441</v>
      </c>
      <c r="AB12" s="428"/>
      <c r="AC12" s="401"/>
      <c r="AD12" s="427">
        <f t="shared" si="5"/>
        <v>627132</v>
      </c>
      <c r="AE12" s="329">
        <f t="shared" si="7"/>
        <v>3448</v>
      </c>
      <c r="AF12" s="329">
        <f t="shared" si="7"/>
        <v>30728</v>
      </c>
      <c r="AG12" s="401">
        <f t="shared" si="8"/>
        <v>3515</v>
      </c>
      <c r="AH12" s="439"/>
      <c r="AI12" s="400"/>
      <c r="AJ12" s="400"/>
      <c r="AK12" s="400"/>
      <c r="AL12" s="400"/>
      <c r="AM12" s="400"/>
      <c r="AN12" s="400"/>
      <c r="AO12" s="400"/>
      <c r="AP12" s="400"/>
      <c r="AQ12" s="400"/>
      <c r="AR12" s="400"/>
      <c r="AS12" s="400"/>
      <c r="AT12" s="400"/>
      <c r="AU12" s="400"/>
      <c r="AV12" s="400"/>
      <c r="AW12" s="400"/>
      <c r="AX12" s="400"/>
      <c r="AY12" s="400"/>
      <c r="AZ12" s="400"/>
      <c r="BA12" s="400"/>
      <c r="BB12" s="400"/>
      <c r="BC12" s="400"/>
    </row>
    <row r="13" s="366" customFormat="1" ht="15" customHeight="1" spans="1:55">
      <c r="A13" s="372">
        <v>42744</v>
      </c>
      <c r="B13" s="373" t="s">
        <v>35</v>
      </c>
      <c r="C13" s="377">
        <v>78356</v>
      </c>
      <c r="D13" s="329">
        <f>33245+11390</f>
        <v>44635</v>
      </c>
      <c r="E13" s="329">
        <v>127500</v>
      </c>
      <c r="F13" s="378">
        <v>6466.2</v>
      </c>
      <c r="G13" s="329">
        <v>3817.3</v>
      </c>
      <c r="H13" s="376"/>
      <c r="I13" s="376"/>
      <c r="J13" s="399">
        <f t="shared" si="0"/>
        <v>82865</v>
      </c>
      <c r="K13" s="329">
        <v>332</v>
      </c>
      <c r="L13" s="329">
        <v>3844</v>
      </c>
      <c r="M13" s="401">
        <f t="shared" si="2"/>
        <v>333</v>
      </c>
      <c r="N13" s="396">
        <f t="shared" si="3"/>
        <v>667797</v>
      </c>
      <c r="O13" s="368">
        <f t="shared" si="3"/>
        <v>397349</v>
      </c>
      <c r="P13" s="398">
        <f t="shared" si="3"/>
        <v>1107346</v>
      </c>
      <c r="Q13" s="414">
        <f t="shared" si="4"/>
        <v>667797</v>
      </c>
      <c r="R13" s="402">
        <f t="shared" si="4"/>
        <v>397349</v>
      </c>
      <c r="S13" s="415">
        <f t="shared" si="4"/>
        <v>1107346</v>
      </c>
      <c r="T13" s="416">
        <f>N13/'2018'!N13-1</f>
        <v>0.0122998470477487</v>
      </c>
      <c r="U13" s="417">
        <f>O13/'2018'!O13-1</f>
        <v>0.222435524708734</v>
      </c>
      <c r="V13" s="417">
        <f>P13/'2018'!P13-1</f>
        <v>0.108320213467638</v>
      </c>
      <c r="W13" s="417">
        <f>Q13/'2018'!Q13-1</f>
        <v>0.0122998470477487</v>
      </c>
      <c r="X13" s="417">
        <f>R13/'2018'!R13-1</f>
        <v>0.222435524708734</v>
      </c>
      <c r="Y13" s="424">
        <f>S13/'2018'!S13-1</f>
        <v>0.108320213467638</v>
      </c>
      <c r="Z13" s="425"/>
      <c r="AA13" s="426">
        <f t="shared" si="1"/>
        <v>66.7797</v>
      </c>
      <c r="AB13" s="428"/>
      <c r="AC13" s="401"/>
      <c r="AD13" s="427">
        <f t="shared" si="5"/>
        <v>709997</v>
      </c>
      <c r="AE13" s="329">
        <f t="shared" si="7"/>
        <v>3780</v>
      </c>
      <c r="AF13" s="329">
        <f t="shared" si="7"/>
        <v>34572</v>
      </c>
      <c r="AG13" s="401">
        <f t="shared" si="8"/>
        <v>3848</v>
      </c>
      <c r="AH13" s="439"/>
      <c r="AI13" s="400"/>
      <c r="AJ13" s="400"/>
      <c r="AK13" s="400"/>
      <c r="AL13" s="400"/>
      <c r="AM13" s="400"/>
      <c r="AN13" s="400"/>
      <c r="AO13" s="400"/>
      <c r="AP13" s="400"/>
      <c r="AQ13" s="400"/>
      <c r="AR13" s="400"/>
      <c r="AS13" s="400"/>
      <c r="AT13" s="400"/>
      <c r="AU13" s="400"/>
      <c r="AV13" s="400"/>
      <c r="AW13" s="400"/>
      <c r="AX13" s="400"/>
      <c r="AY13" s="400"/>
      <c r="AZ13" s="400"/>
      <c r="BA13" s="400"/>
      <c r="BB13" s="400"/>
      <c r="BC13" s="400"/>
    </row>
    <row r="14" s="163" customFormat="1" ht="15" customHeight="1" spans="1:55">
      <c r="A14" s="379">
        <v>42745</v>
      </c>
      <c r="B14" s="191" t="s">
        <v>36</v>
      </c>
      <c r="C14" s="192">
        <f>72838+2949</f>
        <v>75787</v>
      </c>
      <c r="D14" s="193">
        <f>30341+14893</f>
        <v>45234</v>
      </c>
      <c r="E14" s="193">
        <f>95108+30341</f>
        <v>125449</v>
      </c>
      <c r="F14" s="194">
        <v>6322</v>
      </c>
      <c r="G14" s="193">
        <v>3857</v>
      </c>
      <c r="H14" s="195"/>
      <c r="I14" s="195"/>
      <c r="J14" s="220">
        <f t="shared" si="0"/>
        <v>80215</v>
      </c>
      <c r="K14" s="193">
        <v>312</v>
      </c>
      <c r="L14" s="193">
        <v>3831</v>
      </c>
      <c r="M14" s="221">
        <f t="shared" si="2"/>
        <v>285</v>
      </c>
      <c r="N14" s="222">
        <f>N13+C14</f>
        <v>743584</v>
      </c>
      <c r="O14" s="225">
        <f t="shared" si="3"/>
        <v>442583</v>
      </c>
      <c r="P14" s="403">
        <f t="shared" si="3"/>
        <v>1232795</v>
      </c>
      <c r="Q14" s="242">
        <f t="shared" si="4"/>
        <v>743584</v>
      </c>
      <c r="R14" s="223">
        <f t="shared" si="4"/>
        <v>442583</v>
      </c>
      <c r="S14" s="243">
        <f t="shared" si="4"/>
        <v>1232795</v>
      </c>
      <c r="T14" s="244">
        <f>N14/'2018'!N14-1</f>
        <v>0.0143230516557449</v>
      </c>
      <c r="U14" s="245">
        <f>O14/'2018'!O14-1</f>
        <v>0.211242049721398</v>
      </c>
      <c r="V14" s="245">
        <f>P14/'2018'!P14-1</f>
        <v>0.105671522385275</v>
      </c>
      <c r="W14" s="245">
        <f>Q14/'2018'!Q14-1</f>
        <v>0.0143230516557449</v>
      </c>
      <c r="X14" s="245">
        <f>R14/'2018'!R14-1</f>
        <v>0.211242049721398</v>
      </c>
      <c r="Y14" s="267">
        <f>S14/'2018'!S14-1</f>
        <v>0.105671522385275</v>
      </c>
      <c r="Z14" s="268">
        <v>2.85</v>
      </c>
      <c r="AA14" s="269">
        <f t="shared" si="1"/>
        <v>71.5084</v>
      </c>
      <c r="AB14" s="429">
        <v>4259.88</v>
      </c>
      <c r="AC14" s="221">
        <f t="shared" ref="AC14" si="9">AA14*10000/AB14</f>
        <v>167.864822483262</v>
      </c>
      <c r="AD14" s="270">
        <f t="shared" si="5"/>
        <v>790212</v>
      </c>
      <c r="AE14" s="193">
        <f t="shared" si="7"/>
        <v>4092</v>
      </c>
      <c r="AF14" s="193">
        <f t="shared" si="7"/>
        <v>38403</v>
      </c>
      <c r="AG14" s="221">
        <f t="shared" si="8"/>
        <v>4133</v>
      </c>
      <c r="AH14" s="305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</row>
    <row r="15" s="366" customFormat="1" ht="15" customHeight="1" spans="1:55">
      <c r="A15" s="372">
        <v>42746</v>
      </c>
      <c r="B15" s="373" t="s">
        <v>37</v>
      </c>
      <c r="C15" s="377">
        <v>72519</v>
      </c>
      <c r="D15" s="329">
        <f>34170+11529</f>
        <v>45699</v>
      </c>
      <c r="E15" s="329">
        <v>122698</v>
      </c>
      <c r="F15" s="378">
        <v>6191.6</v>
      </c>
      <c r="G15" s="329">
        <v>3759.2</v>
      </c>
      <c r="H15" s="376"/>
      <c r="I15" s="376"/>
      <c r="J15" s="399">
        <f t="shared" si="0"/>
        <v>76999</v>
      </c>
      <c r="K15" s="329">
        <v>311</v>
      </c>
      <c r="L15" s="329">
        <v>3846</v>
      </c>
      <c r="M15" s="401">
        <f t="shared" si="2"/>
        <v>323</v>
      </c>
      <c r="N15" s="396">
        <f>N14+C15</f>
        <v>816103</v>
      </c>
      <c r="O15" s="368">
        <f t="shared" si="3"/>
        <v>488282</v>
      </c>
      <c r="P15" s="404">
        <f t="shared" si="3"/>
        <v>1355493</v>
      </c>
      <c r="Q15" s="414">
        <f>N15</f>
        <v>816103</v>
      </c>
      <c r="R15" s="402">
        <f t="shared" si="4"/>
        <v>488282</v>
      </c>
      <c r="S15" s="415">
        <f t="shared" si="4"/>
        <v>1355493</v>
      </c>
      <c r="T15" s="416">
        <f>N15/'2018'!N15-1</f>
        <v>0.00902693118958653</v>
      </c>
      <c r="U15" s="417">
        <f>O15/'2018'!O15-1</f>
        <v>0.203705666721723</v>
      </c>
      <c r="V15" s="417">
        <f>P15/'2018'!P15-1</f>
        <v>0.0993214260514976</v>
      </c>
      <c r="W15" s="417">
        <f>Q15/'2018'!Q15-1</f>
        <v>0.00902693118958653</v>
      </c>
      <c r="X15" s="417">
        <f>R15/'2018'!R15-1</f>
        <v>0.203705666721723</v>
      </c>
      <c r="Y15" s="424">
        <f>S15/'2018'!S15-1</f>
        <v>0.0993214260514976</v>
      </c>
      <c r="Z15" s="425"/>
      <c r="AA15" s="426">
        <f t="shared" si="1"/>
        <v>81.6103</v>
      </c>
      <c r="AB15" s="428"/>
      <c r="AC15" s="401"/>
      <c r="AD15" s="427">
        <f t="shared" si="5"/>
        <v>867211</v>
      </c>
      <c r="AE15" s="329">
        <f t="shared" si="7"/>
        <v>4403</v>
      </c>
      <c r="AF15" s="329">
        <f t="shared" si="7"/>
        <v>42249</v>
      </c>
      <c r="AG15" s="401">
        <f t="shared" si="8"/>
        <v>4456</v>
      </c>
      <c r="AH15" s="439"/>
      <c r="AI15" s="400"/>
      <c r="AJ15" s="400"/>
      <c r="AK15" s="400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0"/>
      <c r="AX15" s="400"/>
      <c r="AY15" s="400"/>
      <c r="AZ15" s="400"/>
      <c r="BA15" s="400"/>
      <c r="BB15" s="400"/>
      <c r="BC15" s="400"/>
    </row>
    <row r="16" s="366" customFormat="1" ht="15" customHeight="1" spans="1:55">
      <c r="A16" s="372">
        <v>42747</v>
      </c>
      <c r="B16" s="373" t="s">
        <v>38</v>
      </c>
      <c r="C16" s="377">
        <v>68544</v>
      </c>
      <c r="D16" s="329">
        <f>33121+11357</f>
        <v>44478</v>
      </c>
      <c r="E16" s="329">
        <v>117901</v>
      </c>
      <c r="F16" s="378">
        <v>5946.9</v>
      </c>
      <c r="G16" s="329">
        <v>3601.6</v>
      </c>
      <c r="H16" s="376"/>
      <c r="I16" s="376"/>
      <c r="J16" s="399">
        <f t="shared" si="0"/>
        <v>73423</v>
      </c>
      <c r="K16" s="329">
        <v>342</v>
      </c>
      <c r="L16" s="329">
        <v>3849</v>
      </c>
      <c r="M16" s="401">
        <f t="shared" si="2"/>
        <v>688</v>
      </c>
      <c r="N16" s="396">
        <f t="shared" si="3"/>
        <v>884647</v>
      </c>
      <c r="O16" s="368">
        <f t="shared" si="3"/>
        <v>532760</v>
      </c>
      <c r="P16" s="404">
        <f t="shared" si="3"/>
        <v>1473394</v>
      </c>
      <c r="Q16" s="414">
        <f t="shared" si="4"/>
        <v>884647</v>
      </c>
      <c r="R16" s="402">
        <f t="shared" si="4"/>
        <v>532760</v>
      </c>
      <c r="S16" s="415">
        <f t="shared" si="4"/>
        <v>1473394</v>
      </c>
      <c r="T16" s="416">
        <f>N16/'2018'!N16-1</f>
        <v>-0.00814319830476173</v>
      </c>
      <c r="U16" s="417">
        <f>O16/'2018'!O16-1</f>
        <v>0.204565392372322</v>
      </c>
      <c r="V16" s="417">
        <f>P16/'2018'!P16-1</f>
        <v>0.0877127965863957</v>
      </c>
      <c r="W16" s="417">
        <f>Q16/'2018'!Q16-1</f>
        <v>-0.00814319830476173</v>
      </c>
      <c r="X16" s="417">
        <f>R16/'2018'!R16-1</f>
        <v>0.204565392372322</v>
      </c>
      <c r="Y16" s="424">
        <f>S16/'2018'!S16-1</f>
        <v>0.0877127965863957</v>
      </c>
      <c r="Z16" s="425"/>
      <c r="AA16" s="426">
        <f t="shared" si="1"/>
        <v>88.4647</v>
      </c>
      <c r="AB16" s="428"/>
      <c r="AC16" s="401"/>
      <c r="AD16" s="427">
        <f t="shared" si="5"/>
        <v>940634</v>
      </c>
      <c r="AE16" s="329">
        <f t="shared" si="7"/>
        <v>4745</v>
      </c>
      <c r="AF16" s="329">
        <f t="shared" si="7"/>
        <v>46098</v>
      </c>
      <c r="AG16" s="401">
        <f t="shared" si="8"/>
        <v>5144</v>
      </c>
      <c r="AH16" s="439"/>
      <c r="AI16" s="400"/>
      <c r="AJ16" s="400"/>
      <c r="AK16" s="400"/>
      <c r="AL16" s="400"/>
      <c r="AM16" s="400"/>
      <c r="AN16" s="400"/>
      <c r="AO16" s="400"/>
      <c r="AP16" s="400"/>
      <c r="AQ16" s="400"/>
      <c r="AR16" s="400"/>
      <c r="AS16" s="400"/>
      <c r="AT16" s="400"/>
      <c r="AU16" s="400"/>
      <c r="AV16" s="400"/>
      <c r="AW16" s="400"/>
      <c r="AX16" s="400"/>
      <c r="AY16" s="400"/>
      <c r="AZ16" s="400"/>
      <c r="BA16" s="400"/>
      <c r="BB16" s="400"/>
      <c r="BC16" s="400"/>
    </row>
    <row r="17" s="366" customFormat="1" spans="1:55">
      <c r="A17" s="372">
        <v>42748</v>
      </c>
      <c r="B17" s="373" t="s">
        <v>1</v>
      </c>
      <c r="C17" s="377">
        <v>65051</v>
      </c>
      <c r="D17" s="329">
        <f>32869+11431</f>
        <v>44300</v>
      </c>
      <c r="E17" s="329">
        <v>114072</v>
      </c>
      <c r="F17" s="378">
        <v>5593.4</v>
      </c>
      <c r="G17" s="329">
        <v>3620.6</v>
      </c>
      <c r="H17" s="376"/>
      <c r="I17" s="376"/>
      <c r="J17" s="399">
        <f t="shared" si="0"/>
        <v>69772</v>
      </c>
      <c r="K17" s="329">
        <v>418</v>
      </c>
      <c r="L17" s="329">
        <v>3849</v>
      </c>
      <c r="M17" s="401">
        <f t="shared" si="2"/>
        <v>454</v>
      </c>
      <c r="N17" s="396">
        <f t="shared" si="3"/>
        <v>949698</v>
      </c>
      <c r="O17" s="368">
        <f t="shared" si="3"/>
        <v>577060</v>
      </c>
      <c r="P17" s="404">
        <f t="shared" si="3"/>
        <v>1587466</v>
      </c>
      <c r="Q17" s="414">
        <f t="shared" si="4"/>
        <v>949698</v>
      </c>
      <c r="R17" s="402">
        <f t="shared" si="4"/>
        <v>577060</v>
      </c>
      <c r="S17" s="415">
        <f t="shared" si="4"/>
        <v>1587466</v>
      </c>
      <c r="T17" s="416">
        <f>N17/'2018'!N17-1</f>
        <v>-0.0170172200894488</v>
      </c>
      <c r="U17" s="417">
        <f>O17/'2018'!O17-1</f>
        <v>0.203482018469547</v>
      </c>
      <c r="V17" s="417">
        <f>P17/'2018'!P17-1</f>
        <v>0.0816888471573289</v>
      </c>
      <c r="W17" s="417">
        <f>Q17/'2018'!Q17-1</f>
        <v>-0.0170172200894488</v>
      </c>
      <c r="X17" s="417">
        <f>R17/'2018'!R17-1</f>
        <v>0.203482018469547</v>
      </c>
      <c r="Y17" s="424">
        <f>S17/'2018'!S17-1</f>
        <v>0.0816888471573289</v>
      </c>
      <c r="Z17" s="425"/>
      <c r="AA17" s="426">
        <f t="shared" si="1"/>
        <v>94.9698</v>
      </c>
      <c r="AB17" s="428"/>
      <c r="AC17" s="401"/>
      <c r="AD17" s="427">
        <f t="shared" si="5"/>
        <v>1010406</v>
      </c>
      <c r="AE17" s="329">
        <f t="shared" si="7"/>
        <v>5163</v>
      </c>
      <c r="AF17" s="329">
        <f t="shared" si="7"/>
        <v>49947</v>
      </c>
      <c r="AG17" s="401">
        <f t="shared" si="8"/>
        <v>5598</v>
      </c>
      <c r="AH17" s="439"/>
      <c r="AI17" s="400"/>
      <c r="AJ17" s="400"/>
      <c r="AK17" s="400"/>
      <c r="AL17" s="400"/>
      <c r="AM17" s="400"/>
      <c r="AN17" s="400"/>
      <c r="AO17" s="400"/>
      <c r="AP17" s="400"/>
      <c r="AQ17" s="400"/>
      <c r="AR17" s="400"/>
      <c r="AS17" s="400"/>
      <c r="AT17" s="400"/>
      <c r="AU17" s="400"/>
      <c r="AV17" s="400"/>
      <c r="AW17" s="400"/>
      <c r="AX17" s="400"/>
      <c r="AY17" s="400"/>
      <c r="AZ17" s="400"/>
      <c r="BA17" s="400"/>
      <c r="BB17" s="400"/>
      <c r="BC17" s="400"/>
    </row>
    <row r="18" s="366" customFormat="1" spans="1:55">
      <c r="A18" s="372">
        <v>42749</v>
      </c>
      <c r="B18" s="373" t="s">
        <v>39</v>
      </c>
      <c r="C18" s="377">
        <v>72301</v>
      </c>
      <c r="D18" s="329">
        <f>31652+11434</f>
        <v>43086</v>
      </c>
      <c r="E18" s="329">
        <v>120075</v>
      </c>
      <c r="F18" s="378">
        <v>6032.8</v>
      </c>
      <c r="G18" s="329">
        <v>3549.5</v>
      </c>
      <c r="H18" s="376"/>
      <c r="I18" s="376"/>
      <c r="J18" s="399">
        <f t="shared" si="0"/>
        <v>76989</v>
      </c>
      <c r="K18" s="329">
        <v>421</v>
      </c>
      <c r="L18" s="329">
        <v>3842</v>
      </c>
      <c r="M18" s="401">
        <f t="shared" si="2"/>
        <v>425</v>
      </c>
      <c r="N18" s="396">
        <f t="shared" si="3"/>
        <v>1021999</v>
      </c>
      <c r="O18" s="368">
        <f t="shared" si="3"/>
        <v>620146</v>
      </c>
      <c r="P18" s="404">
        <f t="shared" si="3"/>
        <v>1707541</v>
      </c>
      <c r="Q18" s="414">
        <f t="shared" si="4"/>
        <v>1021999</v>
      </c>
      <c r="R18" s="402">
        <f t="shared" si="4"/>
        <v>620146</v>
      </c>
      <c r="S18" s="415">
        <f t="shared" si="4"/>
        <v>1707541</v>
      </c>
      <c r="T18" s="416">
        <f>N18/'2018'!N18-1</f>
        <v>-0.0176571966292729</v>
      </c>
      <c r="U18" s="417">
        <f>O18/'2018'!O18-1</f>
        <v>0.200205148054964</v>
      </c>
      <c r="V18" s="417">
        <f>P18/'2018'!P18-1</f>
        <v>0.0803235261925506</v>
      </c>
      <c r="W18" s="417">
        <f>Q18/'2018'!Q18-1</f>
        <v>-0.0176571966292729</v>
      </c>
      <c r="X18" s="417">
        <f>R18/'2018'!R18-1</f>
        <v>0.200205148054964</v>
      </c>
      <c r="Y18" s="424">
        <f>S18/'2018'!S18-1</f>
        <v>0.0803235261925506</v>
      </c>
      <c r="Z18" s="425"/>
      <c r="AA18" s="426">
        <f t="shared" si="1"/>
        <v>102.1999</v>
      </c>
      <c r="AB18" s="428"/>
      <c r="AC18" s="401"/>
      <c r="AD18" s="427">
        <f t="shared" si="5"/>
        <v>1087395</v>
      </c>
      <c r="AE18" s="329">
        <f t="shared" si="7"/>
        <v>5584</v>
      </c>
      <c r="AF18" s="329">
        <f t="shared" si="7"/>
        <v>53789</v>
      </c>
      <c r="AG18" s="401">
        <f t="shared" si="8"/>
        <v>6023</v>
      </c>
      <c r="AH18" s="439"/>
      <c r="AI18" s="400"/>
      <c r="AJ18" s="400"/>
      <c r="AK18" s="400"/>
      <c r="AL18" s="400"/>
      <c r="AM18" s="400"/>
      <c r="AN18" s="400"/>
      <c r="AO18" s="400"/>
      <c r="AP18" s="400"/>
      <c r="AQ18" s="400"/>
      <c r="AR18" s="400"/>
      <c r="AS18" s="400"/>
      <c r="AT18" s="400"/>
      <c r="AU18" s="400"/>
      <c r="AV18" s="400"/>
      <c r="AW18" s="400"/>
      <c r="AX18" s="400"/>
      <c r="AY18" s="400"/>
      <c r="AZ18" s="400"/>
      <c r="BA18" s="400"/>
      <c r="BB18" s="400"/>
      <c r="BC18" s="400"/>
    </row>
    <row r="19" s="366" customFormat="1" spans="1:55">
      <c r="A19" s="372">
        <v>42750</v>
      </c>
      <c r="B19" s="373" t="s">
        <v>34</v>
      </c>
      <c r="C19" s="380">
        <v>70276.12</v>
      </c>
      <c r="D19" s="381">
        <v>45532</v>
      </c>
      <c r="E19" s="329">
        <v>120771.87</v>
      </c>
      <c r="F19" s="381">
        <v>6071</v>
      </c>
      <c r="G19" s="381">
        <v>3690.5</v>
      </c>
      <c r="H19" s="376"/>
      <c r="I19" s="376"/>
      <c r="J19" s="381">
        <f t="shared" si="0"/>
        <v>75239.87</v>
      </c>
      <c r="K19" s="329">
        <v>692</v>
      </c>
      <c r="L19" s="329">
        <v>3852</v>
      </c>
      <c r="M19" s="401">
        <f t="shared" si="2"/>
        <v>419.75</v>
      </c>
      <c r="N19" s="396">
        <f t="shared" si="3"/>
        <v>1092275.12</v>
      </c>
      <c r="O19" s="368">
        <f t="shared" si="3"/>
        <v>665678</v>
      </c>
      <c r="P19" s="404">
        <f t="shared" si="3"/>
        <v>1828312.87</v>
      </c>
      <c r="Q19" s="414">
        <f t="shared" si="4"/>
        <v>1092275.12</v>
      </c>
      <c r="R19" s="402">
        <f t="shared" si="4"/>
        <v>665678</v>
      </c>
      <c r="S19" s="415">
        <f t="shared" si="4"/>
        <v>1828312.87</v>
      </c>
      <c r="T19" s="416">
        <f>N19/'2018'!N19-1</f>
        <v>-0.0189935720745843</v>
      </c>
      <c r="U19" s="417">
        <f>O19/'2018'!O19-1</f>
        <v>0.202027461375669</v>
      </c>
      <c r="V19" s="417">
        <f>P19/'2018'!P19-1</f>
        <v>0.0802598974874076</v>
      </c>
      <c r="W19" s="417">
        <f>Q19/'2018'!Q19-1</f>
        <v>-0.0189935720745843</v>
      </c>
      <c r="X19" s="417">
        <f>R19/'2018'!R19-1</f>
        <v>0.202027461375669</v>
      </c>
      <c r="Y19" s="424">
        <f>S19/'2018'!S19-1</f>
        <v>0.0802598974874076</v>
      </c>
      <c r="Z19" s="425"/>
      <c r="AA19" s="426">
        <f t="shared" si="1"/>
        <v>109.227512</v>
      </c>
      <c r="AB19" s="428"/>
      <c r="AC19" s="401"/>
      <c r="AD19" s="427">
        <f t="shared" si="5"/>
        <v>1162634.87</v>
      </c>
      <c r="AE19" s="329">
        <f t="shared" si="7"/>
        <v>6276</v>
      </c>
      <c r="AF19" s="329">
        <f t="shared" si="7"/>
        <v>57641</v>
      </c>
      <c r="AG19" s="401">
        <f t="shared" si="8"/>
        <v>6442.75</v>
      </c>
      <c r="AH19" s="439"/>
      <c r="AI19" s="400"/>
      <c r="AJ19" s="400"/>
      <c r="AK19" s="400"/>
      <c r="AL19" s="400"/>
      <c r="AM19" s="400"/>
      <c r="AN19" s="400"/>
      <c r="AO19" s="400"/>
      <c r="AP19" s="400"/>
      <c r="AQ19" s="400"/>
      <c r="AR19" s="400"/>
      <c r="AS19" s="400"/>
      <c r="AT19" s="400"/>
      <c r="AU19" s="400"/>
      <c r="AV19" s="400"/>
      <c r="AW19" s="400"/>
      <c r="AX19" s="400"/>
      <c r="AY19" s="400"/>
      <c r="AZ19" s="400"/>
      <c r="BA19" s="400"/>
      <c r="BB19" s="400"/>
      <c r="BC19" s="400"/>
    </row>
    <row r="20" s="366" customFormat="1" spans="1:55">
      <c r="A20" s="372">
        <v>42751</v>
      </c>
      <c r="B20" s="373" t="s">
        <v>35</v>
      </c>
      <c r="C20" s="380">
        <v>71618.43</v>
      </c>
      <c r="D20" s="381">
        <v>45569</v>
      </c>
      <c r="E20" s="381">
        <v>122153.12</v>
      </c>
      <c r="F20" s="381">
        <v>6070.9</v>
      </c>
      <c r="G20" s="381">
        <v>3691</v>
      </c>
      <c r="H20" s="376"/>
      <c r="I20" s="376"/>
      <c r="J20" s="381">
        <f t="shared" si="0"/>
        <v>76584.12</v>
      </c>
      <c r="K20" s="329">
        <v>601</v>
      </c>
      <c r="L20" s="329">
        <v>3845</v>
      </c>
      <c r="M20" s="401">
        <f t="shared" si="2"/>
        <v>519.690000000002</v>
      </c>
      <c r="N20" s="396">
        <f t="shared" si="3"/>
        <v>1163893.55</v>
      </c>
      <c r="O20" s="368">
        <f t="shared" si="3"/>
        <v>711247</v>
      </c>
      <c r="P20" s="404">
        <f t="shared" si="3"/>
        <v>1950465.99</v>
      </c>
      <c r="Q20" s="414">
        <f t="shared" si="4"/>
        <v>1163893.55</v>
      </c>
      <c r="R20" s="402">
        <f t="shared" si="4"/>
        <v>711247</v>
      </c>
      <c r="S20" s="415">
        <f t="shared" si="4"/>
        <v>1950465.99</v>
      </c>
      <c r="T20" s="416">
        <f>N20/'2018'!N20-1</f>
        <v>-0.0181494050993413</v>
      </c>
      <c r="U20" s="417">
        <f>O20/'2018'!O20-1</f>
        <v>0.204547917922733</v>
      </c>
      <c r="V20" s="417">
        <f>P20/'2018'!P20-1</f>
        <v>0.0820370889172064</v>
      </c>
      <c r="W20" s="417">
        <f>Q20/'2018'!Q20-1</f>
        <v>-0.0181494050993413</v>
      </c>
      <c r="X20" s="417">
        <f>R20/'2018'!R20-1</f>
        <v>0.204547917922733</v>
      </c>
      <c r="Y20" s="424">
        <f>S20/'2018'!S20-1</f>
        <v>0.0820370889172064</v>
      </c>
      <c r="Z20" s="425"/>
      <c r="AA20" s="426">
        <f t="shared" si="1"/>
        <v>116.389355</v>
      </c>
      <c r="AB20" s="428"/>
      <c r="AC20" s="401"/>
      <c r="AD20" s="427">
        <f t="shared" si="5"/>
        <v>1239218.99</v>
      </c>
      <c r="AE20" s="329">
        <f t="shared" si="7"/>
        <v>6877</v>
      </c>
      <c r="AF20" s="329">
        <f t="shared" si="7"/>
        <v>61486</v>
      </c>
      <c r="AG20" s="401">
        <f t="shared" si="8"/>
        <v>6962.44000000018</v>
      </c>
      <c r="AH20" s="439"/>
      <c r="AI20" s="400"/>
      <c r="AJ20" s="400"/>
      <c r="AK20" s="400"/>
      <c r="AL20" s="400"/>
      <c r="AM20" s="400"/>
      <c r="AN20" s="400"/>
      <c r="AO20" s="400"/>
      <c r="AP20" s="400"/>
      <c r="AQ20" s="400"/>
      <c r="AR20" s="400"/>
      <c r="AS20" s="400"/>
      <c r="AT20" s="400"/>
      <c r="AU20" s="400"/>
      <c r="AV20" s="400"/>
      <c r="AW20" s="400"/>
      <c r="AX20" s="400"/>
      <c r="AY20" s="400"/>
      <c r="AZ20" s="400"/>
      <c r="BA20" s="400"/>
      <c r="BB20" s="400"/>
      <c r="BC20" s="400"/>
    </row>
    <row r="21" s="163" customFormat="1" spans="1:55">
      <c r="A21" s="379">
        <v>42752</v>
      </c>
      <c r="B21" s="191" t="s">
        <v>36</v>
      </c>
      <c r="C21" s="382">
        <v>67578.06</v>
      </c>
      <c r="D21" s="383">
        <v>43853</v>
      </c>
      <c r="E21" s="383">
        <v>116514.16</v>
      </c>
      <c r="F21" s="383">
        <v>5749.6</v>
      </c>
      <c r="G21" s="383">
        <v>3725.8</v>
      </c>
      <c r="H21" s="195"/>
      <c r="I21" s="195"/>
      <c r="J21" s="383">
        <f t="shared" si="0"/>
        <v>72661.16</v>
      </c>
      <c r="K21" s="193">
        <v>293.63</v>
      </c>
      <c r="L21" s="193">
        <v>3847.39</v>
      </c>
      <c r="M21" s="221">
        <f t="shared" si="2"/>
        <v>942.080000000002</v>
      </c>
      <c r="N21" s="222">
        <f t="shared" si="3"/>
        <v>1231471.61</v>
      </c>
      <c r="O21" s="225">
        <f t="shared" si="3"/>
        <v>755100</v>
      </c>
      <c r="P21" s="403">
        <f t="shared" si="3"/>
        <v>2066980.15</v>
      </c>
      <c r="Q21" s="242">
        <f t="shared" si="4"/>
        <v>1231471.61</v>
      </c>
      <c r="R21" s="223">
        <f t="shared" si="4"/>
        <v>755100</v>
      </c>
      <c r="S21" s="243">
        <f t="shared" si="4"/>
        <v>2066980.15</v>
      </c>
      <c r="T21" s="244">
        <f>N21/'2018'!N21-1</f>
        <v>-0.0200704308288254</v>
      </c>
      <c r="U21" s="245">
        <f>O21/'2018'!O21-1</f>
        <v>0.204582870707148</v>
      </c>
      <c r="V21" s="245">
        <f>P21/'2018'!P21-1</f>
        <v>0.0812126384352554</v>
      </c>
      <c r="W21" s="245">
        <f>Q21/'2018'!Q21-1</f>
        <v>-0.0200704308288254</v>
      </c>
      <c r="X21" s="245">
        <f>R21/'2018'!R21-1</f>
        <v>0.204582870707148</v>
      </c>
      <c r="Y21" s="267">
        <f>S21/'2018'!S21-1</f>
        <v>0.0812126384352554</v>
      </c>
      <c r="Z21" s="268">
        <v>4.97</v>
      </c>
      <c r="AA21" s="269">
        <f t="shared" si="1"/>
        <v>118.177161</v>
      </c>
      <c r="AB21" s="429">
        <v>4259.88</v>
      </c>
      <c r="AC21" s="221">
        <f t="shared" ref="AC21" si="10">AA21*10000/AB21</f>
        <v>277.418990675794</v>
      </c>
      <c r="AD21" s="270">
        <f t="shared" si="5"/>
        <v>1311880.15</v>
      </c>
      <c r="AE21" s="193">
        <f t="shared" si="7"/>
        <v>7170.63</v>
      </c>
      <c r="AF21" s="193">
        <f t="shared" si="7"/>
        <v>65333.39</v>
      </c>
      <c r="AG21" s="221">
        <f t="shared" si="8"/>
        <v>7904.52000000003</v>
      </c>
      <c r="AH21" s="305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</row>
    <row r="22" s="366" customFormat="1" spans="1:55">
      <c r="A22" s="372">
        <v>42753</v>
      </c>
      <c r="B22" s="373" t="s">
        <v>37</v>
      </c>
      <c r="C22" s="377">
        <v>61418</v>
      </c>
      <c r="D22" s="329">
        <f>33907+11574</f>
        <v>45481</v>
      </c>
      <c r="E22" s="329">
        <v>112502</v>
      </c>
      <c r="F22" s="378">
        <v>5647.8</v>
      </c>
      <c r="G22" s="329">
        <v>3708.4</v>
      </c>
      <c r="H22" s="376"/>
      <c r="I22" s="376"/>
      <c r="J22" s="399">
        <f t="shared" si="0"/>
        <v>67021</v>
      </c>
      <c r="K22" s="329">
        <v>626</v>
      </c>
      <c r="L22" s="329">
        <v>3850</v>
      </c>
      <c r="M22" s="401">
        <f t="shared" si="2"/>
        <v>1127</v>
      </c>
      <c r="N22" s="396">
        <f t="shared" ref="N22:P34" si="11">N21+C22</f>
        <v>1292889.61</v>
      </c>
      <c r="O22" s="368">
        <f t="shared" si="11"/>
        <v>800581</v>
      </c>
      <c r="P22" s="404">
        <f t="shared" si="11"/>
        <v>2179482.15</v>
      </c>
      <c r="Q22" s="414">
        <f t="shared" si="4"/>
        <v>1292889.61</v>
      </c>
      <c r="R22" s="402">
        <f t="shared" si="4"/>
        <v>800581</v>
      </c>
      <c r="S22" s="415">
        <f t="shared" si="4"/>
        <v>2179482.15</v>
      </c>
      <c r="T22" s="416">
        <f>N22/'2018'!N22-1</f>
        <v>-0.0282707831017418</v>
      </c>
      <c r="U22" s="417">
        <f>O22/'2018'!O22-1</f>
        <v>0.206499215591125</v>
      </c>
      <c r="V22" s="417">
        <f>P22/'2018'!P22-1</f>
        <v>0.0771130021626454</v>
      </c>
      <c r="W22" s="417">
        <f>Q22/'2018'!Q22-1</f>
        <v>-0.0282707831017418</v>
      </c>
      <c r="X22" s="417">
        <f>R22/'2018'!R22-1</f>
        <v>0.206499215591125</v>
      </c>
      <c r="Y22" s="424">
        <f>S22/'2018'!S22-1</f>
        <v>0.0771130021626454</v>
      </c>
      <c r="Z22" s="425"/>
      <c r="AA22" s="426">
        <f t="shared" si="1"/>
        <v>129.288961</v>
      </c>
      <c r="AB22" s="428"/>
      <c r="AC22" s="401"/>
      <c r="AD22" s="427">
        <f t="shared" si="5"/>
        <v>1378901.15</v>
      </c>
      <c r="AE22" s="329">
        <f t="shared" si="7"/>
        <v>7796.63</v>
      </c>
      <c r="AF22" s="329">
        <f t="shared" si="7"/>
        <v>69183.39</v>
      </c>
      <c r="AG22" s="401">
        <f t="shared" si="8"/>
        <v>9031.52000000027</v>
      </c>
      <c r="AH22" s="439"/>
      <c r="AI22" s="400"/>
      <c r="AJ22" s="400"/>
      <c r="AK22" s="400"/>
      <c r="AL22" s="400"/>
      <c r="AM22" s="400"/>
      <c r="AN22" s="400"/>
      <c r="AO22" s="400"/>
      <c r="AP22" s="400"/>
      <c r="AQ22" s="400"/>
      <c r="AR22" s="400"/>
      <c r="AS22" s="400"/>
      <c r="AT22" s="400"/>
      <c r="AU22" s="400"/>
      <c r="AV22" s="400"/>
      <c r="AW22" s="400"/>
      <c r="AX22" s="400"/>
      <c r="AY22" s="400"/>
      <c r="AZ22" s="400"/>
      <c r="BA22" s="400"/>
      <c r="BB22" s="400"/>
      <c r="BC22" s="400"/>
    </row>
    <row r="23" s="366" customFormat="1" spans="1:55">
      <c r="A23" s="372">
        <v>42754</v>
      </c>
      <c r="B23" s="373" t="s">
        <v>38</v>
      </c>
      <c r="C23" s="377">
        <v>63510</v>
      </c>
      <c r="D23" s="329">
        <f>27530+12081</f>
        <v>39611</v>
      </c>
      <c r="E23" s="329">
        <v>108454</v>
      </c>
      <c r="F23" s="378">
        <v>5294.4</v>
      </c>
      <c r="G23" s="329">
        <v>3506.5</v>
      </c>
      <c r="H23" s="376"/>
      <c r="I23" s="376"/>
      <c r="J23" s="399">
        <f t="shared" si="0"/>
        <v>68843</v>
      </c>
      <c r="K23" s="329">
        <v>823</v>
      </c>
      <c r="L23" s="329">
        <v>3844</v>
      </c>
      <c r="M23" s="401">
        <f t="shared" si="2"/>
        <v>666</v>
      </c>
      <c r="N23" s="396">
        <f t="shared" si="11"/>
        <v>1356399.61</v>
      </c>
      <c r="O23" s="368">
        <f t="shared" si="11"/>
        <v>840192</v>
      </c>
      <c r="P23" s="404">
        <f t="shared" si="11"/>
        <v>2287936.15</v>
      </c>
      <c r="Q23" s="414">
        <f t="shared" si="4"/>
        <v>1356399.61</v>
      </c>
      <c r="R23" s="402">
        <f t="shared" si="4"/>
        <v>840192</v>
      </c>
      <c r="S23" s="415">
        <f t="shared" si="4"/>
        <v>2287936.15</v>
      </c>
      <c r="T23" s="416">
        <f>N23/'2018'!N23-1</f>
        <v>-0.034448769320462</v>
      </c>
      <c r="U23" s="417">
        <f>O23/'2018'!O23-1</f>
        <v>0.199140241657176</v>
      </c>
      <c r="V23" s="417">
        <f>P23/'2018'!P23-1</f>
        <v>0.0712093907607487</v>
      </c>
      <c r="W23" s="417">
        <f>Q23/'2018'!Q23-1</f>
        <v>-0.034448769320462</v>
      </c>
      <c r="X23" s="417">
        <f>R23/'2018'!R23-1</f>
        <v>0.199140241657176</v>
      </c>
      <c r="Y23" s="424">
        <f>S23/'2018'!S23-1</f>
        <v>0.0712093907607487</v>
      </c>
      <c r="Z23" s="425"/>
      <c r="AA23" s="426">
        <f t="shared" si="1"/>
        <v>135.639961</v>
      </c>
      <c r="AB23" s="428"/>
      <c r="AC23" s="401"/>
      <c r="AD23" s="427">
        <f t="shared" si="5"/>
        <v>1447744.15</v>
      </c>
      <c r="AE23" s="329">
        <f t="shared" ref="AE23:AF38" si="12">AE22+K23</f>
        <v>8619.63</v>
      </c>
      <c r="AF23" s="329">
        <f t="shared" si="12"/>
        <v>73027.39</v>
      </c>
      <c r="AG23" s="401">
        <f t="shared" si="8"/>
        <v>9697.52000000027</v>
      </c>
      <c r="AH23" s="439"/>
      <c r="AI23" s="400"/>
      <c r="AJ23" s="400"/>
      <c r="AK23" s="400"/>
      <c r="AL23" s="400"/>
      <c r="AM23" s="400"/>
      <c r="AN23" s="400"/>
      <c r="AO23" s="400"/>
      <c r="AP23" s="400"/>
      <c r="AQ23" s="400"/>
      <c r="AR23" s="400"/>
      <c r="AS23" s="400"/>
      <c r="AT23" s="400"/>
      <c r="AU23" s="400"/>
      <c r="AV23" s="400"/>
      <c r="AW23" s="400"/>
      <c r="AX23" s="400"/>
      <c r="AY23" s="400"/>
      <c r="AZ23" s="400"/>
      <c r="BA23" s="400"/>
      <c r="BB23" s="400"/>
      <c r="BC23" s="400"/>
    </row>
    <row r="24" s="366" customFormat="1" spans="1:55">
      <c r="A24" s="372">
        <v>42755</v>
      </c>
      <c r="B24" s="373" t="s">
        <v>1</v>
      </c>
      <c r="C24" s="377">
        <v>57129</v>
      </c>
      <c r="D24" s="329">
        <f>27873+11536</f>
        <v>39409</v>
      </c>
      <c r="E24" s="329">
        <v>102027</v>
      </c>
      <c r="F24" s="378">
        <v>4974.3</v>
      </c>
      <c r="G24" s="329">
        <v>3305.3</v>
      </c>
      <c r="H24" s="376"/>
      <c r="I24" s="376"/>
      <c r="J24" s="399">
        <f t="shared" si="0"/>
        <v>62618</v>
      </c>
      <c r="K24" s="329">
        <v>538</v>
      </c>
      <c r="L24" s="329">
        <v>3849</v>
      </c>
      <c r="M24" s="401">
        <f t="shared" si="2"/>
        <v>1102</v>
      </c>
      <c r="N24" s="396">
        <f t="shared" si="11"/>
        <v>1413528.61</v>
      </c>
      <c r="O24" s="368">
        <f t="shared" si="11"/>
        <v>879601</v>
      </c>
      <c r="P24" s="404">
        <f t="shared" si="11"/>
        <v>2389963.15</v>
      </c>
      <c r="Q24" s="414">
        <f t="shared" si="4"/>
        <v>1413528.61</v>
      </c>
      <c r="R24" s="402">
        <f t="shared" si="4"/>
        <v>879601</v>
      </c>
      <c r="S24" s="415">
        <f t="shared" si="4"/>
        <v>2389963.15</v>
      </c>
      <c r="T24" s="416">
        <f>N24/'2018'!N24-1</f>
        <v>-0.0441277360317666</v>
      </c>
      <c r="U24" s="417">
        <f>O24/'2018'!O24-1</f>
        <v>0.191650059541792</v>
      </c>
      <c r="V24" s="417">
        <f>P24/'2018'!P24-1</f>
        <v>0.0629815847832065</v>
      </c>
      <c r="W24" s="417">
        <f>Q24/'2018'!Q24-1</f>
        <v>-0.0441277360317666</v>
      </c>
      <c r="X24" s="417">
        <f>R24/'2018'!R24-1</f>
        <v>0.191650059541792</v>
      </c>
      <c r="Y24" s="424">
        <f>S24/'2018'!S24-1</f>
        <v>0.0629815847832065</v>
      </c>
      <c r="Z24" s="425"/>
      <c r="AA24" s="426">
        <f t="shared" si="1"/>
        <v>141.352861</v>
      </c>
      <c r="AB24" s="428"/>
      <c r="AC24" s="401"/>
      <c r="AD24" s="427">
        <f t="shared" si="5"/>
        <v>1510362.15</v>
      </c>
      <c r="AE24" s="329">
        <f t="shared" si="12"/>
        <v>9157.63</v>
      </c>
      <c r="AF24" s="329">
        <f t="shared" si="12"/>
        <v>76876.39</v>
      </c>
      <c r="AG24" s="401">
        <f t="shared" si="8"/>
        <v>10799.5200000003</v>
      </c>
      <c r="AH24" s="439"/>
      <c r="AI24" s="400"/>
      <c r="AJ24" s="400"/>
      <c r="AK24" s="400"/>
      <c r="AL24" s="400"/>
      <c r="AM24" s="400"/>
      <c r="AN24" s="400"/>
      <c r="AO24" s="400"/>
      <c r="AP24" s="400"/>
      <c r="AQ24" s="400"/>
      <c r="AR24" s="400"/>
      <c r="AS24" s="400"/>
      <c r="AT24" s="400"/>
      <c r="AU24" s="400"/>
      <c r="AV24" s="400"/>
      <c r="AW24" s="400"/>
      <c r="AX24" s="400"/>
      <c r="AY24" s="400"/>
      <c r="AZ24" s="400"/>
      <c r="BA24" s="400"/>
      <c r="BB24" s="400"/>
      <c r="BC24" s="400"/>
    </row>
    <row r="25" s="366" customFormat="1" spans="1:55">
      <c r="A25" s="372">
        <v>42756</v>
      </c>
      <c r="B25" s="373" t="s">
        <v>39</v>
      </c>
      <c r="C25" s="377">
        <v>58505</v>
      </c>
      <c r="D25" s="329">
        <f>28552+11366</f>
        <v>39918</v>
      </c>
      <c r="E25" s="329">
        <v>103595</v>
      </c>
      <c r="F25" s="378">
        <v>5113.1</v>
      </c>
      <c r="G25" s="329">
        <v>3220.2</v>
      </c>
      <c r="H25" s="376"/>
      <c r="I25" s="376"/>
      <c r="J25" s="399">
        <f t="shared" si="0"/>
        <v>63677</v>
      </c>
      <c r="K25" s="329">
        <v>594</v>
      </c>
      <c r="L25" s="329">
        <v>3844</v>
      </c>
      <c r="M25" s="401">
        <f t="shared" si="2"/>
        <v>734</v>
      </c>
      <c r="N25" s="396">
        <f t="shared" si="11"/>
        <v>1472033.61</v>
      </c>
      <c r="O25" s="368">
        <f t="shared" si="11"/>
        <v>919519</v>
      </c>
      <c r="P25" s="404">
        <f t="shared" si="11"/>
        <v>2493558.15</v>
      </c>
      <c r="Q25" s="414">
        <f t="shared" si="4"/>
        <v>1472033.61</v>
      </c>
      <c r="R25" s="402">
        <f t="shared" si="4"/>
        <v>919519</v>
      </c>
      <c r="S25" s="415">
        <f t="shared" si="4"/>
        <v>2493558.15</v>
      </c>
      <c r="T25" s="416">
        <f>N25/'2018'!N25-1</f>
        <v>-0.0499870860568136</v>
      </c>
      <c r="U25" s="417">
        <f>O25/'2018'!O25-1</f>
        <v>0.186073629207121</v>
      </c>
      <c r="V25" s="417">
        <f>P25/'2018'!P25-1</f>
        <v>0.0578187890707194</v>
      </c>
      <c r="W25" s="417">
        <f>Q25/'2018'!Q25-1</f>
        <v>-0.0499870860568136</v>
      </c>
      <c r="X25" s="417">
        <f>R25/'2018'!R25-1</f>
        <v>0.186073629207121</v>
      </c>
      <c r="Y25" s="424">
        <f>S25/'2018'!S25-1</f>
        <v>0.0578187890707194</v>
      </c>
      <c r="Z25" s="425"/>
      <c r="AA25" s="426">
        <f t="shared" si="1"/>
        <v>147.203361</v>
      </c>
      <c r="AB25" s="428"/>
      <c r="AC25" s="401"/>
      <c r="AD25" s="427">
        <f t="shared" si="5"/>
        <v>1574039.15</v>
      </c>
      <c r="AE25" s="329">
        <f t="shared" si="12"/>
        <v>9751.63</v>
      </c>
      <c r="AF25" s="329">
        <f t="shared" si="12"/>
        <v>80720.39</v>
      </c>
      <c r="AG25" s="401">
        <f t="shared" si="8"/>
        <v>11533.5200000003</v>
      </c>
      <c r="AH25" s="439"/>
      <c r="AI25" s="400"/>
      <c r="AJ25" s="400"/>
      <c r="AK25" s="400"/>
      <c r="AL25" s="400"/>
      <c r="AM25" s="400"/>
      <c r="AN25" s="400"/>
      <c r="AO25" s="400"/>
      <c r="AP25" s="400"/>
      <c r="AQ25" s="400"/>
      <c r="AR25" s="400"/>
      <c r="AS25" s="400"/>
      <c r="AT25" s="400"/>
      <c r="AU25" s="400"/>
      <c r="AV25" s="400"/>
      <c r="AW25" s="400"/>
      <c r="AX25" s="400"/>
      <c r="AY25" s="400"/>
      <c r="AZ25" s="400"/>
      <c r="BA25" s="400"/>
      <c r="BB25" s="400"/>
      <c r="BC25" s="400"/>
    </row>
    <row r="26" s="366" customFormat="1" spans="1:55">
      <c r="A26" s="372">
        <v>42757</v>
      </c>
      <c r="B26" s="373" t="s">
        <v>34</v>
      </c>
      <c r="C26" s="377">
        <v>55868</v>
      </c>
      <c r="D26" s="329">
        <f>27273+11338</f>
        <v>38611</v>
      </c>
      <c r="E26" s="384">
        <v>99964</v>
      </c>
      <c r="F26" s="378">
        <v>4894.7</v>
      </c>
      <c r="G26" s="329">
        <v>3248.5</v>
      </c>
      <c r="H26" s="376"/>
      <c r="I26" s="376"/>
      <c r="J26" s="399">
        <f t="shared" si="0"/>
        <v>61353</v>
      </c>
      <c r="K26" s="329">
        <v>477</v>
      </c>
      <c r="L26" s="329">
        <v>3849</v>
      </c>
      <c r="M26" s="401">
        <f t="shared" si="2"/>
        <v>1159</v>
      </c>
      <c r="N26" s="396">
        <f t="shared" si="11"/>
        <v>1527901.61</v>
      </c>
      <c r="O26" s="368">
        <f t="shared" si="11"/>
        <v>958130</v>
      </c>
      <c r="P26" s="404">
        <f t="shared" si="11"/>
        <v>2593522.15</v>
      </c>
      <c r="Q26" s="414">
        <f t="shared" si="4"/>
        <v>1527901.61</v>
      </c>
      <c r="R26" s="402">
        <f t="shared" si="4"/>
        <v>958130</v>
      </c>
      <c r="S26" s="415">
        <f t="shared" si="4"/>
        <v>2593522.15</v>
      </c>
      <c r="T26" s="416">
        <f>N26/'2018'!N26-1</f>
        <v>-0.0555764692356475</v>
      </c>
      <c r="U26" s="417">
        <f>O26/'2018'!O26-1</f>
        <v>0.176192574787964</v>
      </c>
      <c r="V26" s="417">
        <f>P26/'2018'!P26-1</f>
        <v>0.051472088894547</v>
      </c>
      <c r="W26" s="417">
        <f>Q26/'2018'!Q26-1</f>
        <v>-0.0555764692356475</v>
      </c>
      <c r="X26" s="417">
        <f>R26/'2018'!R26-1</f>
        <v>0.176192574787964</v>
      </c>
      <c r="Y26" s="424">
        <f>S26/'2018'!S26-1</f>
        <v>0.051472088894547</v>
      </c>
      <c r="Z26" s="425"/>
      <c r="AA26" s="426">
        <f t="shared" si="1"/>
        <v>152.790161</v>
      </c>
      <c r="AB26" s="428"/>
      <c r="AC26" s="401"/>
      <c r="AD26" s="427">
        <f t="shared" si="5"/>
        <v>1635392.15</v>
      </c>
      <c r="AE26" s="329">
        <f t="shared" si="12"/>
        <v>10228.63</v>
      </c>
      <c r="AF26" s="329">
        <f t="shared" si="12"/>
        <v>84569.39</v>
      </c>
      <c r="AG26" s="401">
        <f t="shared" si="8"/>
        <v>12692.5200000003</v>
      </c>
      <c r="AH26" s="439"/>
      <c r="AI26" s="400"/>
      <c r="AJ26" s="400"/>
      <c r="AK26" s="400"/>
      <c r="AL26" s="400"/>
      <c r="AM26" s="400"/>
      <c r="AN26" s="400"/>
      <c r="AO26" s="400"/>
      <c r="AP26" s="400"/>
      <c r="AQ26" s="400"/>
      <c r="AR26" s="400"/>
      <c r="AS26" s="400"/>
      <c r="AT26" s="400"/>
      <c r="AU26" s="400"/>
      <c r="AV26" s="400"/>
      <c r="AW26" s="400"/>
      <c r="AX26" s="400"/>
      <c r="AY26" s="400"/>
      <c r="AZ26" s="400"/>
      <c r="BA26" s="400"/>
      <c r="BB26" s="400"/>
      <c r="BC26" s="400"/>
    </row>
    <row r="27" s="366" customFormat="1" spans="1:55">
      <c r="A27" s="372">
        <v>42758</v>
      </c>
      <c r="B27" s="373" t="s">
        <v>35</v>
      </c>
      <c r="C27" s="380">
        <v>51562.17</v>
      </c>
      <c r="D27" s="381">
        <v>37636</v>
      </c>
      <c r="E27" s="381">
        <v>94761.43</v>
      </c>
      <c r="F27" s="381">
        <v>4634.4</v>
      </c>
      <c r="G27" s="381">
        <v>3151.3</v>
      </c>
      <c r="H27" s="376"/>
      <c r="I27" s="376"/>
      <c r="J27" s="381">
        <f t="shared" si="0"/>
        <v>57125.43</v>
      </c>
      <c r="K27" s="329">
        <v>641.45</v>
      </c>
      <c r="L27" s="329">
        <v>3849.8</v>
      </c>
      <c r="M27" s="401">
        <f t="shared" si="2"/>
        <v>1072.00999999999</v>
      </c>
      <c r="N27" s="396">
        <f t="shared" si="11"/>
        <v>1579463.78</v>
      </c>
      <c r="O27" s="368">
        <f t="shared" si="11"/>
        <v>995766</v>
      </c>
      <c r="P27" s="404">
        <f t="shared" si="11"/>
        <v>2688283.58</v>
      </c>
      <c r="Q27" s="414">
        <f t="shared" si="4"/>
        <v>1579463.78</v>
      </c>
      <c r="R27" s="402">
        <f t="shared" si="4"/>
        <v>995766</v>
      </c>
      <c r="S27" s="415">
        <f t="shared" si="4"/>
        <v>2688283.58</v>
      </c>
      <c r="T27" s="416">
        <f>N27/'2018'!N27-1</f>
        <v>-0.0664191758765931</v>
      </c>
      <c r="U27" s="417">
        <f>O27/'2018'!O27-1</f>
        <v>0.165622900273681</v>
      </c>
      <c r="V27" s="417">
        <f>P27/'2018'!P27-1</f>
        <v>0.0414016453804882</v>
      </c>
      <c r="W27" s="417">
        <f>Q27/'2018'!Q27-1</f>
        <v>-0.0664191758765931</v>
      </c>
      <c r="X27" s="417">
        <f>R27/'2018'!R27-1</f>
        <v>0.165622900273681</v>
      </c>
      <c r="Y27" s="424">
        <f>S27/'2018'!S27-1</f>
        <v>0.0414016453804882</v>
      </c>
      <c r="Z27" s="425"/>
      <c r="AA27" s="426">
        <f t="shared" si="1"/>
        <v>157.946378</v>
      </c>
      <c r="AB27" s="428"/>
      <c r="AC27" s="401"/>
      <c r="AD27" s="427">
        <f t="shared" si="5"/>
        <v>1692517.58</v>
      </c>
      <c r="AE27" s="329">
        <f t="shared" si="12"/>
        <v>10870.08</v>
      </c>
      <c r="AF27" s="329">
        <f t="shared" si="12"/>
        <v>88419.19</v>
      </c>
      <c r="AG27" s="401">
        <f t="shared" si="8"/>
        <v>13764.5300000005</v>
      </c>
      <c r="AH27" s="439"/>
      <c r="AI27" s="400"/>
      <c r="AJ27" s="400"/>
      <c r="AK27" s="400"/>
      <c r="AL27" s="400"/>
      <c r="AM27" s="400"/>
      <c r="AN27" s="400"/>
      <c r="AO27" s="400"/>
      <c r="AP27" s="400"/>
      <c r="AQ27" s="400"/>
      <c r="AR27" s="400"/>
      <c r="AS27" s="400"/>
      <c r="AT27" s="400"/>
      <c r="AU27" s="400"/>
      <c r="AV27" s="400"/>
      <c r="AW27" s="400"/>
      <c r="AX27" s="400"/>
      <c r="AY27" s="400"/>
      <c r="AZ27" s="400"/>
      <c r="BA27" s="400"/>
      <c r="BB27" s="400"/>
      <c r="BC27" s="400"/>
    </row>
    <row r="28" s="163" customFormat="1" spans="1:55">
      <c r="A28" s="379">
        <v>42759</v>
      </c>
      <c r="B28" s="191" t="s">
        <v>36</v>
      </c>
      <c r="C28" s="382">
        <v>47480.02</v>
      </c>
      <c r="D28" s="383">
        <v>36769</v>
      </c>
      <c r="E28" s="383">
        <v>89535.86</v>
      </c>
      <c r="F28" s="383">
        <v>4354.4</v>
      </c>
      <c r="G28" s="383">
        <v>2989.6</v>
      </c>
      <c r="H28" s="195"/>
      <c r="I28" s="195"/>
      <c r="J28" s="383">
        <f t="shared" si="0"/>
        <v>52766.86</v>
      </c>
      <c r="K28" s="193">
        <v>408.42</v>
      </c>
      <c r="L28" s="193">
        <v>3845.54</v>
      </c>
      <c r="M28" s="221">
        <f t="shared" si="2"/>
        <v>1032.88</v>
      </c>
      <c r="N28" s="222">
        <f t="shared" si="11"/>
        <v>1626943.8</v>
      </c>
      <c r="O28" s="225">
        <f t="shared" si="11"/>
        <v>1032535</v>
      </c>
      <c r="P28" s="403">
        <f t="shared" si="11"/>
        <v>2777819.44</v>
      </c>
      <c r="Q28" s="242">
        <f t="shared" si="4"/>
        <v>1626943.8</v>
      </c>
      <c r="R28" s="223">
        <f t="shared" si="4"/>
        <v>1032535</v>
      </c>
      <c r="S28" s="243">
        <f t="shared" si="4"/>
        <v>2777819.44</v>
      </c>
      <c r="T28" s="244">
        <f>N28/'2018'!N28-1</f>
        <v>-0.0816222712316564</v>
      </c>
      <c r="U28" s="245">
        <f>O28/'2018'!O28-1</f>
        <v>0.155485600843336</v>
      </c>
      <c r="V28" s="245">
        <f>P28/'2018'!P28-1</f>
        <v>0.0280901669256184</v>
      </c>
      <c r="W28" s="245">
        <f>Q28/'2018'!Q28-1</f>
        <v>-0.0816222712316564</v>
      </c>
      <c r="X28" s="245">
        <f>R28/'2018'!R28-1</f>
        <v>0.155485600843336</v>
      </c>
      <c r="Y28" s="267">
        <f>S28/'2018'!S28-1</f>
        <v>0.0280901669256184</v>
      </c>
      <c r="Z28" s="268">
        <v>7.52</v>
      </c>
      <c r="AA28" s="269">
        <f t="shared" si="1"/>
        <v>155.17438</v>
      </c>
      <c r="AB28" s="429">
        <v>4259.88</v>
      </c>
      <c r="AC28" s="221">
        <f t="shared" ref="AC28" si="13">AA28*10000/AB28</f>
        <v>364.269369090209</v>
      </c>
      <c r="AD28" s="270">
        <f t="shared" si="5"/>
        <v>1745284.44</v>
      </c>
      <c r="AE28" s="193">
        <f t="shared" si="12"/>
        <v>11278.5</v>
      </c>
      <c r="AF28" s="193">
        <f t="shared" si="12"/>
        <v>92264.73</v>
      </c>
      <c r="AG28" s="221">
        <f t="shared" si="8"/>
        <v>14797.4100000004</v>
      </c>
      <c r="AH28" s="305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</row>
    <row r="29" s="366" customFormat="1" spans="1:55">
      <c r="A29" s="372">
        <v>42760</v>
      </c>
      <c r="B29" s="373" t="s">
        <v>37</v>
      </c>
      <c r="C29" s="377">
        <v>43177</v>
      </c>
      <c r="D29" s="329">
        <f>25206+11554</f>
        <v>36760</v>
      </c>
      <c r="E29" s="329">
        <v>85209</v>
      </c>
      <c r="F29" s="378">
        <v>4206.7</v>
      </c>
      <c r="G29" s="329">
        <v>2811.3</v>
      </c>
      <c r="H29" s="376"/>
      <c r="I29" s="376"/>
      <c r="J29" s="399">
        <f t="shared" si="0"/>
        <v>48449</v>
      </c>
      <c r="K29" s="329">
        <v>707</v>
      </c>
      <c r="L29" s="329">
        <v>3848</v>
      </c>
      <c r="M29" s="401">
        <f t="shared" si="2"/>
        <v>717</v>
      </c>
      <c r="N29" s="396">
        <f t="shared" si="11"/>
        <v>1670120.8</v>
      </c>
      <c r="O29" s="368">
        <f t="shared" si="11"/>
        <v>1069295</v>
      </c>
      <c r="P29" s="404">
        <f t="shared" si="11"/>
        <v>2863028.44</v>
      </c>
      <c r="Q29" s="414">
        <f t="shared" si="4"/>
        <v>1670120.8</v>
      </c>
      <c r="R29" s="402">
        <f t="shared" si="4"/>
        <v>1069295</v>
      </c>
      <c r="S29" s="415">
        <f t="shared" si="4"/>
        <v>2863028.44</v>
      </c>
      <c r="T29" s="416">
        <f>N29/'2018'!N29-1</f>
        <v>-0.0984556636910657</v>
      </c>
      <c r="U29" s="417">
        <f>O29/'2018'!O29-1</f>
        <v>0.143847551889502</v>
      </c>
      <c r="V29" s="417">
        <f>P29/'2018'!P29-1</f>
        <v>0.0132565913226037</v>
      </c>
      <c r="W29" s="417">
        <f>Q29/'2018'!Q29-1</f>
        <v>-0.0984556636910657</v>
      </c>
      <c r="X29" s="417">
        <f>R29/'2018'!R29-1</f>
        <v>0.143847551889502</v>
      </c>
      <c r="Y29" s="424">
        <f>S29/'2018'!S29-1</f>
        <v>0.0132565913226037</v>
      </c>
      <c r="Z29" s="425"/>
      <c r="AA29" s="426">
        <f t="shared" si="1"/>
        <v>167.01208</v>
      </c>
      <c r="AB29" s="427"/>
      <c r="AC29" s="401"/>
      <c r="AD29" s="427">
        <f t="shared" si="5"/>
        <v>1793733.44</v>
      </c>
      <c r="AE29" s="329">
        <f t="shared" si="12"/>
        <v>11985.5</v>
      </c>
      <c r="AF29" s="329">
        <f t="shared" si="12"/>
        <v>96112.73</v>
      </c>
      <c r="AG29" s="401">
        <f t="shared" si="8"/>
        <v>15514.4100000004</v>
      </c>
      <c r="AH29" s="440">
        <f>(AD29-AD22)/('2017'!AD29-'2017'!AD22)-1</f>
        <v>0.628613509216183</v>
      </c>
      <c r="AI29" s="400"/>
      <c r="AJ29" s="400"/>
      <c r="AK29" s="400"/>
      <c r="AL29" s="400"/>
      <c r="AM29" s="400"/>
      <c r="AN29" s="400"/>
      <c r="AO29" s="400"/>
      <c r="AP29" s="400"/>
      <c r="AQ29" s="400"/>
      <c r="AR29" s="400"/>
      <c r="AS29" s="400"/>
      <c r="AT29" s="400"/>
      <c r="AU29" s="400"/>
      <c r="AV29" s="400"/>
      <c r="AW29" s="400"/>
      <c r="AX29" s="400"/>
      <c r="AY29" s="400"/>
      <c r="AZ29" s="400"/>
      <c r="BA29" s="400"/>
      <c r="BB29" s="400"/>
      <c r="BC29" s="400"/>
    </row>
    <row r="30" s="366" customFormat="1" spans="1:55">
      <c r="A30" s="372">
        <v>42761</v>
      </c>
      <c r="B30" s="373" t="s">
        <v>38</v>
      </c>
      <c r="C30" s="377">
        <v>35642</v>
      </c>
      <c r="D30" s="329">
        <f>27015+10398</f>
        <v>37413</v>
      </c>
      <c r="E30" s="329">
        <v>78284</v>
      </c>
      <c r="F30" s="378">
        <v>3868.2</v>
      </c>
      <c r="G30" s="329">
        <v>2553.1</v>
      </c>
      <c r="H30" s="376"/>
      <c r="I30" s="376"/>
      <c r="J30" s="399">
        <f t="shared" si="0"/>
        <v>40871</v>
      </c>
      <c r="K30" s="329">
        <v>238</v>
      </c>
      <c r="L30" s="329">
        <v>3844</v>
      </c>
      <c r="M30" s="401">
        <f t="shared" si="2"/>
        <v>1147</v>
      </c>
      <c r="N30" s="396">
        <f t="shared" si="11"/>
        <v>1705762.8</v>
      </c>
      <c r="O30" s="368">
        <f t="shared" si="11"/>
        <v>1106708</v>
      </c>
      <c r="P30" s="404">
        <f t="shared" si="11"/>
        <v>2941312.44</v>
      </c>
      <c r="Q30" s="414">
        <f t="shared" si="4"/>
        <v>1705762.8</v>
      </c>
      <c r="R30" s="402">
        <f t="shared" si="4"/>
        <v>1106708</v>
      </c>
      <c r="S30" s="415">
        <f t="shared" si="4"/>
        <v>2941312.44</v>
      </c>
      <c r="T30" s="416">
        <f>N30/'2018'!N30-1</f>
        <v>-0.118603665795827</v>
      </c>
      <c r="U30" s="417">
        <f>O30/'2018'!O30-1</f>
        <v>0.135127040588165</v>
      </c>
      <c r="V30" s="417">
        <f>P30/'2018'!P30-1</f>
        <v>-0.0029131640126836</v>
      </c>
      <c r="W30" s="417">
        <f>Q30/'2018'!Q30-1</f>
        <v>-0.118603665795827</v>
      </c>
      <c r="X30" s="417">
        <f>R30/'2018'!R30-1</f>
        <v>0.135127040588165</v>
      </c>
      <c r="Y30" s="424">
        <f>S30/'2018'!S30-1</f>
        <v>-0.0029131640126836</v>
      </c>
      <c r="Z30" s="425"/>
      <c r="AA30" s="426">
        <f t="shared" si="1"/>
        <v>170.57628</v>
      </c>
      <c r="AB30" s="427"/>
      <c r="AC30" s="401"/>
      <c r="AD30" s="427">
        <f t="shared" si="5"/>
        <v>1834604.44</v>
      </c>
      <c r="AE30" s="329">
        <f t="shared" si="12"/>
        <v>12223.5</v>
      </c>
      <c r="AF30" s="329">
        <f t="shared" si="12"/>
        <v>99956.73</v>
      </c>
      <c r="AG30" s="401">
        <f t="shared" si="8"/>
        <v>16661.4100000004</v>
      </c>
      <c r="AH30" s="439"/>
      <c r="AI30" s="400"/>
      <c r="AJ30" s="400"/>
      <c r="AK30" s="400"/>
      <c r="AL30" s="400"/>
      <c r="AM30" s="400"/>
      <c r="AN30" s="400"/>
      <c r="AO30" s="400"/>
      <c r="AP30" s="400"/>
      <c r="AQ30" s="400"/>
      <c r="AR30" s="400"/>
      <c r="AS30" s="400"/>
      <c r="AT30" s="400"/>
      <c r="AU30" s="400"/>
      <c r="AV30" s="400"/>
      <c r="AW30" s="400"/>
      <c r="AX30" s="400"/>
      <c r="AY30" s="400"/>
      <c r="AZ30" s="400"/>
      <c r="BA30" s="400"/>
      <c r="BB30" s="400"/>
      <c r="BC30" s="400"/>
    </row>
    <row r="31" s="366" customFormat="1" spans="1:55">
      <c r="A31" s="372">
        <v>42762</v>
      </c>
      <c r="B31" s="373" t="s">
        <v>1</v>
      </c>
      <c r="C31" s="377">
        <v>28810</v>
      </c>
      <c r="D31" s="329">
        <f>26970+10460</f>
        <v>37430</v>
      </c>
      <c r="E31" s="329">
        <v>71622</v>
      </c>
      <c r="F31" s="378">
        <v>3549.5</v>
      </c>
      <c r="G31" s="329">
        <v>2492.3</v>
      </c>
      <c r="H31" s="376"/>
      <c r="I31" s="376"/>
      <c r="J31" s="399">
        <f t="shared" si="0"/>
        <v>34192</v>
      </c>
      <c r="K31" s="329">
        <v>379</v>
      </c>
      <c r="L31" s="329">
        <v>3850</v>
      </c>
      <c r="M31" s="401">
        <f t="shared" si="2"/>
        <v>1153</v>
      </c>
      <c r="N31" s="396">
        <f t="shared" si="11"/>
        <v>1734572.8</v>
      </c>
      <c r="O31" s="368">
        <f t="shared" si="11"/>
        <v>1144138</v>
      </c>
      <c r="P31" s="404">
        <f t="shared" si="11"/>
        <v>3012934.44</v>
      </c>
      <c r="Q31" s="414">
        <f t="shared" si="4"/>
        <v>1734572.8</v>
      </c>
      <c r="R31" s="402">
        <f t="shared" si="4"/>
        <v>1144138</v>
      </c>
      <c r="S31" s="415">
        <f t="shared" si="4"/>
        <v>3012934.44</v>
      </c>
      <c r="T31" s="416">
        <f>N31/'2018'!N31-1</f>
        <v>-0.141142853464671</v>
      </c>
      <c r="U31" s="417">
        <f>O31/'2018'!O31-1</f>
        <v>0.1288032084137</v>
      </c>
      <c r="V31" s="417">
        <f>P31/'2018'!P31-1</f>
        <v>-0.0198208572215853</v>
      </c>
      <c r="W31" s="417">
        <f>Q31/'2018'!Q31-1</f>
        <v>-0.141142853464671</v>
      </c>
      <c r="X31" s="417">
        <f>R31/'2018'!R31-1</f>
        <v>0.1288032084137</v>
      </c>
      <c r="Y31" s="424">
        <f>S31/'2018'!S31-1</f>
        <v>-0.0198208572215853</v>
      </c>
      <c r="Z31" s="425"/>
      <c r="AA31" s="426">
        <f t="shared" si="1"/>
        <v>173.45728</v>
      </c>
      <c r="AB31" s="427"/>
      <c r="AC31" s="401"/>
      <c r="AD31" s="427">
        <f t="shared" si="5"/>
        <v>1868796.44</v>
      </c>
      <c r="AE31" s="329">
        <f t="shared" si="12"/>
        <v>12602.5</v>
      </c>
      <c r="AF31" s="329">
        <f t="shared" si="12"/>
        <v>103806.73</v>
      </c>
      <c r="AG31" s="401">
        <f t="shared" si="8"/>
        <v>17814.4100000004</v>
      </c>
      <c r="AH31" s="439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</row>
    <row r="32" s="366" customFormat="1" spans="1:55">
      <c r="A32" s="372">
        <v>42763</v>
      </c>
      <c r="B32" s="373" t="s">
        <v>39</v>
      </c>
      <c r="C32" s="377">
        <v>29712</v>
      </c>
      <c r="D32" s="329">
        <f>27014+10492</f>
        <v>37506</v>
      </c>
      <c r="E32" s="329">
        <v>71837</v>
      </c>
      <c r="F32" s="378">
        <v>3431.7</v>
      </c>
      <c r="G32" s="329">
        <v>2261.3</v>
      </c>
      <c r="H32" s="376"/>
      <c r="I32" s="376"/>
      <c r="J32" s="399">
        <f t="shared" si="0"/>
        <v>34331</v>
      </c>
      <c r="K32" s="329">
        <v>706</v>
      </c>
      <c r="L32" s="329">
        <v>3849</v>
      </c>
      <c r="M32" s="401">
        <f t="shared" si="2"/>
        <v>64</v>
      </c>
      <c r="N32" s="396">
        <f t="shared" si="11"/>
        <v>1764284.8</v>
      </c>
      <c r="O32" s="368">
        <f t="shared" si="11"/>
        <v>1181644</v>
      </c>
      <c r="P32" s="404">
        <f t="shared" si="11"/>
        <v>3084771.44</v>
      </c>
      <c r="Q32" s="414">
        <f t="shared" si="4"/>
        <v>1764284.8</v>
      </c>
      <c r="R32" s="402">
        <f t="shared" si="4"/>
        <v>1181644</v>
      </c>
      <c r="S32" s="415">
        <f t="shared" si="4"/>
        <v>3084771.44</v>
      </c>
      <c r="T32" s="416">
        <f>N32/'2018'!N32-1</f>
        <v>-0.15816668376464</v>
      </c>
      <c r="U32" s="417">
        <f>O32/'2018'!O32-1</f>
        <v>0.12270640458491</v>
      </c>
      <c r="V32" s="417">
        <f>P32/'2018'!P32-1</f>
        <v>-0.0329718522233889</v>
      </c>
      <c r="W32" s="417">
        <f>Q32/'2018'!Q32-1</f>
        <v>-0.15816668376464</v>
      </c>
      <c r="X32" s="417">
        <f>R32/'2018'!R32-1</f>
        <v>0.12270640458491</v>
      </c>
      <c r="Y32" s="424">
        <f>S32/'2018'!S32-1</f>
        <v>-0.0329718522233889</v>
      </c>
      <c r="Z32" s="425"/>
      <c r="AA32" s="426">
        <f t="shared" si="1"/>
        <v>176.42848</v>
      </c>
      <c r="AB32" s="427"/>
      <c r="AC32" s="401"/>
      <c r="AD32" s="427">
        <f t="shared" si="5"/>
        <v>1903127.44</v>
      </c>
      <c r="AE32" s="329">
        <f t="shared" si="12"/>
        <v>13308.5</v>
      </c>
      <c r="AF32" s="329">
        <f t="shared" si="12"/>
        <v>107655.73</v>
      </c>
      <c r="AG32" s="401">
        <f t="shared" si="8"/>
        <v>17878.4100000004</v>
      </c>
      <c r="AH32" s="439"/>
      <c r="AI32" s="400"/>
      <c r="AJ32" s="400"/>
      <c r="AK32" s="400"/>
      <c r="AL32" s="400"/>
      <c r="AM32" s="400"/>
      <c r="AN32" s="400"/>
      <c r="AO32" s="400"/>
      <c r="AP32" s="400"/>
      <c r="AQ32" s="400"/>
      <c r="AR32" s="400"/>
      <c r="AS32" s="400"/>
      <c r="AT32" s="400"/>
      <c r="AU32" s="400"/>
      <c r="AV32" s="400"/>
      <c r="AW32" s="400"/>
      <c r="AX32" s="400"/>
      <c r="AY32" s="400"/>
      <c r="AZ32" s="400"/>
      <c r="BA32" s="400"/>
      <c r="BB32" s="400"/>
      <c r="BC32" s="400"/>
    </row>
    <row r="33" s="366" customFormat="1" spans="1:55">
      <c r="A33" s="372">
        <v>42764</v>
      </c>
      <c r="B33" s="373" t="s">
        <v>34</v>
      </c>
      <c r="C33" s="377">
        <v>25960</v>
      </c>
      <c r="D33" s="329">
        <f>24373+10362</f>
        <v>34735</v>
      </c>
      <c r="E33" s="329">
        <v>66344</v>
      </c>
      <c r="F33" s="378">
        <v>3183.7</v>
      </c>
      <c r="G33" s="329">
        <v>2172.6</v>
      </c>
      <c r="H33" s="376"/>
      <c r="I33" s="376"/>
      <c r="J33" s="399">
        <f t="shared" si="0"/>
        <v>31609</v>
      </c>
      <c r="K33" s="329">
        <v>886</v>
      </c>
      <c r="L33" s="329">
        <v>3844</v>
      </c>
      <c r="M33" s="401">
        <f t="shared" si="2"/>
        <v>919</v>
      </c>
      <c r="N33" s="396">
        <f t="shared" si="11"/>
        <v>1790244.8</v>
      </c>
      <c r="O33" s="368">
        <f t="shared" si="11"/>
        <v>1216379</v>
      </c>
      <c r="P33" s="404">
        <f t="shared" si="11"/>
        <v>3151115.44</v>
      </c>
      <c r="Q33" s="414">
        <f t="shared" si="4"/>
        <v>1790244.8</v>
      </c>
      <c r="R33" s="402">
        <f t="shared" si="4"/>
        <v>1216379</v>
      </c>
      <c r="S33" s="415">
        <f t="shared" si="4"/>
        <v>3151115.44</v>
      </c>
      <c r="T33" s="416">
        <f>N33/'2018'!N33-1</f>
        <v>-0.176181936738504</v>
      </c>
      <c r="U33" s="417">
        <f>O33/'2018'!O33-1</f>
        <v>0.112879024924017</v>
      </c>
      <c r="V33" s="417">
        <f>P33/'2018'!P33-1</f>
        <v>-0.0478641665279255</v>
      </c>
      <c r="W33" s="417">
        <f>Q33/'2018'!Q33-1</f>
        <v>-0.176181936738504</v>
      </c>
      <c r="X33" s="417">
        <f>R33/'2018'!R33-1</f>
        <v>0.112879024924017</v>
      </c>
      <c r="Y33" s="424">
        <f>S33/'2018'!S33-1</f>
        <v>-0.0478641665279255</v>
      </c>
      <c r="Z33" s="425"/>
      <c r="AA33" s="426">
        <f t="shared" si="1"/>
        <v>179.02448</v>
      </c>
      <c r="AB33" s="427"/>
      <c r="AC33" s="401"/>
      <c r="AD33" s="427">
        <f t="shared" si="5"/>
        <v>1934736.44</v>
      </c>
      <c r="AE33" s="329">
        <f t="shared" si="12"/>
        <v>14194.5</v>
      </c>
      <c r="AF33" s="329">
        <f t="shared" si="12"/>
        <v>111499.73</v>
      </c>
      <c r="AG33" s="401">
        <f t="shared" si="8"/>
        <v>18797.4100000004</v>
      </c>
      <c r="AH33" s="439"/>
      <c r="AI33" s="400"/>
      <c r="AJ33" s="400"/>
      <c r="AK33" s="400"/>
      <c r="AL33" s="400"/>
      <c r="AM33" s="400"/>
      <c r="AN33" s="400"/>
      <c r="AO33" s="400"/>
      <c r="AP33" s="400"/>
      <c r="AQ33" s="400"/>
      <c r="AR33" s="400"/>
      <c r="AS33" s="400"/>
      <c r="AT33" s="400"/>
      <c r="AU33" s="400"/>
      <c r="AV33" s="400"/>
      <c r="AW33" s="400"/>
      <c r="AX33" s="400"/>
      <c r="AY33" s="400"/>
      <c r="AZ33" s="400"/>
      <c r="BA33" s="400"/>
      <c r="BB33" s="400"/>
      <c r="BC33" s="400"/>
    </row>
    <row r="34" s="366" customFormat="1" spans="1:55">
      <c r="A34" s="372">
        <v>42765</v>
      </c>
      <c r="B34" s="373" t="s">
        <v>35</v>
      </c>
      <c r="C34" s="377">
        <v>21593</v>
      </c>
      <c r="D34" s="329">
        <f>22315+9795</f>
        <v>32110</v>
      </c>
      <c r="E34" s="329">
        <v>58867</v>
      </c>
      <c r="F34" s="378">
        <v>2865.8</v>
      </c>
      <c r="G34" s="329">
        <v>1994.3</v>
      </c>
      <c r="H34" s="376"/>
      <c r="I34" s="376"/>
      <c r="J34" s="399">
        <f t="shared" si="0"/>
        <v>26757</v>
      </c>
      <c r="K34" s="329">
        <v>649</v>
      </c>
      <c r="L34" s="329">
        <v>3849</v>
      </c>
      <c r="M34" s="401">
        <f t="shared" si="2"/>
        <v>666</v>
      </c>
      <c r="N34" s="396">
        <f t="shared" si="11"/>
        <v>1811837.8</v>
      </c>
      <c r="O34" s="368">
        <f t="shared" si="11"/>
        <v>1248489</v>
      </c>
      <c r="P34" s="404">
        <f t="shared" si="11"/>
        <v>3209982.44</v>
      </c>
      <c r="Q34" s="414">
        <f t="shared" si="4"/>
        <v>1811837.8</v>
      </c>
      <c r="R34" s="402">
        <f t="shared" si="4"/>
        <v>1248489</v>
      </c>
      <c r="S34" s="415">
        <f t="shared" si="4"/>
        <v>3209982.44</v>
      </c>
      <c r="T34" s="416">
        <f>N34/'2018'!N34-1</f>
        <v>-0.195577142933254</v>
      </c>
      <c r="U34" s="417">
        <f>O34/'2018'!O34-1</f>
        <v>0.102983426390558</v>
      </c>
      <c r="V34" s="417">
        <f>P34/'2018'!P34-1</f>
        <v>-0.0639338322991835</v>
      </c>
      <c r="W34" s="417">
        <f>Q34/'2018'!Q34-1</f>
        <v>-0.195577142933254</v>
      </c>
      <c r="X34" s="417">
        <f>R34/'2018'!R34-1</f>
        <v>0.102983426390558</v>
      </c>
      <c r="Y34" s="424">
        <f>S34/'2018'!S34-1</f>
        <v>-0.0639338322991835</v>
      </c>
      <c r="Z34" s="425"/>
      <c r="AA34" s="426">
        <f t="shared" si="1"/>
        <v>181.18378</v>
      </c>
      <c r="AB34" s="427"/>
      <c r="AC34" s="401"/>
      <c r="AD34" s="427">
        <f t="shared" si="5"/>
        <v>1961493.44</v>
      </c>
      <c r="AE34" s="329">
        <f t="shared" si="12"/>
        <v>14843.5</v>
      </c>
      <c r="AF34" s="329">
        <f t="shared" si="12"/>
        <v>115348.73</v>
      </c>
      <c r="AG34" s="401">
        <f t="shared" si="8"/>
        <v>19463.4100000004</v>
      </c>
      <c r="AH34" s="439"/>
      <c r="AI34" s="400"/>
      <c r="AJ34" s="400"/>
      <c r="AK34" s="400"/>
      <c r="AL34" s="400"/>
      <c r="AM34" s="400"/>
      <c r="AN34" s="400"/>
      <c r="AO34" s="400"/>
      <c r="AP34" s="400"/>
      <c r="AQ34" s="400"/>
      <c r="AR34" s="400"/>
      <c r="AS34" s="400"/>
      <c r="AT34" s="400"/>
      <c r="AU34" s="400"/>
      <c r="AV34" s="400"/>
      <c r="AW34" s="400"/>
      <c r="AX34" s="400"/>
      <c r="AY34" s="400"/>
      <c r="AZ34" s="400"/>
      <c r="BA34" s="400"/>
      <c r="BB34" s="400"/>
      <c r="BC34" s="400"/>
    </row>
    <row r="35" s="366" customFormat="1" spans="1:55">
      <c r="A35" s="385">
        <v>42766</v>
      </c>
      <c r="B35" s="386" t="s">
        <v>36</v>
      </c>
      <c r="C35" s="387">
        <v>23294.35</v>
      </c>
      <c r="D35" s="388">
        <v>30048</v>
      </c>
      <c r="E35" s="388">
        <v>58967.32</v>
      </c>
      <c r="F35" s="388">
        <v>2944.2</v>
      </c>
      <c r="G35" s="388">
        <v>1800.8</v>
      </c>
      <c r="H35" s="389"/>
      <c r="I35" s="389"/>
      <c r="J35" s="405">
        <f t="shared" si="0"/>
        <v>28919.32</v>
      </c>
      <c r="K35" s="392">
        <v>961.66</v>
      </c>
      <c r="L35" s="392">
        <v>3846.43</v>
      </c>
      <c r="M35" s="406">
        <f t="shared" si="2"/>
        <v>816.880000000001</v>
      </c>
      <c r="N35" s="407">
        <f>[1]表2、统调口径电量!$D$10</f>
        <v>1835074.72</v>
      </c>
      <c r="O35" s="408">
        <f>[1]表2、统调口径电量!$D$14</f>
        <v>1278537</v>
      </c>
      <c r="P35" s="409">
        <f>[1]表2、统调口径电量!$D$3</f>
        <v>3269642.36</v>
      </c>
      <c r="Q35" s="418">
        <f t="shared" si="4"/>
        <v>1835074.72</v>
      </c>
      <c r="R35" s="408">
        <f t="shared" si="4"/>
        <v>1278537</v>
      </c>
      <c r="S35" s="419">
        <f>P35</f>
        <v>3269642.36</v>
      </c>
      <c r="T35" s="420">
        <f>N35/'2018'!N35-1</f>
        <v>-0.215694243204483</v>
      </c>
      <c r="U35" s="421">
        <f>O35/'2018'!O35-1</f>
        <v>0.0915966989226931</v>
      </c>
      <c r="V35" s="421">
        <f>P35/'2018'!P35-1</f>
        <v>-0.0810658189827893</v>
      </c>
      <c r="W35" s="421">
        <f>Q35/'2018'!Q35-1</f>
        <v>-0.215694243204483</v>
      </c>
      <c r="X35" s="421">
        <f>R35/'2018'!R35-1</f>
        <v>0.0915966989226931</v>
      </c>
      <c r="Y35" s="431">
        <f>S35/'2018'!S35-1</f>
        <v>-0.0810658189827893</v>
      </c>
      <c r="Z35" s="432">
        <f>[1]表2、统调口径电量!$D$12/10000</f>
        <v>9.207196</v>
      </c>
      <c r="AA35" s="433">
        <f>[1]表2、统调口径电量!$D$11/10000</f>
        <v>174.300276</v>
      </c>
      <c r="AB35" s="434">
        <v>4259.88</v>
      </c>
      <c r="AC35" s="406">
        <f t="shared" ref="AC35" si="14">AA35*10000/AB35</f>
        <v>409.167103298684</v>
      </c>
      <c r="AD35" s="435">
        <f>[1]表2、统调口径电量!$D$4</f>
        <v>1991105.36</v>
      </c>
      <c r="AE35" s="392">
        <f>[1]表2、统调口径电量!$D$13</f>
        <v>15803.72</v>
      </c>
      <c r="AF35" s="392">
        <f>[1]表2、统调口径电量!$D$17</f>
        <v>119197.76</v>
      </c>
      <c r="AG35" s="406">
        <f t="shared" ref="AG35" si="15">AD35-Q35-AE35-AF35</f>
        <v>21029.1600000001</v>
      </c>
      <c r="AH35" s="439"/>
      <c r="AI35" s="400"/>
      <c r="AJ35" s="400"/>
      <c r="AK35" s="400"/>
      <c r="AL35" s="400"/>
      <c r="AM35" s="400"/>
      <c r="AN35" s="400"/>
      <c r="AO35" s="400"/>
      <c r="AP35" s="400"/>
      <c r="AQ35" s="400"/>
      <c r="AR35" s="400"/>
      <c r="AS35" s="400"/>
      <c r="AT35" s="400"/>
      <c r="AU35" s="400"/>
      <c r="AV35" s="400"/>
      <c r="AW35" s="400"/>
      <c r="AX35" s="400"/>
      <c r="AY35" s="400"/>
      <c r="AZ35" s="400"/>
      <c r="BA35" s="400"/>
      <c r="BB35" s="400"/>
      <c r="BC35" s="400"/>
    </row>
    <row r="36" s="366" customFormat="1" spans="1:55">
      <c r="A36" s="372">
        <v>42767</v>
      </c>
      <c r="B36" s="373" t="s">
        <v>37</v>
      </c>
      <c r="C36" s="377">
        <v>25002</v>
      </c>
      <c r="D36" s="329">
        <v>26132</v>
      </c>
      <c r="E36" s="329">
        <v>56273</v>
      </c>
      <c r="F36" s="378">
        <v>2890</v>
      </c>
      <c r="G36" s="329">
        <v>1794</v>
      </c>
      <c r="H36" s="376"/>
      <c r="I36" s="376"/>
      <c r="J36" s="399">
        <f t="shared" si="0"/>
        <v>30141</v>
      </c>
      <c r="K36" s="329">
        <v>682</v>
      </c>
      <c r="L36" s="329">
        <v>3849</v>
      </c>
      <c r="M36" s="401">
        <f t="shared" si="2"/>
        <v>608</v>
      </c>
      <c r="N36" s="396">
        <f>C36</f>
        <v>25002</v>
      </c>
      <c r="O36" s="410">
        <f>D36</f>
        <v>26132</v>
      </c>
      <c r="P36" s="398">
        <f>E36</f>
        <v>56273</v>
      </c>
      <c r="Q36" s="414">
        <f>N36+Q$35</f>
        <v>1860076.72</v>
      </c>
      <c r="R36" s="402">
        <f>O36+R$35</f>
        <v>1304669</v>
      </c>
      <c r="S36" s="415">
        <f>P36+S$35</f>
        <v>3325915.36</v>
      </c>
      <c r="T36" s="416">
        <f>N36/'2018'!N36-1</f>
        <v>-0.667030683997443</v>
      </c>
      <c r="U36" s="417">
        <f>O36/'2018'!O36-1</f>
        <v>-0.238689002184996</v>
      </c>
      <c r="V36" s="417">
        <f>P36/'2018'!P36-1</f>
        <v>-0.494516056591062</v>
      </c>
      <c r="W36" s="417">
        <f>Q36/'2018'!Q36-1</f>
        <v>-0.229728325121941</v>
      </c>
      <c r="X36" s="417">
        <f>R36/'2018'!R36-1</f>
        <v>0.0821928716409295</v>
      </c>
      <c r="Y36" s="424">
        <f>S36/'2018'!S36-1</f>
        <v>-0.0936093604160665</v>
      </c>
      <c r="Z36" s="425"/>
      <c r="AA36" s="426">
        <f t="shared" si="1"/>
        <v>186.007672</v>
      </c>
      <c r="AB36" s="427"/>
      <c r="AC36" s="401"/>
      <c r="AD36" s="427">
        <f t="shared" si="5"/>
        <v>2021246.36</v>
      </c>
      <c r="AE36" s="329">
        <f t="shared" si="12"/>
        <v>16485.72</v>
      </c>
      <c r="AF36" s="329">
        <f t="shared" si="12"/>
        <v>123046.76</v>
      </c>
      <c r="AG36" s="401">
        <f t="shared" si="8"/>
        <v>21637.1599999999</v>
      </c>
      <c r="AH36" s="440">
        <f>(AD36-AD29)/('2017'!AD36-'2017'!AD29)-1</f>
        <v>0.381827748547722</v>
      </c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</row>
    <row r="37" s="366" customFormat="1" spans="1:55">
      <c r="A37" s="372">
        <v>42768</v>
      </c>
      <c r="B37" s="373" t="s">
        <v>38</v>
      </c>
      <c r="C37" s="377">
        <v>20314</v>
      </c>
      <c r="D37" s="329">
        <f>14540+8965</f>
        <v>23505</v>
      </c>
      <c r="E37" s="329">
        <v>49369</v>
      </c>
      <c r="F37" s="378">
        <v>2467.5</v>
      </c>
      <c r="G37" s="329">
        <v>1702.5</v>
      </c>
      <c r="H37" s="376"/>
      <c r="I37" s="376"/>
      <c r="J37" s="399">
        <f t="shared" si="0"/>
        <v>25864</v>
      </c>
      <c r="K37" s="329">
        <v>698</v>
      </c>
      <c r="L37" s="329">
        <v>3848</v>
      </c>
      <c r="M37" s="401">
        <f t="shared" si="2"/>
        <v>1004</v>
      </c>
      <c r="N37" s="396">
        <f t="shared" ref="N37:P52" si="16">N36+C37</f>
        <v>45316</v>
      </c>
      <c r="O37" s="368">
        <f t="shared" si="16"/>
        <v>49637</v>
      </c>
      <c r="P37" s="398">
        <f t="shared" si="16"/>
        <v>105642</v>
      </c>
      <c r="Q37" s="414">
        <f t="shared" ref="Q37:S62" si="17">N37+Q$35</f>
        <v>1880390.72</v>
      </c>
      <c r="R37" s="402">
        <f t="shared" si="17"/>
        <v>1328174</v>
      </c>
      <c r="S37" s="415">
        <f t="shared" si="17"/>
        <v>3375284.36</v>
      </c>
      <c r="T37" s="416">
        <f>N37/'2018'!N37-1</f>
        <v>-0.689601556238998</v>
      </c>
      <c r="U37" s="417">
        <f>O37/'2018'!O37-1</f>
        <v>-0.270837617886418</v>
      </c>
      <c r="V37" s="417">
        <f>P37/'2018'!P37-1</f>
        <v>-0.514709124986219</v>
      </c>
      <c r="W37" s="417">
        <f>Q37/'2018'!Q37-1</f>
        <v>-0.243527899475642</v>
      </c>
      <c r="X37" s="417">
        <f>R37/'2018'!R37-1</f>
        <v>0.0716888507320097</v>
      </c>
      <c r="Y37" s="424">
        <f>S37/'2018'!S37-1</f>
        <v>-0.106067067999115</v>
      </c>
      <c r="Z37" s="425"/>
      <c r="AA37" s="426">
        <f t="shared" si="1"/>
        <v>188.039072</v>
      </c>
      <c r="AB37" s="427"/>
      <c r="AC37" s="401"/>
      <c r="AD37" s="427">
        <f t="shared" si="5"/>
        <v>2047110.36</v>
      </c>
      <c r="AE37" s="329">
        <f t="shared" si="12"/>
        <v>17183.72</v>
      </c>
      <c r="AF37" s="329">
        <f t="shared" si="12"/>
        <v>126894.76</v>
      </c>
      <c r="AG37" s="401">
        <f t="shared" si="8"/>
        <v>22641.1599999999</v>
      </c>
      <c r="AH37" s="439"/>
      <c r="AI37" s="400"/>
      <c r="AJ37" s="400"/>
      <c r="AK37" s="400"/>
      <c r="AL37" s="400"/>
      <c r="AM37" s="400"/>
      <c r="AN37" s="400"/>
      <c r="AO37" s="400"/>
      <c r="AP37" s="400"/>
      <c r="AQ37" s="400"/>
      <c r="AR37" s="400"/>
      <c r="AS37" s="400"/>
      <c r="AT37" s="400"/>
      <c r="AU37" s="400"/>
      <c r="AV37" s="400"/>
      <c r="AW37" s="400"/>
      <c r="AX37" s="400"/>
      <c r="AY37" s="400"/>
      <c r="AZ37" s="400"/>
      <c r="BA37" s="400"/>
      <c r="BB37" s="400"/>
      <c r="BC37" s="400"/>
    </row>
    <row r="38" s="366" customFormat="1" spans="1:55">
      <c r="A38" s="372">
        <v>42769</v>
      </c>
      <c r="B38" s="373" t="s">
        <v>1</v>
      </c>
      <c r="C38" s="377">
        <v>18720</v>
      </c>
      <c r="D38" s="329">
        <f>13427+8670</f>
        <v>22097</v>
      </c>
      <c r="E38" s="329">
        <v>45902</v>
      </c>
      <c r="F38" s="378">
        <v>2449.1</v>
      </c>
      <c r="G38" s="329">
        <v>1470</v>
      </c>
      <c r="H38" s="376"/>
      <c r="I38" s="376"/>
      <c r="J38" s="399">
        <f t="shared" si="0"/>
        <v>23805</v>
      </c>
      <c r="K38" s="329">
        <v>608</v>
      </c>
      <c r="L38" s="329">
        <v>3508</v>
      </c>
      <c r="M38" s="401">
        <f t="shared" si="2"/>
        <v>969</v>
      </c>
      <c r="N38" s="396">
        <f t="shared" si="16"/>
        <v>64036</v>
      </c>
      <c r="O38" s="368">
        <f t="shared" si="16"/>
        <v>71734</v>
      </c>
      <c r="P38" s="398">
        <f t="shared" si="16"/>
        <v>151544</v>
      </c>
      <c r="Q38" s="414">
        <f t="shared" si="17"/>
        <v>1899110.72</v>
      </c>
      <c r="R38" s="402">
        <f t="shared" si="17"/>
        <v>1350271</v>
      </c>
      <c r="S38" s="415">
        <f t="shared" si="17"/>
        <v>3421186.36</v>
      </c>
      <c r="T38" s="416">
        <f>N38/'2018'!N38-1</f>
        <v>-0.699450397300329</v>
      </c>
      <c r="U38" s="417">
        <f>O38/'2018'!O38-1</f>
        <v>-0.283326506349095</v>
      </c>
      <c r="V38" s="417">
        <f>P38/'2018'!P38-1</f>
        <v>-0.524557402044908</v>
      </c>
      <c r="W38" s="417">
        <f>Q38/'2018'!Q38-1</f>
        <v>-0.256069616605257</v>
      </c>
      <c r="X38" s="417">
        <f>R38/'2018'!R38-1</f>
        <v>0.0620790390035135</v>
      </c>
      <c r="Y38" s="424">
        <f>S38/'2018'!S38-1</f>
        <v>-0.11752861256961</v>
      </c>
      <c r="Z38" s="425"/>
      <c r="AA38" s="426">
        <f t="shared" si="1"/>
        <v>189.911072</v>
      </c>
      <c r="AB38" s="427"/>
      <c r="AC38" s="401"/>
      <c r="AD38" s="427">
        <f t="shared" si="5"/>
        <v>2070915.36</v>
      </c>
      <c r="AE38" s="329">
        <f t="shared" si="12"/>
        <v>17791.72</v>
      </c>
      <c r="AF38" s="329">
        <f t="shared" si="12"/>
        <v>130402.76</v>
      </c>
      <c r="AG38" s="401">
        <f t="shared" si="8"/>
        <v>23610.1599999999</v>
      </c>
      <c r="AH38" s="439"/>
      <c r="AI38" s="400"/>
      <c r="AJ38" s="400"/>
      <c r="AK38" s="400"/>
      <c r="AL38" s="400"/>
      <c r="AM38" s="400"/>
      <c r="AN38" s="400"/>
      <c r="AO38" s="400"/>
      <c r="AP38" s="400"/>
      <c r="AQ38" s="400"/>
      <c r="AR38" s="400"/>
      <c r="AS38" s="400"/>
      <c r="AT38" s="400"/>
      <c r="AU38" s="400"/>
      <c r="AV38" s="400"/>
      <c r="AW38" s="400"/>
      <c r="AX38" s="400"/>
      <c r="AY38" s="400"/>
      <c r="AZ38" s="400"/>
      <c r="BA38" s="400"/>
      <c r="BB38" s="400"/>
      <c r="BC38" s="400"/>
    </row>
    <row r="39" s="366" customFormat="1" spans="1:55">
      <c r="A39" s="390">
        <v>42770</v>
      </c>
      <c r="B39" s="373" t="s">
        <v>39</v>
      </c>
      <c r="C39" s="377">
        <v>20645</v>
      </c>
      <c r="D39" s="329">
        <f>12758+7925</f>
        <v>20683</v>
      </c>
      <c r="E39" s="329">
        <v>45529</v>
      </c>
      <c r="F39" s="378">
        <v>2496</v>
      </c>
      <c r="G39" s="329">
        <v>1432.2</v>
      </c>
      <c r="H39" s="376"/>
      <c r="I39" s="376"/>
      <c r="J39" s="399">
        <f t="shared" si="0"/>
        <v>24846</v>
      </c>
      <c r="K39" s="329">
        <v>387</v>
      </c>
      <c r="L39" s="329">
        <v>3484</v>
      </c>
      <c r="M39" s="401">
        <f t="shared" si="2"/>
        <v>330</v>
      </c>
      <c r="N39" s="396">
        <f t="shared" si="16"/>
        <v>84681</v>
      </c>
      <c r="O39" s="368">
        <f t="shared" si="16"/>
        <v>92417</v>
      </c>
      <c r="P39" s="398">
        <f t="shared" si="16"/>
        <v>197073</v>
      </c>
      <c r="Q39" s="414">
        <f t="shared" si="17"/>
        <v>1919755.72</v>
      </c>
      <c r="R39" s="402">
        <f t="shared" si="17"/>
        <v>1370954</v>
      </c>
      <c r="S39" s="415">
        <f t="shared" si="17"/>
        <v>3466715.36</v>
      </c>
      <c r="T39" s="416">
        <f>N39/'2018'!N39-1</f>
        <v>-0.692260448957194</v>
      </c>
      <c r="U39" s="417">
        <f>O39/'2018'!O39-1</f>
        <v>-0.29920226883237</v>
      </c>
      <c r="V39" s="417">
        <f>P39/'2018'!P39-1</f>
        <v>-0.524771456337369</v>
      </c>
      <c r="W39" s="417">
        <f>Q39/'2018'!Q39-1</f>
        <v>-0.265843941147702</v>
      </c>
      <c r="X39" s="417">
        <f>R39/'2018'!R39-1</f>
        <v>0.0520486091926502</v>
      </c>
      <c r="Y39" s="424">
        <f>S39/'2018'!S39-1</f>
        <v>-0.127381270486765</v>
      </c>
      <c r="Z39" s="425"/>
      <c r="AA39" s="426">
        <f t="shared" si="1"/>
        <v>191.975572</v>
      </c>
      <c r="AB39" s="427"/>
      <c r="AC39" s="401"/>
      <c r="AD39" s="427">
        <f t="shared" si="5"/>
        <v>2095761.36</v>
      </c>
      <c r="AE39" s="329">
        <f t="shared" ref="AE39:AF54" si="18">AE38+K39</f>
        <v>18178.72</v>
      </c>
      <c r="AF39" s="329">
        <f t="shared" si="18"/>
        <v>133886.76</v>
      </c>
      <c r="AG39" s="401">
        <f t="shared" si="8"/>
        <v>23940.1599999999</v>
      </c>
      <c r="AH39" s="439"/>
      <c r="AI39" s="400"/>
      <c r="AJ39" s="400"/>
      <c r="AK39" s="400"/>
      <c r="AL39" s="400"/>
      <c r="AM39" s="400"/>
      <c r="AN39" s="400"/>
      <c r="AO39" s="400"/>
      <c r="AP39" s="400"/>
      <c r="AQ39" s="400"/>
      <c r="AR39" s="400"/>
      <c r="AS39" s="400"/>
      <c r="AT39" s="400"/>
      <c r="AU39" s="400"/>
      <c r="AV39" s="400"/>
      <c r="AW39" s="400"/>
      <c r="AX39" s="400"/>
      <c r="AY39" s="400"/>
      <c r="AZ39" s="400"/>
      <c r="BA39" s="400"/>
      <c r="BB39" s="400"/>
      <c r="BC39" s="400"/>
    </row>
    <row r="40" s="366" customFormat="1" spans="1:55">
      <c r="A40" s="390">
        <v>42771</v>
      </c>
      <c r="B40" s="373" t="s">
        <v>34</v>
      </c>
      <c r="C40" s="377">
        <v>23820</v>
      </c>
      <c r="D40" s="329">
        <f>12458+5344</f>
        <v>17802</v>
      </c>
      <c r="E40" s="329">
        <v>43066</v>
      </c>
      <c r="F40" s="378">
        <v>2198.3</v>
      </c>
      <c r="G40" s="329">
        <v>1490.8</v>
      </c>
      <c r="H40" s="376"/>
      <c r="I40" s="376"/>
      <c r="J40" s="399">
        <f t="shared" si="0"/>
        <v>25264</v>
      </c>
      <c r="K40" s="329">
        <v>205</v>
      </c>
      <c r="L40" s="329">
        <v>830</v>
      </c>
      <c r="M40" s="401">
        <f t="shared" si="2"/>
        <v>409</v>
      </c>
      <c r="N40" s="396">
        <f t="shared" si="16"/>
        <v>108501</v>
      </c>
      <c r="O40" s="368">
        <f t="shared" si="16"/>
        <v>110219</v>
      </c>
      <c r="P40" s="398">
        <f t="shared" si="16"/>
        <v>240139</v>
      </c>
      <c r="Q40" s="414">
        <f t="shared" si="17"/>
        <v>1943575.72</v>
      </c>
      <c r="R40" s="402">
        <f t="shared" si="17"/>
        <v>1388756</v>
      </c>
      <c r="S40" s="415">
        <f t="shared" si="17"/>
        <v>3509781.36</v>
      </c>
      <c r="T40" s="416">
        <f>N40/'2018'!N40-1</f>
        <v>-0.675905514633403</v>
      </c>
      <c r="U40" s="417">
        <f>O40/'2018'!O40-1</f>
        <v>-0.327071249771048</v>
      </c>
      <c r="V40" s="417">
        <f>P40/'2018'!P40-1</f>
        <v>-0.527464959178895</v>
      </c>
      <c r="W40" s="417">
        <f>Q40/'2018'!Q40-1</f>
        <v>-0.273300879882254</v>
      </c>
      <c r="X40" s="417">
        <f>R40/'2018'!R40-1</f>
        <v>0.0402323818540813</v>
      </c>
      <c r="Y40" s="424">
        <f>S40/'2018'!S40-1</f>
        <v>-0.136855692355537</v>
      </c>
      <c r="Z40" s="425"/>
      <c r="AA40" s="426">
        <f t="shared" si="1"/>
        <v>194.357572</v>
      </c>
      <c r="AB40" s="427"/>
      <c r="AC40" s="401"/>
      <c r="AD40" s="427">
        <f t="shared" si="5"/>
        <v>2121025.36</v>
      </c>
      <c r="AE40" s="329">
        <f t="shared" si="18"/>
        <v>18383.72</v>
      </c>
      <c r="AF40" s="329">
        <f t="shared" si="18"/>
        <v>134716.76</v>
      </c>
      <c r="AG40" s="401">
        <f t="shared" si="8"/>
        <v>24349.1599999999</v>
      </c>
      <c r="AH40" s="439"/>
      <c r="AI40" s="400"/>
      <c r="AJ40" s="400"/>
      <c r="AK40" s="400"/>
      <c r="AL40" s="400"/>
      <c r="AM40" s="400"/>
      <c r="AN40" s="400"/>
      <c r="AO40" s="400"/>
      <c r="AP40" s="400"/>
      <c r="AQ40" s="400"/>
      <c r="AR40" s="400"/>
      <c r="AS40" s="400"/>
      <c r="AT40" s="400"/>
      <c r="AU40" s="400"/>
      <c r="AV40" s="400"/>
      <c r="AW40" s="400"/>
      <c r="AX40" s="400"/>
      <c r="AY40" s="400"/>
      <c r="AZ40" s="400"/>
      <c r="BA40" s="400"/>
      <c r="BB40" s="400"/>
      <c r="BC40" s="400"/>
    </row>
    <row r="41" s="366" customFormat="1" spans="1:55">
      <c r="A41" s="390">
        <v>42772</v>
      </c>
      <c r="B41" s="373" t="s">
        <v>35</v>
      </c>
      <c r="C41" s="377">
        <v>19102</v>
      </c>
      <c r="D41" s="329">
        <f>12421+4903</f>
        <v>17324</v>
      </c>
      <c r="E41" s="329">
        <v>38324</v>
      </c>
      <c r="F41" s="378">
        <v>2079.2</v>
      </c>
      <c r="G41" s="329">
        <v>1096.9</v>
      </c>
      <c r="H41" s="376"/>
      <c r="I41" s="376"/>
      <c r="J41" s="399">
        <f t="shared" si="0"/>
        <v>21000</v>
      </c>
      <c r="K41" s="329">
        <v>486</v>
      </c>
      <c r="L41" s="329">
        <v>492</v>
      </c>
      <c r="M41" s="401">
        <f t="shared" si="2"/>
        <v>920</v>
      </c>
      <c r="N41" s="396">
        <f t="shared" si="16"/>
        <v>127603</v>
      </c>
      <c r="O41" s="368">
        <f t="shared" si="16"/>
        <v>127543</v>
      </c>
      <c r="P41" s="398">
        <f t="shared" si="16"/>
        <v>278463</v>
      </c>
      <c r="Q41" s="414">
        <f t="shared" si="17"/>
        <v>1962677.72</v>
      </c>
      <c r="R41" s="402">
        <f t="shared" si="17"/>
        <v>1406080</v>
      </c>
      <c r="S41" s="415">
        <f t="shared" si="17"/>
        <v>3548105.36</v>
      </c>
      <c r="T41" s="416">
        <f>N41/'2018'!N41-1</f>
        <v>-0.671766682014729</v>
      </c>
      <c r="U41" s="417">
        <f>O41/'2018'!O41-1</f>
        <v>-0.351012079826588</v>
      </c>
      <c r="V41" s="417">
        <f>P41/'2018'!P41-1</f>
        <v>-0.533464349259643</v>
      </c>
      <c r="W41" s="417">
        <f>Q41/'2018'!Q41-1</f>
        <v>-0.280675473006234</v>
      </c>
      <c r="X41" s="417">
        <f>R41/'2018'!R41-1</f>
        <v>0.0280015792013335</v>
      </c>
      <c r="Y41" s="424">
        <f>S41/'2018'!S41-1</f>
        <v>-0.146054468092546</v>
      </c>
      <c r="Z41" s="425"/>
      <c r="AA41" s="426">
        <f t="shared" si="1"/>
        <v>196.267772</v>
      </c>
      <c r="AB41" s="427"/>
      <c r="AC41" s="401"/>
      <c r="AD41" s="427">
        <f t="shared" si="5"/>
        <v>2142025.36</v>
      </c>
      <c r="AE41" s="329">
        <f t="shared" si="18"/>
        <v>18869.72</v>
      </c>
      <c r="AF41" s="329">
        <f t="shared" si="18"/>
        <v>135208.76</v>
      </c>
      <c r="AG41" s="401">
        <f t="shared" si="8"/>
        <v>25269.1599999999</v>
      </c>
      <c r="AH41" s="439"/>
      <c r="AI41" s="400"/>
      <c r="AJ41" s="400"/>
      <c r="AK41" s="400"/>
      <c r="AL41" s="400"/>
      <c r="AM41" s="400"/>
      <c r="AN41" s="400"/>
      <c r="AO41" s="400"/>
      <c r="AP41" s="400"/>
      <c r="AQ41" s="400"/>
      <c r="AR41" s="400"/>
      <c r="AS41" s="400"/>
      <c r="AT41" s="400"/>
      <c r="AU41" s="400"/>
      <c r="AV41" s="400"/>
      <c r="AW41" s="400"/>
      <c r="AX41" s="400"/>
      <c r="AY41" s="400"/>
      <c r="AZ41" s="400"/>
      <c r="BA41" s="400"/>
      <c r="BB41" s="400"/>
      <c r="BC41" s="400"/>
    </row>
    <row r="42" s="163" customFormat="1" spans="1:55">
      <c r="A42" s="390">
        <v>42773</v>
      </c>
      <c r="B42" s="191" t="s">
        <v>36</v>
      </c>
      <c r="C42" s="192">
        <v>24013</v>
      </c>
      <c r="D42" s="193">
        <f>12554+4926</f>
        <v>17480</v>
      </c>
      <c r="E42" s="193">
        <v>42978</v>
      </c>
      <c r="F42" s="194">
        <v>2302.6</v>
      </c>
      <c r="G42" s="193">
        <v>1327.3</v>
      </c>
      <c r="H42" s="195"/>
      <c r="I42" s="195"/>
      <c r="J42" s="220">
        <f t="shared" si="0"/>
        <v>25498</v>
      </c>
      <c r="K42" s="193">
        <v>364</v>
      </c>
      <c r="L42" s="193">
        <v>480</v>
      </c>
      <c r="M42" s="221">
        <f t="shared" si="2"/>
        <v>641</v>
      </c>
      <c r="N42" s="222">
        <f t="shared" si="16"/>
        <v>151616</v>
      </c>
      <c r="O42" s="225">
        <f t="shared" si="16"/>
        <v>145023</v>
      </c>
      <c r="P42" s="224">
        <f t="shared" si="16"/>
        <v>321441</v>
      </c>
      <c r="Q42" s="242">
        <f t="shared" si="17"/>
        <v>1986690.72</v>
      </c>
      <c r="R42" s="223">
        <f t="shared" si="17"/>
        <v>1423560</v>
      </c>
      <c r="S42" s="243">
        <f t="shared" si="17"/>
        <v>3591083.36</v>
      </c>
      <c r="T42" s="244">
        <f>N42/'2018'!N42-1</f>
        <v>-0.657032467635289</v>
      </c>
      <c r="U42" s="245">
        <f>O42/'2018'!O42-1</f>
        <v>-0.359928146778301</v>
      </c>
      <c r="V42" s="245">
        <f>P42/'2018'!P42-1</f>
        <v>-0.528721038147614</v>
      </c>
      <c r="W42" s="245">
        <f>Q42/'2018'!Q42-1</f>
        <v>-0.285829326740573</v>
      </c>
      <c r="X42" s="245">
        <f>R42/'2018'!R42-1</f>
        <v>0.0184092881307916</v>
      </c>
      <c r="Y42" s="267">
        <f>S42/'2018'!S42-1</f>
        <v>-0.153074765333573</v>
      </c>
      <c r="Z42" s="268">
        <v>11.648667</v>
      </c>
      <c r="AA42" s="269">
        <f t="shared" si="1"/>
        <v>187.020405</v>
      </c>
      <c r="AB42" s="436">
        <v>4259.88</v>
      </c>
      <c r="AC42" s="221">
        <f t="shared" ref="AC42" si="19">AA42*10000/AB42</f>
        <v>439.027402180343</v>
      </c>
      <c r="AD42" s="270">
        <f t="shared" si="5"/>
        <v>2167523.36</v>
      </c>
      <c r="AE42" s="193">
        <f t="shared" si="18"/>
        <v>19233.72</v>
      </c>
      <c r="AF42" s="193">
        <f t="shared" si="18"/>
        <v>135688.76</v>
      </c>
      <c r="AG42" s="221">
        <f t="shared" si="8"/>
        <v>25910.1599999999</v>
      </c>
      <c r="AH42" s="305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="366" customFormat="1" spans="1:55">
      <c r="A43" s="390">
        <v>42774</v>
      </c>
      <c r="B43" s="373" t="s">
        <v>37</v>
      </c>
      <c r="C43" s="377">
        <v>28974</v>
      </c>
      <c r="D43" s="329">
        <f>12419+5621</f>
        <v>18040</v>
      </c>
      <c r="E43" s="329">
        <v>48872</v>
      </c>
      <c r="F43" s="378">
        <v>2594.8</v>
      </c>
      <c r="G43" s="329">
        <v>1473.4</v>
      </c>
      <c r="H43" s="376"/>
      <c r="I43" s="376"/>
      <c r="J43" s="399">
        <f t="shared" si="0"/>
        <v>30832</v>
      </c>
      <c r="K43" s="329">
        <v>866</v>
      </c>
      <c r="L43" s="329">
        <v>639</v>
      </c>
      <c r="M43" s="401">
        <f t="shared" si="2"/>
        <v>353</v>
      </c>
      <c r="N43" s="396">
        <f t="shared" si="16"/>
        <v>180590</v>
      </c>
      <c r="O43" s="368">
        <f t="shared" si="16"/>
        <v>163063</v>
      </c>
      <c r="P43" s="398">
        <f t="shared" si="16"/>
        <v>370313</v>
      </c>
      <c r="Q43" s="414">
        <f t="shared" si="17"/>
        <v>2015664.72</v>
      </c>
      <c r="R43" s="402">
        <f t="shared" si="17"/>
        <v>1441600</v>
      </c>
      <c r="S43" s="415">
        <f t="shared" si="17"/>
        <v>3639955.36</v>
      </c>
      <c r="T43" s="416">
        <f>N43/'2018'!N43-1</f>
        <v>-0.63154071843337</v>
      </c>
      <c r="U43" s="417">
        <f>O43/'2018'!O43-1</f>
        <v>-0.35578013329804</v>
      </c>
      <c r="V43" s="417">
        <f>P43/'2018'!P43-1</f>
        <v>-0.512190206208654</v>
      </c>
      <c r="W43" s="417">
        <f>Q43/'2018'!Q43-1</f>
        <v>-0.287717265938143</v>
      </c>
      <c r="X43" s="417">
        <f>R43/'2018'!R43-1</f>
        <v>0.012095865473251</v>
      </c>
      <c r="Y43" s="424">
        <f>S43/'2018'!S43-1</f>
        <v>-0.156874221268826</v>
      </c>
      <c r="Z43" s="425"/>
      <c r="AA43" s="426">
        <f t="shared" si="1"/>
        <v>201.566472</v>
      </c>
      <c r="AB43" s="427"/>
      <c r="AC43" s="401"/>
      <c r="AD43" s="427">
        <f t="shared" si="5"/>
        <v>2198355.36</v>
      </c>
      <c r="AE43" s="329">
        <f t="shared" si="18"/>
        <v>20099.72</v>
      </c>
      <c r="AF43" s="329">
        <f t="shared" si="18"/>
        <v>136327.76</v>
      </c>
      <c r="AG43" s="401">
        <f t="shared" si="8"/>
        <v>26263.1599999999</v>
      </c>
      <c r="AH43" s="440">
        <f>(AD43-AD36)/('2017'!AD43-'2017'!AD36)-1</f>
        <v>-0.25278661412672</v>
      </c>
      <c r="AI43" s="441">
        <f>AA43-AA36</f>
        <v>15.5588</v>
      </c>
      <c r="AJ43" s="441">
        <f>'2017'!AA43-'2017'!AA36</f>
        <v>20.3667934880952</v>
      </c>
      <c r="AK43" s="400"/>
      <c r="AL43" s="400"/>
      <c r="AM43" s="400"/>
      <c r="AN43" s="400"/>
      <c r="AO43" s="400"/>
      <c r="AP43" s="400"/>
      <c r="AQ43" s="400"/>
      <c r="AR43" s="400"/>
      <c r="AS43" s="400"/>
      <c r="AT43" s="400"/>
      <c r="AU43" s="400"/>
      <c r="AV43" s="400"/>
      <c r="AW43" s="400"/>
      <c r="AX43" s="400"/>
      <c r="AY43" s="400"/>
      <c r="AZ43" s="400"/>
      <c r="BA43" s="400"/>
      <c r="BB43" s="400"/>
      <c r="BC43" s="400"/>
    </row>
    <row r="44" s="366" customFormat="1" spans="1:55">
      <c r="A44" s="390">
        <v>42775</v>
      </c>
      <c r="B44" s="373" t="s">
        <v>38</v>
      </c>
      <c r="C44" s="377">
        <v>31109</v>
      </c>
      <c r="D44" s="329">
        <f>12408+7480</f>
        <v>19888</v>
      </c>
      <c r="E44" s="329">
        <v>52290</v>
      </c>
      <c r="F44" s="378">
        <v>2772.6</v>
      </c>
      <c r="G44" s="329">
        <v>1594.5</v>
      </c>
      <c r="H44" s="376"/>
      <c r="I44" s="376"/>
      <c r="J44" s="399">
        <f t="shared" si="0"/>
        <v>32402</v>
      </c>
      <c r="K44" s="329">
        <v>143</v>
      </c>
      <c r="L44" s="329">
        <v>838</v>
      </c>
      <c r="M44" s="401">
        <f t="shared" si="2"/>
        <v>312</v>
      </c>
      <c r="N44" s="396">
        <f t="shared" si="16"/>
        <v>211699</v>
      </c>
      <c r="O44" s="368">
        <f t="shared" si="16"/>
        <v>182951</v>
      </c>
      <c r="P44" s="398">
        <f t="shared" si="16"/>
        <v>422603</v>
      </c>
      <c r="Q44" s="414">
        <f t="shared" si="17"/>
        <v>2046773.72</v>
      </c>
      <c r="R44" s="402">
        <f t="shared" si="17"/>
        <v>1461488</v>
      </c>
      <c r="S44" s="415">
        <f t="shared" si="17"/>
        <v>3692245.36</v>
      </c>
      <c r="T44" s="416">
        <f>N44/'2018'!N44-1</f>
        <v>-0.607225817463969</v>
      </c>
      <c r="U44" s="417">
        <f>O44/'2018'!O44-1</f>
        <v>-0.340683854320578</v>
      </c>
      <c r="V44" s="417">
        <f>P44/'2018'!P44-1</f>
        <v>-0.493062952833357</v>
      </c>
      <c r="W44" s="417">
        <f>Q44/'2018'!Q44-1</f>
        <v>-0.289000665724575</v>
      </c>
      <c r="X44" s="417">
        <f>R44/'2018'!R44-1</f>
        <v>0.00879937048745805</v>
      </c>
      <c r="Y44" s="424">
        <f>S44/'2018'!S44-1</f>
        <v>-0.159271442991808</v>
      </c>
      <c r="Z44" s="425"/>
      <c r="AA44" s="426">
        <f t="shared" si="1"/>
        <v>204.677372</v>
      </c>
      <c r="AB44" s="427"/>
      <c r="AC44" s="401"/>
      <c r="AD44" s="427">
        <f t="shared" si="5"/>
        <v>2230757.36</v>
      </c>
      <c r="AE44" s="329">
        <f t="shared" si="18"/>
        <v>20242.72</v>
      </c>
      <c r="AF44" s="329">
        <f t="shared" si="18"/>
        <v>137165.76</v>
      </c>
      <c r="AG44" s="401">
        <f t="shared" si="8"/>
        <v>26575.1599999999</v>
      </c>
      <c r="AH44" s="439"/>
      <c r="AI44" s="400"/>
      <c r="AJ44" s="400"/>
      <c r="AK44" s="400"/>
      <c r="AL44" s="400"/>
      <c r="AM44" s="400"/>
      <c r="AN44" s="400"/>
      <c r="AO44" s="400"/>
      <c r="AP44" s="400"/>
      <c r="AQ44" s="400"/>
      <c r="AR44" s="400"/>
      <c r="AS44" s="400"/>
      <c r="AT44" s="400"/>
      <c r="AU44" s="400"/>
      <c r="AV44" s="400"/>
      <c r="AW44" s="400"/>
      <c r="AX44" s="400"/>
      <c r="AY44" s="400"/>
      <c r="AZ44" s="400"/>
      <c r="BA44" s="400"/>
      <c r="BB44" s="400"/>
      <c r="BC44" s="400"/>
    </row>
    <row r="45" s="366" customFormat="1" spans="1:55">
      <c r="A45" s="390">
        <v>42776</v>
      </c>
      <c r="B45" s="373" t="s">
        <v>1</v>
      </c>
      <c r="C45" s="377">
        <v>32345</v>
      </c>
      <c r="D45" s="329">
        <f>12427+9695</f>
        <v>22122</v>
      </c>
      <c r="E45" s="329">
        <v>56749</v>
      </c>
      <c r="F45" s="378">
        <v>2989.7</v>
      </c>
      <c r="G45" s="329">
        <v>1685.8</v>
      </c>
      <c r="H45" s="376"/>
      <c r="I45" s="376"/>
      <c r="J45" s="399">
        <f t="shared" si="0"/>
        <v>34627</v>
      </c>
      <c r="K45" s="329">
        <v>317</v>
      </c>
      <c r="L45" s="329">
        <v>1904</v>
      </c>
      <c r="M45" s="401">
        <f t="shared" si="2"/>
        <v>61</v>
      </c>
      <c r="N45" s="396">
        <f t="shared" si="16"/>
        <v>244044</v>
      </c>
      <c r="O45" s="368">
        <f t="shared" si="16"/>
        <v>205073</v>
      </c>
      <c r="P45" s="398">
        <f t="shared" si="16"/>
        <v>479352</v>
      </c>
      <c r="Q45" s="414">
        <f t="shared" si="17"/>
        <v>2079118.72</v>
      </c>
      <c r="R45" s="402">
        <f t="shared" si="17"/>
        <v>1483610</v>
      </c>
      <c r="S45" s="415">
        <f t="shared" si="17"/>
        <v>3748994.36</v>
      </c>
      <c r="T45" s="416">
        <f>N45/'2018'!N45-1</f>
        <v>-0.579482443111131</v>
      </c>
      <c r="U45" s="417">
        <f>O45/'2018'!O45-1</f>
        <v>-0.320979560482496</v>
      </c>
      <c r="V45" s="417">
        <f>P45/'2018'!P45-1</f>
        <v>-0.467918157307312</v>
      </c>
      <c r="W45" s="417">
        <f>Q45/'2018'!Q45-1</f>
        <v>-0.287994020888508</v>
      </c>
      <c r="X45" s="417">
        <f>R45/'2018'!R45-1</f>
        <v>0.00702045182577216</v>
      </c>
      <c r="Y45" s="424">
        <f>S45/'2018'!S45-1</f>
        <v>-0.159226042927503</v>
      </c>
      <c r="Z45" s="425"/>
      <c r="AA45" s="426">
        <f t="shared" si="1"/>
        <v>207.911872</v>
      </c>
      <c r="AB45" s="427"/>
      <c r="AC45" s="401"/>
      <c r="AD45" s="427">
        <f t="shared" si="5"/>
        <v>2265384.36</v>
      </c>
      <c r="AE45" s="329">
        <f t="shared" si="18"/>
        <v>20559.72</v>
      </c>
      <c r="AF45" s="329">
        <f t="shared" si="18"/>
        <v>139069.76</v>
      </c>
      <c r="AG45" s="401">
        <f t="shared" si="8"/>
        <v>26636.1599999999</v>
      </c>
      <c r="AH45" s="439"/>
      <c r="AI45" s="400"/>
      <c r="AJ45" s="400"/>
      <c r="AK45" s="400"/>
      <c r="AL45" s="400"/>
      <c r="AM45" s="400"/>
      <c r="AN45" s="400"/>
      <c r="AO45" s="400"/>
      <c r="AP45" s="400"/>
      <c r="AQ45" s="400"/>
      <c r="AR45" s="400"/>
      <c r="AS45" s="400"/>
      <c r="AT45" s="400"/>
      <c r="AU45" s="400"/>
      <c r="AV45" s="400"/>
      <c r="AW45" s="400"/>
      <c r="AX45" s="400"/>
      <c r="AY45" s="400"/>
      <c r="AZ45" s="400"/>
      <c r="BA45" s="400"/>
      <c r="BB45" s="400"/>
      <c r="BC45" s="400"/>
    </row>
    <row r="46" s="366" customFormat="1" spans="1:55">
      <c r="A46" s="372">
        <v>42777</v>
      </c>
      <c r="B46" s="373" t="s">
        <v>39</v>
      </c>
      <c r="C46" s="377">
        <v>33214</v>
      </c>
      <c r="D46" s="329">
        <f>14337+10432</f>
        <v>24769</v>
      </c>
      <c r="E46" s="329">
        <v>62147</v>
      </c>
      <c r="F46" s="378">
        <v>3277.5</v>
      </c>
      <c r="G46" s="329">
        <v>1757.1</v>
      </c>
      <c r="H46" s="376"/>
      <c r="I46" s="376"/>
      <c r="J46" s="399">
        <f t="shared" si="0"/>
        <v>37378</v>
      </c>
      <c r="K46" s="329">
        <v>156</v>
      </c>
      <c r="L46" s="329">
        <v>1845</v>
      </c>
      <c r="M46" s="401">
        <f t="shared" si="2"/>
        <v>2163</v>
      </c>
      <c r="N46" s="396">
        <f t="shared" si="16"/>
        <v>277258</v>
      </c>
      <c r="O46" s="368">
        <f t="shared" si="16"/>
        <v>229842</v>
      </c>
      <c r="P46" s="398">
        <f t="shared" si="16"/>
        <v>541499</v>
      </c>
      <c r="Q46" s="414">
        <f t="shared" si="17"/>
        <v>2112332.72</v>
      </c>
      <c r="R46" s="402">
        <f t="shared" si="17"/>
        <v>1508379</v>
      </c>
      <c r="S46" s="415">
        <f t="shared" si="17"/>
        <v>3811141.36</v>
      </c>
      <c r="T46" s="416">
        <f>N46/'2018'!N46-1</f>
        <v>-0.549058132007898</v>
      </c>
      <c r="U46" s="417">
        <f>O46/'2018'!O46-1</f>
        <v>-0.2933721938352</v>
      </c>
      <c r="V46" s="417">
        <f>P46/'2018'!P46-1</f>
        <v>-0.436486793057588</v>
      </c>
      <c r="W46" s="417">
        <f>Q46/'2018'!Q46-1</f>
        <v>-0.285066438613512</v>
      </c>
      <c r="X46" s="417">
        <f>R46/'2018'!R46-1</f>
        <v>0.00792438457220745</v>
      </c>
      <c r="Y46" s="424">
        <f>S46/'2018'!S46-1</f>
        <v>-0.156643370558141</v>
      </c>
      <c r="Z46" s="425"/>
      <c r="AA46" s="426">
        <f t="shared" si="1"/>
        <v>211.233272</v>
      </c>
      <c r="AB46" s="427"/>
      <c r="AC46" s="401"/>
      <c r="AD46" s="427">
        <f t="shared" si="5"/>
        <v>2302762.36</v>
      </c>
      <c r="AE46" s="329">
        <f t="shared" si="18"/>
        <v>20715.72</v>
      </c>
      <c r="AF46" s="329">
        <f t="shared" si="18"/>
        <v>140914.76</v>
      </c>
      <c r="AG46" s="401">
        <f t="shared" si="8"/>
        <v>28799.1600000001</v>
      </c>
      <c r="AH46" s="439"/>
      <c r="AI46" s="400"/>
      <c r="AJ46" s="400"/>
      <c r="AK46" s="400"/>
      <c r="AL46" s="400"/>
      <c r="AM46" s="400"/>
      <c r="AN46" s="400"/>
      <c r="AO46" s="400"/>
      <c r="AP46" s="400"/>
      <c r="AQ46" s="400"/>
      <c r="AR46" s="400"/>
      <c r="AS46" s="400"/>
      <c r="AT46" s="400"/>
      <c r="AU46" s="400"/>
      <c r="AV46" s="400"/>
      <c r="AW46" s="400"/>
      <c r="AX46" s="400"/>
      <c r="AY46" s="400"/>
      <c r="AZ46" s="400"/>
      <c r="BA46" s="400"/>
      <c r="BB46" s="400"/>
      <c r="BC46" s="400"/>
    </row>
    <row r="47" s="366" customFormat="1" spans="1:55">
      <c r="A47" s="372">
        <v>42778</v>
      </c>
      <c r="B47" s="373" t="s">
        <v>34</v>
      </c>
      <c r="C47" s="377">
        <v>39212</v>
      </c>
      <c r="D47" s="329">
        <f>12745+10635</f>
        <v>23380</v>
      </c>
      <c r="E47" s="329">
        <v>66794</v>
      </c>
      <c r="F47" s="378">
        <v>3366.3</v>
      </c>
      <c r="G47" s="329">
        <v>1915.3</v>
      </c>
      <c r="H47" s="376"/>
      <c r="I47" s="376"/>
      <c r="J47" s="399">
        <f t="shared" si="0"/>
        <v>43414</v>
      </c>
      <c r="K47" s="329">
        <v>207</v>
      </c>
      <c r="L47" s="329">
        <v>3843</v>
      </c>
      <c r="M47" s="401">
        <f t="shared" si="2"/>
        <v>152</v>
      </c>
      <c r="N47" s="396">
        <f t="shared" si="16"/>
        <v>316470</v>
      </c>
      <c r="O47" s="368">
        <f t="shared" si="16"/>
        <v>253222</v>
      </c>
      <c r="P47" s="398">
        <f t="shared" si="16"/>
        <v>608293</v>
      </c>
      <c r="Q47" s="414">
        <f t="shared" si="17"/>
        <v>2151544.72</v>
      </c>
      <c r="R47" s="402">
        <f t="shared" si="17"/>
        <v>1531759</v>
      </c>
      <c r="S47" s="415">
        <f t="shared" si="17"/>
        <v>3877935.36</v>
      </c>
      <c r="T47" s="416">
        <f>N47/'2018'!N47-1</f>
        <v>-0.508632736080489</v>
      </c>
      <c r="U47" s="417">
        <f>O47/'2018'!O47-1</f>
        <v>-0.273936231219177</v>
      </c>
      <c r="V47" s="417">
        <f>P47/'2018'!P47-1</f>
        <v>-0.401235145135459</v>
      </c>
      <c r="W47" s="417">
        <f>Q47/'2018'!Q47-1</f>
        <v>-0.278925595931561</v>
      </c>
      <c r="X47" s="417">
        <f>R47/'2018'!R47-1</f>
        <v>0.00772690251537167</v>
      </c>
      <c r="Y47" s="424">
        <f>S47/'2018'!S47-1</f>
        <v>-0.152177449672804</v>
      </c>
      <c r="Z47" s="425"/>
      <c r="AA47" s="426">
        <f t="shared" si="1"/>
        <v>215.154472</v>
      </c>
      <c r="AB47" s="427"/>
      <c r="AC47" s="401"/>
      <c r="AD47" s="427">
        <f t="shared" si="5"/>
        <v>2346176.36</v>
      </c>
      <c r="AE47" s="329">
        <f t="shared" si="18"/>
        <v>20922.72</v>
      </c>
      <c r="AF47" s="329">
        <f t="shared" si="18"/>
        <v>144757.76</v>
      </c>
      <c r="AG47" s="401">
        <f t="shared" si="8"/>
        <v>28951.1600000001</v>
      </c>
      <c r="AH47" s="439"/>
      <c r="AI47" s="400"/>
      <c r="AJ47" s="400"/>
      <c r="AK47" s="400"/>
      <c r="AL47" s="400"/>
      <c r="AM47" s="400"/>
      <c r="AN47" s="400"/>
      <c r="AO47" s="400"/>
      <c r="AP47" s="400"/>
      <c r="AQ47" s="400"/>
      <c r="AR47" s="400"/>
      <c r="AS47" s="400"/>
      <c r="AT47" s="400"/>
      <c r="AU47" s="400"/>
      <c r="AV47" s="400"/>
      <c r="AW47" s="400"/>
      <c r="AX47" s="400"/>
      <c r="AY47" s="400"/>
      <c r="AZ47" s="400"/>
      <c r="BA47" s="400"/>
      <c r="BB47" s="400"/>
      <c r="BC47" s="400"/>
    </row>
    <row r="48" s="366" customFormat="1" spans="1:55">
      <c r="A48" s="372">
        <v>42779</v>
      </c>
      <c r="B48" s="373" t="s">
        <v>35</v>
      </c>
      <c r="C48" s="380">
        <v>40463.26</v>
      </c>
      <c r="D48" s="381">
        <v>25545</v>
      </c>
      <c r="E48" s="381">
        <v>70467.43</v>
      </c>
      <c r="F48" s="381">
        <v>3483.2</v>
      </c>
      <c r="G48" s="381">
        <v>2011.6</v>
      </c>
      <c r="H48" s="376"/>
      <c r="I48" s="376"/>
      <c r="J48" s="381">
        <f t="shared" si="0"/>
        <v>44922.43</v>
      </c>
      <c r="K48" s="329">
        <v>95.63</v>
      </c>
      <c r="L48" s="329">
        <v>3848.85</v>
      </c>
      <c r="M48" s="401">
        <f t="shared" si="2"/>
        <v>514.689999999995</v>
      </c>
      <c r="N48" s="396">
        <f t="shared" si="16"/>
        <v>356933.26</v>
      </c>
      <c r="O48" s="368">
        <f t="shared" si="16"/>
        <v>278767</v>
      </c>
      <c r="P48" s="398">
        <f t="shared" si="16"/>
        <v>678760.43</v>
      </c>
      <c r="Q48" s="414">
        <f t="shared" si="17"/>
        <v>2192007.98</v>
      </c>
      <c r="R48" s="402">
        <f t="shared" si="17"/>
        <v>1557304</v>
      </c>
      <c r="S48" s="415">
        <f t="shared" si="17"/>
        <v>3948402.79</v>
      </c>
      <c r="T48" s="416">
        <f>N48/'2018'!N48-1</f>
        <v>-0.466513725267466</v>
      </c>
      <c r="U48" s="417">
        <f>O48/'2018'!O48-1</f>
        <v>-0.249557164777775</v>
      </c>
      <c r="V48" s="417">
        <f>P48/'2018'!P48-1</f>
        <v>-0.363261747698866</v>
      </c>
      <c r="W48" s="417">
        <f>Q48/'2018'!Q48-1</f>
        <v>-0.271468195361899</v>
      </c>
      <c r="X48" s="417">
        <f>R48/'2018'!R48-1</f>
        <v>0.00945081557038074</v>
      </c>
      <c r="Y48" s="424">
        <f>S48/'2018'!S48-1</f>
        <v>-0.14612090422921</v>
      </c>
      <c r="Z48" s="425">
        <v>14</v>
      </c>
      <c r="AA48" s="426">
        <f t="shared" si="1"/>
        <v>205.200798</v>
      </c>
      <c r="AB48" s="427"/>
      <c r="AC48" s="401"/>
      <c r="AD48" s="427">
        <f t="shared" si="5"/>
        <v>2391098.79</v>
      </c>
      <c r="AE48" s="329">
        <f t="shared" si="18"/>
        <v>21018.35</v>
      </c>
      <c r="AF48" s="329">
        <f t="shared" si="18"/>
        <v>148606.61</v>
      </c>
      <c r="AG48" s="401">
        <f t="shared" si="8"/>
        <v>29465.85</v>
      </c>
      <c r="AH48" s="439"/>
      <c r="AI48" s="400"/>
      <c r="AJ48" s="400"/>
      <c r="AK48" s="400"/>
      <c r="AL48" s="400"/>
      <c r="AM48" s="400"/>
      <c r="AN48" s="400"/>
      <c r="AO48" s="400"/>
      <c r="AP48" s="400"/>
      <c r="AQ48" s="400"/>
      <c r="AR48" s="400"/>
      <c r="AS48" s="400"/>
      <c r="AT48" s="400"/>
      <c r="AU48" s="400"/>
      <c r="AV48" s="400"/>
      <c r="AW48" s="400"/>
      <c r="AX48" s="400"/>
      <c r="AY48" s="400"/>
      <c r="AZ48" s="400"/>
      <c r="BA48" s="400"/>
      <c r="BB48" s="400"/>
      <c r="BC48" s="400"/>
    </row>
    <row r="49" s="163" customFormat="1" spans="1:55">
      <c r="A49" s="379">
        <v>42780</v>
      </c>
      <c r="B49" s="191" t="s">
        <v>36</v>
      </c>
      <c r="C49" s="382">
        <v>43688.74</v>
      </c>
      <c r="D49" s="383">
        <v>26114</v>
      </c>
      <c r="E49" s="383">
        <v>74239.17</v>
      </c>
      <c r="F49" s="383">
        <v>3719.7</v>
      </c>
      <c r="G49" s="383">
        <v>2141.4</v>
      </c>
      <c r="H49" s="195"/>
      <c r="I49" s="195"/>
      <c r="J49" s="383">
        <f t="shared" si="0"/>
        <v>48125.17</v>
      </c>
      <c r="K49" s="193">
        <v>143.3</v>
      </c>
      <c r="L49" s="193">
        <v>3844.59</v>
      </c>
      <c r="M49" s="221">
        <f t="shared" si="2"/>
        <v>448.540000000001</v>
      </c>
      <c r="N49" s="222">
        <f t="shared" si="16"/>
        <v>400622</v>
      </c>
      <c r="O49" s="225">
        <f t="shared" si="16"/>
        <v>304881</v>
      </c>
      <c r="P49" s="224">
        <f t="shared" si="16"/>
        <v>752999.6</v>
      </c>
      <c r="Q49" s="242">
        <f t="shared" si="17"/>
        <v>2235696.72</v>
      </c>
      <c r="R49" s="223">
        <f t="shared" si="17"/>
        <v>1583418</v>
      </c>
      <c r="S49" s="243">
        <f t="shared" si="17"/>
        <v>4022641.96</v>
      </c>
      <c r="T49" s="244">
        <f>N49/'2018'!N49-1</f>
        <v>-0.420645353486711</v>
      </c>
      <c r="U49" s="245">
        <f>O49/'2018'!O49-1</f>
        <v>-0.223577318589975</v>
      </c>
      <c r="V49" s="245">
        <f>P49/'2018'!P49-1</f>
        <v>-0.322483831378463</v>
      </c>
      <c r="W49" s="245">
        <f>Q49/'2018'!Q49-1</f>
        <v>-0.262448386486612</v>
      </c>
      <c r="X49" s="245">
        <f>R49/'2018'!R49-1</f>
        <v>0.0124622105365464</v>
      </c>
      <c r="Y49" s="267">
        <f>S49/'2018'!S49-1</f>
        <v>-0.138527061369779</v>
      </c>
      <c r="Z49" s="268">
        <v>15.04</v>
      </c>
      <c r="AA49" s="269">
        <f t="shared" si="1"/>
        <v>208.529672</v>
      </c>
      <c r="AB49" s="436">
        <v>4259.88</v>
      </c>
      <c r="AC49" s="221">
        <f t="shared" ref="AC49" si="20">AA49*10000/AB49</f>
        <v>489.520061597979</v>
      </c>
      <c r="AD49" s="270">
        <f t="shared" si="5"/>
        <v>2439223.96</v>
      </c>
      <c r="AE49" s="193">
        <f t="shared" si="18"/>
        <v>21161.65</v>
      </c>
      <c r="AF49" s="193">
        <f t="shared" si="18"/>
        <v>152451.2</v>
      </c>
      <c r="AG49" s="221">
        <f t="shared" si="8"/>
        <v>29914.3900000002</v>
      </c>
      <c r="AH49" s="305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="366" customFormat="1" spans="1:55">
      <c r="A50" s="372">
        <v>42781</v>
      </c>
      <c r="B50" s="373" t="s">
        <v>37</v>
      </c>
      <c r="C50" s="377">
        <v>48746</v>
      </c>
      <c r="D50" s="329">
        <f>13826+11014</f>
        <v>24840</v>
      </c>
      <c r="E50" s="329">
        <v>78327</v>
      </c>
      <c r="F50" s="378">
        <v>3987</v>
      </c>
      <c r="G50" s="329">
        <v>2239.7</v>
      </c>
      <c r="H50" s="376"/>
      <c r="I50" s="376"/>
      <c r="J50" s="399">
        <f t="shared" si="0"/>
        <v>53487</v>
      </c>
      <c r="K50" s="329">
        <v>724</v>
      </c>
      <c r="L50" s="329">
        <v>3852</v>
      </c>
      <c r="M50" s="401">
        <f t="shared" si="2"/>
        <v>165</v>
      </c>
      <c r="N50" s="396">
        <f t="shared" si="16"/>
        <v>449368</v>
      </c>
      <c r="O50" s="368">
        <f t="shared" si="16"/>
        <v>329721</v>
      </c>
      <c r="P50" s="398">
        <f t="shared" si="16"/>
        <v>831326.6</v>
      </c>
      <c r="Q50" s="414">
        <f t="shared" si="17"/>
        <v>2284442.72</v>
      </c>
      <c r="R50" s="402">
        <f t="shared" si="17"/>
        <v>1608258</v>
      </c>
      <c r="S50" s="415">
        <f t="shared" si="17"/>
        <v>4100968.96</v>
      </c>
      <c r="T50" s="416">
        <f>N50/'2018'!N50-1</f>
        <v>-0.373795648308403</v>
      </c>
      <c r="U50" s="417">
        <f>O50/'2018'!O50-1</f>
        <v>-0.195343195872766</v>
      </c>
      <c r="V50" s="417">
        <f>P50/'2018'!P50-1</f>
        <v>-0.281473446569887</v>
      </c>
      <c r="W50" s="417">
        <f>Q50/'2018'!Q50-1</f>
        <v>-0.252803018917651</v>
      </c>
      <c r="X50" s="417">
        <f>R50/'2018'!R50-1</f>
        <v>0.017228118556375</v>
      </c>
      <c r="Y50" s="424">
        <f>S50/'2018'!S50-1</f>
        <v>-0.130242027077643</v>
      </c>
      <c r="Z50" s="425"/>
      <c r="AA50" s="437">
        <f t="shared" si="1"/>
        <v>228.444272</v>
      </c>
      <c r="AB50" s="427"/>
      <c r="AC50" s="401"/>
      <c r="AD50" s="427">
        <f t="shared" si="5"/>
        <v>2492710.96</v>
      </c>
      <c r="AE50" s="329">
        <f t="shared" si="18"/>
        <v>21885.65</v>
      </c>
      <c r="AF50" s="329">
        <f t="shared" si="18"/>
        <v>156303.2</v>
      </c>
      <c r="AG50" s="401">
        <f t="shared" si="8"/>
        <v>30079.3900000002</v>
      </c>
      <c r="AH50" s="440">
        <f>(AD50-AD43)/('2017'!AD50-'2017'!AD43)-1</f>
        <v>-0.198242622665047</v>
      </c>
      <c r="AI50" s="442">
        <f>AA50-AA43</f>
        <v>26.8778</v>
      </c>
      <c r="AJ50" s="442">
        <f>'2017'!AA50-'2017'!AA43</f>
        <v>32.7571</v>
      </c>
      <c r="AK50" s="400"/>
      <c r="AL50" s="400"/>
      <c r="AM50" s="400"/>
      <c r="AN50" s="400"/>
      <c r="AO50" s="400"/>
      <c r="AP50" s="400"/>
      <c r="AQ50" s="400"/>
      <c r="AR50" s="400"/>
      <c r="AS50" s="400"/>
      <c r="AT50" s="400"/>
      <c r="AU50" s="400"/>
      <c r="AV50" s="400"/>
      <c r="AW50" s="400"/>
      <c r="AX50" s="400"/>
      <c r="AY50" s="400"/>
      <c r="AZ50" s="400"/>
      <c r="BA50" s="400"/>
      <c r="BB50" s="400"/>
      <c r="BC50" s="400"/>
    </row>
    <row r="51" s="366" customFormat="1" spans="1:55">
      <c r="A51" s="372">
        <v>42782</v>
      </c>
      <c r="B51" s="373" t="s">
        <v>38</v>
      </c>
      <c r="C51" s="377">
        <v>51564</v>
      </c>
      <c r="D51" s="329">
        <f>16303+11070</f>
        <v>27373</v>
      </c>
      <c r="E51" s="329">
        <v>83481</v>
      </c>
      <c r="F51" s="378">
        <v>4230.2</v>
      </c>
      <c r="G51" s="329">
        <v>2348.6</v>
      </c>
      <c r="H51" s="376"/>
      <c r="I51" s="376"/>
      <c r="J51" s="399">
        <f t="shared" si="0"/>
        <v>56108</v>
      </c>
      <c r="K51" s="329">
        <v>507</v>
      </c>
      <c r="L51" s="329">
        <v>3845</v>
      </c>
      <c r="M51" s="401">
        <f t="shared" si="2"/>
        <v>192</v>
      </c>
      <c r="N51" s="396">
        <f t="shared" si="16"/>
        <v>500932</v>
      </c>
      <c r="O51" s="368">
        <f t="shared" si="16"/>
        <v>357094</v>
      </c>
      <c r="P51" s="398">
        <f t="shared" si="16"/>
        <v>914807.6</v>
      </c>
      <c r="Q51" s="414">
        <f t="shared" si="17"/>
        <v>2336006.72</v>
      </c>
      <c r="R51" s="402">
        <f t="shared" si="17"/>
        <v>1635631</v>
      </c>
      <c r="S51" s="415">
        <f t="shared" si="17"/>
        <v>4184449.96</v>
      </c>
      <c r="T51" s="416">
        <f>N51/'2018'!N51-1</f>
        <v>-0.327413048615438</v>
      </c>
      <c r="U51" s="417">
        <f>O51/'2018'!O51-1</f>
        <v>-0.160077243144201</v>
      </c>
      <c r="V51" s="417">
        <f>P51/'2018'!P51-1</f>
        <v>-0.238286208165624</v>
      </c>
      <c r="W51" s="417">
        <f>Q51/'2018'!Q51-1</f>
        <v>-0.242669643554286</v>
      </c>
      <c r="X51" s="417">
        <f>R51/'2018'!R51-1</f>
        <v>0.0245714589969337</v>
      </c>
      <c r="Y51" s="424">
        <f>S51/'2018'!S51-1</f>
        <v>-0.120741554071631</v>
      </c>
      <c r="Z51" s="425"/>
      <c r="AA51" s="437">
        <f t="shared" si="1"/>
        <v>233.600672</v>
      </c>
      <c r="AB51" s="427"/>
      <c r="AC51" s="401"/>
      <c r="AD51" s="427">
        <f t="shared" si="5"/>
        <v>2548818.96</v>
      </c>
      <c r="AE51" s="329">
        <f t="shared" si="18"/>
        <v>22392.65</v>
      </c>
      <c r="AF51" s="329">
        <f t="shared" si="18"/>
        <v>160148.2</v>
      </c>
      <c r="AG51" s="401">
        <f t="shared" si="8"/>
        <v>30271.3900000002</v>
      </c>
      <c r="AH51" s="440"/>
      <c r="AI51" s="442"/>
      <c r="AJ51" s="442"/>
      <c r="AK51" s="400"/>
      <c r="AL51" s="400"/>
      <c r="AM51" s="400"/>
      <c r="AN51" s="400"/>
      <c r="AO51" s="400"/>
      <c r="AP51" s="400"/>
      <c r="AQ51" s="400"/>
      <c r="AR51" s="400"/>
      <c r="AS51" s="400"/>
      <c r="AT51" s="400"/>
      <c r="AU51" s="400"/>
      <c r="AV51" s="400"/>
      <c r="AW51" s="400"/>
      <c r="AX51" s="400"/>
      <c r="AY51" s="400"/>
      <c r="AZ51" s="400"/>
      <c r="BA51" s="400"/>
      <c r="BB51" s="400"/>
      <c r="BC51" s="400"/>
    </row>
    <row r="52" s="366" customFormat="1" spans="1:55">
      <c r="A52" s="372">
        <v>42783</v>
      </c>
      <c r="B52" s="373" t="s">
        <v>1</v>
      </c>
      <c r="C52" s="377">
        <v>52877</v>
      </c>
      <c r="D52" s="329">
        <f>15070+11088</f>
        <v>26158</v>
      </c>
      <c r="E52" s="329">
        <v>84051</v>
      </c>
      <c r="F52" s="378">
        <v>4160.5</v>
      </c>
      <c r="G52" s="329">
        <v>2496.9</v>
      </c>
      <c r="H52" s="376"/>
      <c r="I52" s="376"/>
      <c r="J52" s="399">
        <f t="shared" si="0"/>
        <v>57893</v>
      </c>
      <c r="K52" s="329">
        <v>676</v>
      </c>
      <c r="L52" s="329">
        <v>3848</v>
      </c>
      <c r="M52" s="401">
        <f t="shared" si="2"/>
        <v>492</v>
      </c>
      <c r="N52" s="396">
        <f t="shared" si="16"/>
        <v>553809</v>
      </c>
      <c r="O52" s="368">
        <f t="shared" si="16"/>
        <v>383252</v>
      </c>
      <c r="P52" s="398">
        <f t="shared" si="16"/>
        <v>998858.6</v>
      </c>
      <c r="Q52" s="414">
        <f t="shared" si="17"/>
        <v>2388883.72</v>
      </c>
      <c r="R52" s="402">
        <f t="shared" si="17"/>
        <v>1661789</v>
      </c>
      <c r="S52" s="415">
        <f t="shared" si="17"/>
        <v>4268500.96</v>
      </c>
      <c r="T52" s="416">
        <f>N52/'2018'!N52-1</f>
        <v>-0.278401250855077</v>
      </c>
      <c r="U52" s="417">
        <f>O52/'2018'!O52-1</f>
        <v>-0.128580588537569</v>
      </c>
      <c r="V52" s="417">
        <f>P52/'2018'!P52-1</f>
        <v>-0.194586435367096</v>
      </c>
      <c r="W52" s="417">
        <f>Q52/'2018'!Q52-1</f>
        <v>-0.231182710569384</v>
      </c>
      <c r="X52" s="417">
        <f>R52/'2018'!R52-1</f>
        <v>0.0314905254690092</v>
      </c>
      <c r="Y52" s="424">
        <f>S52/'2018'!S52-1</f>
        <v>-0.110406882065042</v>
      </c>
      <c r="Z52" s="425">
        <v>16.65</v>
      </c>
      <c r="AA52" s="437">
        <f t="shared" si="1"/>
        <v>222.238372</v>
      </c>
      <c r="AB52" s="427"/>
      <c r="AC52" s="401"/>
      <c r="AD52" s="427">
        <f t="shared" si="5"/>
        <v>2606711.96</v>
      </c>
      <c r="AE52" s="329">
        <f t="shared" si="18"/>
        <v>23068.65</v>
      </c>
      <c r="AF52" s="329">
        <f t="shared" si="18"/>
        <v>163996.2</v>
      </c>
      <c r="AG52" s="401">
        <f t="shared" si="8"/>
        <v>30763.3900000002</v>
      </c>
      <c r="AH52" s="440"/>
      <c r="AI52" s="442"/>
      <c r="AJ52" s="442"/>
      <c r="AK52" s="400"/>
      <c r="AL52" s="400"/>
      <c r="AM52" s="400"/>
      <c r="AN52" s="400"/>
      <c r="AO52" s="400"/>
      <c r="AP52" s="400"/>
      <c r="AQ52" s="400"/>
      <c r="AR52" s="400"/>
      <c r="AS52" s="400"/>
      <c r="AT52" s="400"/>
      <c r="AU52" s="400"/>
      <c r="AV52" s="400"/>
      <c r="AW52" s="400"/>
      <c r="AX52" s="400"/>
      <c r="AY52" s="400"/>
      <c r="AZ52" s="400"/>
      <c r="BA52" s="400"/>
      <c r="BB52" s="400"/>
      <c r="BC52" s="400"/>
    </row>
    <row r="53" s="366" customFormat="1" spans="1:55">
      <c r="A53" s="372">
        <v>42784</v>
      </c>
      <c r="B53" s="373" t="s">
        <v>39</v>
      </c>
      <c r="C53" s="377">
        <v>61275</v>
      </c>
      <c r="D53" s="329">
        <f>13168+10738</f>
        <v>23906</v>
      </c>
      <c r="E53" s="329">
        <v>90838</v>
      </c>
      <c r="F53" s="378">
        <v>4748.7</v>
      </c>
      <c r="G53" s="329">
        <v>2512.7</v>
      </c>
      <c r="H53" s="376"/>
      <c r="I53" s="376"/>
      <c r="J53" s="399">
        <f t="shared" si="0"/>
        <v>66932</v>
      </c>
      <c r="K53" s="329">
        <v>1586</v>
      </c>
      <c r="L53" s="329">
        <v>3844</v>
      </c>
      <c r="M53" s="401">
        <f t="shared" si="2"/>
        <v>227</v>
      </c>
      <c r="N53" s="396">
        <f t="shared" ref="N53:P62" si="21">N52+C53</f>
        <v>615084</v>
      </c>
      <c r="O53" s="368">
        <f t="shared" si="21"/>
        <v>407158</v>
      </c>
      <c r="P53" s="398">
        <f t="shared" si="21"/>
        <v>1089696.6</v>
      </c>
      <c r="Q53" s="414">
        <f t="shared" si="17"/>
        <v>2450158.72</v>
      </c>
      <c r="R53" s="402">
        <f t="shared" si="17"/>
        <v>1685695</v>
      </c>
      <c r="S53" s="415">
        <f t="shared" si="17"/>
        <v>4359338.96</v>
      </c>
      <c r="T53" s="416">
        <f>N53/'2018'!N53-1</f>
        <v>-0.223423892046674</v>
      </c>
      <c r="U53" s="417">
        <f>O53/'2018'!O53-1</f>
        <v>-0.106417906844553</v>
      </c>
      <c r="V53" s="417">
        <f>P53/'2018'!P53-1</f>
        <v>-0.149883290945687</v>
      </c>
      <c r="W53" s="417">
        <f>Q53/'2018'!Q53-1</f>
        <v>-0.217649111624354</v>
      </c>
      <c r="X53" s="417">
        <f>R53/'2018'!R53-1</f>
        <v>0.036138646420403</v>
      </c>
      <c r="Y53" s="424">
        <f>S53/'2018'!S53-1</f>
        <v>-0.0992917309847851</v>
      </c>
      <c r="Z53" s="425"/>
      <c r="AA53" s="437">
        <f t="shared" si="1"/>
        <v>245.015872</v>
      </c>
      <c r="AB53" s="427"/>
      <c r="AC53" s="401"/>
      <c r="AD53" s="427">
        <f t="shared" si="5"/>
        <v>2673643.96</v>
      </c>
      <c r="AE53" s="329">
        <f t="shared" si="18"/>
        <v>24654.65</v>
      </c>
      <c r="AF53" s="329">
        <f t="shared" si="18"/>
        <v>167840.2</v>
      </c>
      <c r="AG53" s="401">
        <f t="shared" si="8"/>
        <v>30990.3900000002</v>
      </c>
      <c r="AH53" s="440"/>
      <c r="AI53" s="442"/>
      <c r="AJ53" s="442"/>
      <c r="AK53" s="400"/>
      <c r="AL53" s="400"/>
      <c r="AM53" s="400"/>
      <c r="AN53" s="400"/>
      <c r="AO53" s="400"/>
      <c r="AP53" s="400"/>
      <c r="AQ53" s="400"/>
      <c r="AR53" s="400"/>
      <c r="AS53" s="400"/>
      <c r="AT53" s="400"/>
      <c r="AU53" s="400"/>
      <c r="AV53" s="400"/>
      <c r="AW53" s="400"/>
      <c r="AX53" s="400"/>
      <c r="AY53" s="400"/>
      <c r="AZ53" s="400"/>
      <c r="BA53" s="400"/>
      <c r="BB53" s="400"/>
      <c r="BC53" s="400"/>
    </row>
    <row r="54" s="366" customFormat="1" spans="1:55">
      <c r="A54" s="372">
        <v>42785</v>
      </c>
      <c r="B54" s="373" t="s">
        <v>34</v>
      </c>
      <c r="C54" s="377">
        <v>50255</v>
      </c>
      <c r="D54" s="329">
        <f>20007+10892</f>
        <v>30899</v>
      </c>
      <c r="E54" s="329">
        <v>87236</v>
      </c>
      <c r="F54" s="378">
        <v>4360.7</v>
      </c>
      <c r="G54" s="329">
        <v>2612.4</v>
      </c>
      <c r="H54" s="376"/>
      <c r="I54" s="376"/>
      <c r="J54" s="399">
        <f t="shared" si="0"/>
        <v>56337</v>
      </c>
      <c r="K54" s="329">
        <v>1413</v>
      </c>
      <c r="L54" s="329">
        <v>3850</v>
      </c>
      <c r="M54" s="401">
        <f t="shared" si="2"/>
        <v>819</v>
      </c>
      <c r="N54" s="396">
        <f t="shared" si="21"/>
        <v>665339</v>
      </c>
      <c r="O54" s="368">
        <f t="shared" si="21"/>
        <v>438057</v>
      </c>
      <c r="P54" s="398">
        <f t="shared" si="21"/>
        <v>1176932.6</v>
      </c>
      <c r="Q54" s="414">
        <f t="shared" si="17"/>
        <v>2500413.72</v>
      </c>
      <c r="R54" s="402">
        <f t="shared" si="17"/>
        <v>1716594</v>
      </c>
      <c r="S54" s="415">
        <f t="shared" si="17"/>
        <v>4446574.96</v>
      </c>
      <c r="T54" s="416">
        <f>N54/'2018'!N54-1</f>
        <v>-0.187741264427033</v>
      </c>
      <c r="U54" s="417">
        <f>O54/'2018'!O54-1</f>
        <v>-0.0710530724420703</v>
      </c>
      <c r="V54" s="417">
        <f>P54/'2018'!P54-1</f>
        <v>-0.11218853156475</v>
      </c>
      <c r="W54" s="417">
        <f>Q54/'2018'!Q54-1</f>
        <v>-0.208445787716911</v>
      </c>
      <c r="X54" s="417">
        <f>R54/'2018'!R54-1</f>
        <v>0.0449088364680912</v>
      </c>
      <c r="Y54" s="424">
        <f>S54/'2018'!S54-1</f>
        <v>-0.0895138598287207</v>
      </c>
      <c r="Z54" s="425"/>
      <c r="AA54" s="437">
        <f t="shared" si="1"/>
        <v>250.041372</v>
      </c>
      <c r="AB54" s="427"/>
      <c r="AC54" s="401"/>
      <c r="AD54" s="427">
        <f t="shared" si="5"/>
        <v>2729980.96</v>
      </c>
      <c r="AE54" s="329">
        <f t="shared" si="18"/>
        <v>26067.65</v>
      </c>
      <c r="AF54" s="329">
        <f t="shared" si="18"/>
        <v>171690.2</v>
      </c>
      <c r="AG54" s="401">
        <f t="shared" si="8"/>
        <v>31809.3900000002</v>
      </c>
      <c r="AH54" s="440"/>
      <c r="AI54" s="442"/>
      <c r="AJ54" s="442"/>
      <c r="AK54" s="400"/>
      <c r="AL54" s="400"/>
      <c r="AM54" s="400"/>
      <c r="AN54" s="400"/>
      <c r="AO54" s="400"/>
      <c r="AP54" s="400"/>
      <c r="AQ54" s="400"/>
      <c r="AR54" s="400"/>
      <c r="AS54" s="400"/>
      <c r="AT54" s="400"/>
      <c r="AU54" s="400"/>
      <c r="AV54" s="400"/>
      <c r="AW54" s="400"/>
      <c r="AX54" s="400"/>
      <c r="AY54" s="400"/>
      <c r="AZ54" s="400"/>
      <c r="BA54" s="400"/>
      <c r="BB54" s="400"/>
      <c r="BC54" s="400"/>
    </row>
    <row r="55" s="366" customFormat="1" spans="1:55">
      <c r="A55" s="372">
        <v>42786</v>
      </c>
      <c r="B55" s="373" t="s">
        <v>35</v>
      </c>
      <c r="C55" s="377">
        <v>60018</v>
      </c>
      <c r="D55" s="329">
        <f>19448+10677</f>
        <v>30125</v>
      </c>
      <c r="E55" s="329">
        <v>95972</v>
      </c>
      <c r="F55" s="378">
        <v>5000.5</v>
      </c>
      <c r="G55" s="329">
        <v>2666.3</v>
      </c>
      <c r="H55" s="376"/>
      <c r="I55" s="376"/>
      <c r="J55" s="399">
        <f t="shared" si="0"/>
        <v>65847</v>
      </c>
      <c r="K55" s="329">
        <v>1779</v>
      </c>
      <c r="L55" s="329">
        <v>3848</v>
      </c>
      <c r="M55" s="401">
        <f t="shared" si="2"/>
        <v>202</v>
      </c>
      <c r="N55" s="396">
        <f t="shared" si="21"/>
        <v>725357</v>
      </c>
      <c r="O55" s="368">
        <f t="shared" si="21"/>
        <v>468182</v>
      </c>
      <c r="P55" s="398">
        <f t="shared" si="21"/>
        <v>1272904.6</v>
      </c>
      <c r="Q55" s="414">
        <f t="shared" si="17"/>
        <v>2560431.72</v>
      </c>
      <c r="R55" s="402">
        <f t="shared" si="17"/>
        <v>1746719</v>
      </c>
      <c r="S55" s="415">
        <f t="shared" si="17"/>
        <v>4542546.96</v>
      </c>
      <c r="T55" s="416">
        <f>N55/'2018'!N55-1</f>
        <v>-0.144384023780315</v>
      </c>
      <c r="U55" s="417">
        <f>O55/'2018'!O55-1</f>
        <v>-0.0417554438038164</v>
      </c>
      <c r="V55" s="417">
        <f>P55/'2018'!P55-1</f>
        <v>-0.0724493907801992</v>
      </c>
      <c r="W55" s="417">
        <f>Q55/'2018'!Q55-1</f>
        <v>-0.196728321636888</v>
      </c>
      <c r="X55" s="417">
        <f>R55/'2018'!R55-1</f>
        <v>0.052343693989229</v>
      </c>
      <c r="Y55" s="424">
        <f>S55/'2018'!S55-1</f>
        <v>-0.078667524721047</v>
      </c>
      <c r="Z55" s="425"/>
      <c r="AA55" s="437">
        <f t="shared" si="1"/>
        <v>256.043172</v>
      </c>
      <c r="AB55" s="427"/>
      <c r="AC55" s="401"/>
      <c r="AD55" s="427">
        <f t="shared" si="5"/>
        <v>2795827.96</v>
      </c>
      <c r="AE55" s="329">
        <f t="shared" ref="AE55:AF70" si="22">AE54+K55</f>
        <v>27846.65</v>
      </c>
      <c r="AF55" s="329">
        <f t="shared" si="22"/>
        <v>175538.2</v>
      </c>
      <c r="AG55" s="401">
        <f t="shared" si="8"/>
        <v>32011.3900000002</v>
      </c>
      <c r="AH55" s="440"/>
      <c r="AI55" s="442"/>
      <c r="AJ55" s="442"/>
      <c r="AK55" s="400"/>
      <c r="AL55" s="400"/>
      <c r="AM55" s="400"/>
      <c r="AN55" s="400"/>
      <c r="AO55" s="400"/>
      <c r="AP55" s="400"/>
      <c r="AQ55" s="400"/>
      <c r="AR55" s="400"/>
      <c r="AS55" s="400"/>
      <c r="AT55" s="400"/>
      <c r="AU55" s="400"/>
      <c r="AV55" s="400"/>
      <c r="AW55" s="400"/>
      <c r="AX55" s="400"/>
      <c r="AY55" s="400"/>
      <c r="AZ55" s="400"/>
      <c r="BA55" s="400"/>
      <c r="BB55" s="400"/>
      <c r="BC55" s="400"/>
    </row>
    <row r="56" s="366" customFormat="1" spans="1:55">
      <c r="A56" s="372">
        <v>42787</v>
      </c>
      <c r="B56" s="191" t="s">
        <v>36</v>
      </c>
      <c r="C56" s="377"/>
      <c r="D56" s="329"/>
      <c r="E56" s="329"/>
      <c r="F56" s="378"/>
      <c r="G56" s="329"/>
      <c r="H56" s="376"/>
      <c r="I56" s="376"/>
      <c r="J56" s="399">
        <f t="shared" si="0"/>
        <v>0</v>
      </c>
      <c r="K56" s="329"/>
      <c r="L56" s="329"/>
      <c r="M56" s="401">
        <f t="shared" si="2"/>
        <v>0</v>
      </c>
      <c r="N56" s="396">
        <f t="shared" si="21"/>
        <v>725357</v>
      </c>
      <c r="O56" s="368">
        <f t="shared" si="21"/>
        <v>468182</v>
      </c>
      <c r="P56" s="398">
        <f t="shared" si="21"/>
        <v>1272904.6</v>
      </c>
      <c r="Q56" s="414">
        <f t="shared" si="17"/>
        <v>2560431.72</v>
      </c>
      <c r="R56" s="402">
        <f t="shared" si="17"/>
        <v>1746719</v>
      </c>
      <c r="S56" s="415">
        <f t="shared" si="17"/>
        <v>4542546.96</v>
      </c>
      <c r="T56" s="416">
        <f>N56/'2018'!N56-1</f>
        <v>-0.173058156131862</v>
      </c>
      <c r="U56" s="417">
        <f>O56/'2018'!O56-1</f>
        <v>-0.075345820528823</v>
      </c>
      <c r="V56" s="417">
        <f>P56/'2018'!P56-1</f>
        <v>-0.104062147413586</v>
      </c>
      <c r="W56" s="417">
        <f>Q56/'2018'!Q56-1</f>
        <v>-0.204068610102041</v>
      </c>
      <c r="X56" s="417">
        <f>R56/'2018'!R56-1</f>
        <v>0.0412098098100484</v>
      </c>
      <c r="Y56" s="424">
        <f>S56/'2018'!S56-1</f>
        <v>-0.0876280118478869</v>
      </c>
      <c r="Z56" s="425"/>
      <c r="AA56" s="437">
        <f t="shared" si="1"/>
        <v>256.043172</v>
      </c>
      <c r="AB56" s="427"/>
      <c r="AC56" s="401"/>
      <c r="AD56" s="427">
        <f t="shared" si="5"/>
        <v>2795827.96</v>
      </c>
      <c r="AE56" s="329">
        <f t="shared" si="22"/>
        <v>27846.65</v>
      </c>
      <c r="AF56" s="329">
        <f t="shared" si="22"/>
        <v>175538.2</v>
      </c>
      <c r="AG56" s="401">
        <f t="shared" si="8"/>
        <v>32011.3900000002</v>
      </c>
      <c r="AH56" s="440"/>
      <c r="AI56" s="442"/>
      <c r="AJ56" s="442"/>
      <c r="AK56" s="400"/>
      <c r="AL56" s="400"/>
      <c r="AM56" s="400"/>
      <c r="AN56" s="400"/>
      <c r="AO56" s="400"/>
      <c r="AP56" s="400"/>
      <c r="AQ56" s="400"/>
      <c r="AR56" s="400"/>
      <c r="AS56" s="400"/>
      <c r="AT56" s="400"/>
      <c r="AU56" s="400"/>
      <c r="AV56" s="400"/>
      <c r="AW56" s="400"/>
      <c r="AX56" s="400"/>
      <c r="AY56" s="400"/>
      <c r="AZ56" s="400"/>
      <c r="BA56" s="400"/>
      <c r="BB56" s="400"/>
      <c r="BC56" s="400"/>
    </row>
    <row r="57" s="366" customFormat="1" spans="1:55">
      <c r="A57" s="372">
        <v>42788</v>
      </c>
      <c r="B57" s="373" t="s">
        <v>37</v>
      </c>
      <c r="C57" s="377"/>
      <c r="D57" s="329"/>
      <c r="E57" s="329"/>
      <c r="F57" s="378"/>
      <c r="G57" s="329"/>
      <c r="H57" s="376"/>
      <c r="I57" s="376"/>
      <c r="J57" s="399">
        <f t="shared" si="0"/>
        <v>0</v>
      </c>
      <c r="K57" s="329"/>
      <c r="L57" s="329"/>
      <c r="M57" s="401">
        <f t="shared" si="2"/>
        <v>0</v>
      </c>
      <c r="N57" s="396">
        <f t="shared" si="21"/>
        <v>725357</v>
      </c>
      <c r="O57" s="368">
        <f t="shared" si="21"/>
        <v>468182</v>
      </c>
      <c r="P57" s="398">
        <f t="shared" si="21"/>
        <v>1272904.6</v>
      </c>
      <c r="Q57" s="414">
        <f>N57+Q$35</f>
        <v>2560431.72</v>
      </c>
      <c r="R57" s="402">
        <f t="shared" si="17"/>
        <v>1746719</v>
      </c>
      <c r="S57" s="415">
        <f t="shared" si="17"/>
        <v>4542546.96</v>
      </c>
      <c r="T57" s="416">
        <f>N57/'2018'!N57-1</f>
        <v>-0.19924202782396</v>
      </c>
      <c r="U57" s="417">
        <f>O57/'2018'!O57-1</f>
        <v>-0.114497492997225</v>
      </c>
      <c r="V57" s="417">
        <f>P57/'2018'!P57-1</f>
        <v>-0.135860863850887</v>
      </c>
      <c r="W57" s="417">
        <f>Q57/'2018'!Q57-1</f>
        <v>-0.211102449901405</v>
      </c>
      <c r="X57" s="417">
        <f>R57/'2018'!R57-1</f>
        <v>0.0274980837930956</v>
      </c>
      <c r="Y57" s="424">
        <f>S57/'2018'!S57-1</f>
        <v>-0.09710895945826</v>
      </c>
      <c r="Z57" s="425"/>
      <c r="AA57" s="437">
        <f t="shared" si="1"/>
        <v>256.043172</v>
      </c>
      <c r="AB57" s="427"/>
      <c r="AC57" s="401"/>
      <c r="AD57" s="427">
        <f t="shared" si="5"/>
        <v>2795827.96</v>
      </c>
      <c r="AE57" s="329">
        <f t="shared" si="22"/>
        <v>27846.65</v>
      </c>
      <c r="AF57" s="329">
        <f t="shared" si="22"/>
        <v>175538.2</v>
      </c>
      <c r="AG57" s="401">
        <f t="shared" si="8"/>
        <v>32011.3900000002</v>
      </c>
      <c r="AH57" s="440">
        <f>(AD57-AD50)/('2017'!AD57-'2017'!AD50)-1</f>
        <v>-0.286724789100279</v>
      </c>
      <c r="AI57" s="442">
        <f t="shared" ref="AI57" si="23">AA57-AA50</f>
        <v>27.5989</v>
      </c>
      <c r="AJ57" s="442">
        <f>'2017'!AA57-'2017'!AA50</f>
        <v>38.3486285714286</v>
      </c>
      <c r="AK57" s="400"/>
      <c r="AL57" s="400"/>
      <c r="AM57" s="400"/>
      <c r="AN57" s="400"/>
      <c r="AO57" s="400"/>
      <c r="AP57" s="400"/>
      <c r="AQ57" s="400"/>
      <c r="AR57" s="400"/>
      <c r="AS57" s="400"/>
      <c r="AT57" s="400"/>
      <c r="AU57" s="400"/>
      <c r="AV57" s="400"/>
      <c r="AW57" s="400"/>
      <c r="AX57" s="400"/>
      <c r="AY57" s="400"/>
      <c r="AZ57" s="400"/>
      <c r="BA57" s="400"/>
      <c r="BB57" s="400"/>
      <c r="BC57" s="400"/>
    </row>
    <row r="58" s="366" customFormat="1" spans="1:55">
      <c r="A58" s="372">
        <v>42789</v>
      </c>
      <c r="B58" s="373" t="s">
        <v>38</v>
      </c>
      <c r="C58" s="377"/>
      <c r="D58" s="329"/>
      <c r="E58" s="329"/>
      <c r="F58" s="378"/>
      <c r="G58" s="329"/>
      <c r="H58" s="376"/>
      <c r="I58" s="376"/>
      <c r="J58" s="399">
        <f t="shared" si="0"/>
        <v>0</v>
      </c>
      <c r="K58" s="329"/>
      <c r="L58" s="329"/>
      <c r="M58" s="401">
        <f t="shared" si="2"/>
        <v>0</v>
      </c>
      <c r="N58" s="396">
        <f t="shared" si="21"/>
        <v>725357</v>
      </c>
      <c r="O58" s="368">
        <f t="shared" si="21"/>
        <v>468182</v>
      </c>
      <c r="P58" s="398">
        <f t="shared" si="21"/>
        <v>1272904.6</v>
      </c>
      <c r="Q58" s="414">
        <f t="shared" si="17"/>
        <v>2560431.72</v>
      </c>
      <c r="R58" s="402">
        <f t="shared" si="17"/>
        <v>1746719</v>
      </c>
      <c r="S58" s="415">
        <f t="shared" si="17"/>
        <v>4542546.96</v>
      </c>
      <c r="T58" s="416">
        <f>N58/'2018'!N58-1</f>
        <v>-0.221906131901916</v>
      </c>
      <c r="U58" s="417">
        <f>O58/'2018'!O58-1</f>
        <v>-0.152878550465555</v>
      </c>
      <c r="V58" s="417">
        <f>P58/'2018'!P58-1</f>
        <v>-0.165607198996294</v>
      </c>
      <c r="W58" s="417">
        <f>Q58/'2018'!Q58-1</f>
        <v>-0.217464085457291</v>
      </c>
      <c r="X58" s="417">
        <f>R58/'2018'!R58-1</f>
        <v>0.0132203897146517</v>
      </c>
      <c r="Y58" s="424">
        <f>S58/'2018'!S58-1</f>
        <v>-0.106435847324695</v>
      </c>
      <c r="Z58" s="425"/>
      <c r="AA58" s="437">
        <f t="shared" si="1"/>
        <v>256.043172</v>
      </c>
      <c r="AB58" s="427"/>
      <c r="AC58" s="401"/>
      <c r="AD58" s="427">
        <f t="shared" si="5"/>
        <v>2795827.96</v>
      </c>
      <c r="AE58" s="329">
        <f t="shared" si="22"/>
        <v>27846.65</v>
      </c>
      <c r="AF58" s="329">
        <f t="shared" si="22"/>
        <v>175538.2</v>
      </c>
      <c r="AG58" s="401">
        <f t="shared" si="8"/>
        <v>32011.3900000002</v>
      </c>
      <c r="AH58" s="439"/>
      <c r="AI58" s="442"/>
      <c r="AJ58" s="442"/>
      <c r="AK58" s="400"/>
      <c r="AL58" s="400"/>
      <c r="AM58" s="400"/>
      <c r="AN58" s="400"/>
      <c r="AO58" s="400"/>
      <c r="AP58" s="400"/>
      <c r="AQ58" s="400"/>
      <c r="AR58" s="400"/>
      <c r="AS58" s="400"/>
      <c r="AT58" s="400"/>
      <c r="AU58" s="400"/>
      <c r="AV58" s="400"/>
      <c r="AW58" s="400"/>
      <c r="AX58" s="400"/>
      <c r="AY58" s="400"/>
      <c r="AZ58" s="400"/>
      <c r="BA58" s="400"/>
      <c r="BB58" s="400"/>
      <c r="BC58" s="400"/>
    </row>
    <row r="59" s="366" customFormat="1" spans="1:55">
      <c r="A59" s="372">
        <v>42790</v>
      </c>
      <c r="B59" s="373" t="s">
        <v>1</v>
      </c>
      <c r="C59" s="377"/>
      <c r="D59" s="329"/>
      <c r="E59" s="329"/>
      <c r="F59" s="378"/>
      <c r="G59" s="329"/>
      <c r="H59" s="376"/>
      <c r="I59" s="376"/>
      <c r="J59" s="399">
        <f t="shared" si="0"/>
        <v>0</v>
      </c>
      <c r="K59" s="329"/>
      <c r="L59" s="329"/>
      <c r="M59" s="401">
        <f t="shared" si="2"/>
        <v>0</v>
      </c>
      <c r="N59" s="396">
        <f t="shared" si="21"/>
        <v>725357</v>
      </c>
      <c r="O59" s="368">
        <f t="shared" si="21"/>
        <v>468182</v>
      </c>
      <c r="P59" s="398">
        <f t="shared" si="21"/>
        <v>1272904.6</v>
      </c>
      <c r="Q59" s="414">
        <f t="shared" si="17"/>
        <v>2560431.72</v>
      </c>
      <c r="R59" s="402">
        <f t="shared" si="17"/>
        <v>1746719</v>
      </c>
      <c r="S59" s="415">
        <f t="shared" si="17"/>
        <v>4542546.96</v>
      </c>
      <c r="T59" s="416">
        <f>N59/'2018'!N59-1</f>
        <v>-0.248775329702993</v>
      </c>
      <c r="U59" s="417">
        <f>O59/'2018'!O59-1</f>
        <v>-0.189418755237297</v>
      </c>
      <c r="V59" s="417">
        <f>P59/'2018'!P59-1</f>
        <v>-0.197103679786248</v>
      </c>
      <c r="W59" s="417">
        <f>Q59/'2018'!Q59-1</f>
        <v>-0.225358078663023</v>
      </c>
      <c r="X59" s="417">
        <f>R59/'2018'!R59-1</f>
        <v>-0.00121394614264758</v>
      </c>
      <c r="Y59" s="424">
        <f>S59/'2018'!S59-1</f>
        <v>-0.116832588177809</v>
      </c>
      <c r="Z59" s="425"/>
      <c r="AA59" s="437">
        <f t="shared" si="1"/>
        <v>256.043172</v>
      </c>
      <c r="AB59" s="427"/>
      <c r="AC59" s="401"/>
      <c r="AD59" s="427">
        <f t="shared" si="5"/>
        <v>2795827.96</v>
      </c>
      <c r="AE59" s="329">
        <f t="shared" si="22"/>
        <v>27846.65</v>
      </c>
      <c r="AF59" s="329">
        <f t="shared" si="22"/>
        <v>175538.2</v>
      </c>
      <c r="AG59" s="401">
        <f t="shared" si="8"/>
        <v>32011.3900000002</v>
      </c>
      <c r="AH59" s="439"/>
      <c r="AI59" s="442"/>
      <c r="AJ59" s="442"/>
      <c r="AK59" s="400"/>
      <c r="AL59" s="400"/>
      <c r="AM59" s="400"/>
      <c r="AN59" s="400"/>
      <c r="AO59" s="400"/>
      <c r="AP59" s="400"/>
      <c r="AQ59" s="400"/>
      <c r="AR59" s="400"/>
      <c r="AS59" s="400"/>
      <c r="AT59" s="400"/>
      <c r="AU59" s="400"/>
      <c r="AV59" s="400"/>
      <c r="AW59" s="400"/>
      <c r="AX59" s="400"/>
      <c r="AY59" s="400"/>
      <c r="AZ59" s="400"/>
      <c r="BA59" s="400"/>
      <c r="BB59" s="400"/>
      <c r="BC59" s="400"/>
    </row>
    <row r="60" s="366" customFormat="1" spans="1:55">
      <c r="A60" s="372">
        <v>42791</v>
      </c>
      <c r="B60" s="373" t="s">
        <v>39</v>
      </c>
      <c r="C60" s="377"/>
      <c r="D60" s="329"/>
      <c r="E60" s="329"/>
      <c r="F60" s="378"/>
      <c r="G60" s="329"/>
      <c r="H60" s="376"/>
      <c r="I60" s="376"/>
      <c r="J60" s="399">
        <f t="shared" si="0"/>
        <v>0</v>
      </c>
      <c r="K60" s="329"/>
      <c r="L60" s="329"/>
      <c r="M60" s="401">
        <f t="shared" si="2"/>
        <v>0</v>
      </c>
      <c r="N60" s="396">
        <f t="shared" si="21"/>
        <v>725357</v>
      </c>
      <c r="O60" s="368">
        <f t="shared" si="21"/>
        <v>468182</v>
      </c>
      <c r="P60" s="398">
        <f t="shared" si="21"/>
        <v>1272904.6</v>
      </c>
      <c r="Q60" s="414">
        <f t="shared" si="17"/>
        <v>2560431.72</v>
      </c>
      <c r="R60" s="402">
        <f t="shared" si="17"/>
        <v>1746719</v>
      </c>
      <c r="S60" s="415">
        <f t="shared" si="17"/>
        <v>4542546.96</v>
      </c>
      <c r="T60" s="416">
        <f>N60/'2018'!N60-1</f>
        <v>-0.276619276137592</v>
      </c>
      <c r="U60" s="417">
        <f>O60/'2018'!O60-1</f>
        <v>-0.222394956168761</v>
      </c>
      <c r="V60" s="417">
        <f>P60/'2018'!P60-1</f>
        <v>-0.227824309281665</v>
      </c>
      <c r="W60" s="417">
        <f>Q60/'2018'!Q60-1</f>
        <v>-0.233971556008521</v>
      </c>
      <c r="X60" s="417">
        <f>R60/'2018'!R60-1</f>
        <v>-0.0150095638953927</v>
      </c>
      <c r="Y60" s="424">
        <f>S60/'2018'!S60-1</f>
        <v>-0.127531600545968</v>
      </c>
      <c r="Z60" s="425"/>
      <c r="AA60" s="437">
        <f t="shared" si="1"/>
        <v>256.043172</v>
      </c>
      <c r="AB60" s="427"/>
      <c r="AC60" s="401"/>
      <c r="AD60" s="427">
        <f t="shared" si="5"/>
        <v>2795827.96</v>
      </c>
      <c r="AE60" s="329">
        <f t="shared" si="22"/>
        <v>27846.65</v>
      </c>
      <c r="AF60" s="329">
        <f t="shared" si="22"/>
        <v>175538.2</v>
      </c>
      <c r="AG60" s="401">
        <f t="shared" si="8"/>
        <v>32011.3900000002</v>
      </c>
      <c r="AH60" s="439"/>
      <c r="AI60" s="442"/>
      <c r="AJ60" s="442"/>
      <c r="AK60" s="400"/>
      <c r="AL60" s="400"/>
      <c r="AM60" s="400"/>
      <c r="AN60" s="400"/>
      <c r="AO60" s="400"/>
      <c r="AP60" s="400"/>
      <c r="AQ60" s="400"/>
      <c r="AR60" s="400"/>
      <c r="AS60" s="400"/>
      <c r="AT60" s="400"/>
      <c r="AU60" s="400"/>
      <c r="AV60" s="400"/>
      <c r="AW60" s="400"/>
      <c r="AX60" s="400"/>
      <c r="AY60" s="400"/>
      <c r="AZ60" s="400"/>
      <c r="BA60" s="400"/>
      <c r="BB60" s="400"/>
      <c r="BC60" s="400"/>
    </row>
    <row r="61" s="366" customFormat="1" spans="1:55">
      <c r="A61" s="372">
        <v>42792</v>
      </c>
      <c r="B61" s="373" t="s">
        <v>34</v>
      </c>
      <c r="C61" s="377"/>
      <c r="D61" s="329"/>
      <c r="E61" s="329"/>
      <c r="F61" s="378"/>
      <c r="G61" s="329"/>
      <c r="H61" s="376"/>
      <c r="I61" s="376"/>
      <c r="J61" s="399">
        <f t="shared" si="0"/>
        <v>0</v>
      </c>
      <c r="K61" s="329"/>
      <c r="L61" s="329"/>
      <c r="M61" s="401">
        <f t="shared" si="2"/>
        <v>0</v>
      </c>
      <c r="N61" s="396">
        <f t="shared" si="21"/>
        <v>725357</v>
      </c>
      <c r="O61" s="368">
        <f t="shared" si="21"/>
        <v>468182</v>
      </c>
      <c r="P61" s="398">
        <f t="shared" si="21"/>
        <v>1272904.6</v>
      </c>
      <c r="Q61" s="414">
        <f t="shared" si="17"/>
        <v>2560431.72</v>
      </c>
      <c r="R61" s="402">
        <f t="shared" si="17"/>
        <v>1746719</v>
      </c>
      <c r="S61" s="415">
        <f t="shared" si="17"/>
        <v>4542546.96</v>
      </c>
      <c r="T61" s="416">
        <f>N61/'2018'!N61-1</f>
        <v>-0.304115784192111</v>
      </c>
      <c r="U61" s="417">
        <f>O61/'2018'!O61-1</f>
        <v>-0.253112417124516</v>
      </c>
      <c r="V61" s="417">
        <f>P61/'2018'!P61-1</f>
        <v>-0.257417860643114</v>
      </c>
      <c r="W61" s="417">
        <f>Q61/'2018'!Q61-1</f>
        <v>-0.242945518795641</v>
      </c>
      <c r="X61" s="417">
        <f>R61/'2018'!R61-1</f>
        <v>-0.0285740821690476</v>
      </c>
      <c r="Y61" s="424">
        <f>S61/'2018'!S61-1</f>
        <v>-0.138403032674651</v>
      </c>
      <c r="Z61" s="425"/>
      <c r="AA61" s="437">
        <f t="shared" si="1"/>
        <v>256.043172</v>
      </c>
      <c r="AB61" s="427"/>
      <c r="AC61" s="401"/>
      <c r="AD61" s="427">
        <f t="shared" si="5"/>
        <v>2795827.96</v>
      </c>
      <c r="AE61" s="329">
        <f t="shared" si="22"/>
        <v>27846.65</v>
      </c>
      <c r="AF61" s="329">
        <f t="shared" si="22"/>
        <v>175538.2</v>
      </c>
      <c r="AG61" s="401">
        <f t="shared" si="8"/>
        <v>32011.3900000002</v>
      </c>
      <c r="AH61" s="439"/>
      <c r="AI61" s="442"/>
      <c r="AJ61" s="442"/>
      <c r="AK61" s="400"/>
      <c r="AL61" s="400"/>
      <c r="AM61" s="400"/>
      <c r="AN61" s="400"/>
      <c r="AO61" s="400"/>
      <c r="AP61" s="400"/>
      <c r="AQ61" s="400"/>
      <c r="AR61" s="400"/>
      <c r="AS61" s="400"/>
      <c r="AT61" s="400"/>
      <c r="AU61" s="400"/>
      <c r="AV61" s="400"/>
      <c r="AW61" s="400"/>
      <c r="AX61" s="400"/>
      <c r="AY61" s="400"/>
      <c r="AZ61" s="400"/>
      <c r="BA61" s="400"/>
      <c r="BB61" s="400"/>
      <c r="BC61" s="400"/>
    </row>
    <row r="62" s="366" customFormat="1" spans="1:55">
      <c r="A62" s="372">
        <v>42793</v>
      </c>
      <c r="B62" s="373" t="s">
        <v>35</v>
      </c>
      <c r="C62" s="377"/>
      <c r="D62" s="329"/>
      <c r="E62" s="329"/>
      <c r="F62" s="378"/>
      <c r="G62" s="329"/>
      <c r="H62" s="376"/>
      <c r="I62" s="376"/>
      <c r="J62" s="399">
        <f t="shared" si="0"/>
        <v>0</v>
      </c>
      <c r="K62" s="329"/>
      <c r="L62" s="329"/>
      <c r="M62" s="401">
        <f t="shared" si="2"/>
        <v>0</v>
      </c>
      <c r="N62" s="396">
        <f t="shared" si="21"/>
        <v>725357</v>
      </c>
      <c r="O62" s="368">
        <f t="shared" si="21"/>
        <v>468182</v>
      </c>
      <c r="P62" s="398">
        <f t="shared" si="21"/>
        <v>1272904.6</v>
      </c>
      <c r="Q62" s="414">
        <f t="shared" si="17"/>
        <v>2560431.72</v>
      </c>
      <c r="R62" s="402">
        <f t="shared" si="17"/>
        <v>1746719</v>
      </c>
      <c r="S62" s="415">
        <f t="shared" si="17"/>
        <v>4542546.96</v>
      </c>
      <c r="T62" s="416">
        <f>N62/'2018'!N62-1</f>
        <v>-0.330310905943451</v>
      </c>
      <c r="U62" s="417">
        <f>O62/'2018'!O62-1</f>
        <v>-0.282007634138</v>
      </c>
      <c r="V62" s="417">
        <f>P62/'2018'!P62-1</f>
        <v>-0.285414572010965</v>
      </c>
      <c r="W62" s="417">
        <f>Q62/'2018'!Q62-1</f>
        <v>-0.251963282825451</v>
      </c>
      <c r="X62" s="417">
        <f>R62/'2018'!R62-1</f>
        <v>-0.04201445161998</v>
      </c>
      <c r="Y62" s="424">
        <f>S62/'2018'!S62-1</f>
        <v>-0.149240203410716</v>
      </c>
      <c r="Z62" s="425"/>
      <c r="AA62" s="437">
        <f t="shared" si="1"/>
        <v>256.043172</v>
      </c>
      <c r="AB62" s="427"/>
      <c r="AC62" s="401"/>
      <c r="AD62" s="427">
        <f t="shared" si="5"/>
        <v>2795827.96</v>
      </c>
      <c r="AE62" s="329">
        <f t="shared" si="22"/>
        <v>27846.65</v>
      </c>
      <c r="AF62" s="329">
        <f t="shared" si="22"/>
        <v>175538.2</v>
      </c>
      <c r="AG62" s="401">
        <f t="shared" si="8"/>
        <v>32011.3900000002</v>
      </c>
      <c r="AH62" s="439"/>
      <c r="AI62" s="442"/>
      <c r="AJ62" s="442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</row>
    <row r="63" s="366" customFormat="1" spans="1:55">
      <c r="A63" s="385">
        <v>42794</v>
      </c>
      <c r="B63" s="292" t="s">
        <v>36</v>
      </c>
      <c r="C63" s="391"/>
      <c r="D63" s="392"/>
      <c r="E63" s="393"/>
      <c r="F63" s="394"/>
      <c r="G63" s="392"/>
      <c r="H63" s="389"/>
      <c r="I63" s="389"/>
      <c r="J63" s="405">
        <f t="shared" si="0"/>
        <v>0</v>
      </c>
      <c r="K63" s="392"/>
      <c r="L63" s="392"/>
      <c r="M63" s="406">
        <f t="shared" si="2"/>
        <v>0</v>
      </c>
      <c r="N63" s="407">
        <f t="shared" ref="N63" si="24">N62+C63</f>
        <v>725357</v>
      </c>
      <c r="O63" s="411">
        <f t="shared" ref="O63" si="25">O62+D63</f>
        <v>468182</v>
      </c>
      <c r="P63" s="412">
        <f t="shared" ref="P63" si="26">P62+E63</f>
        <v>1272904.6</v>
      </c>
      <c r="Q63" s="418">
        <f t="shared" ref="Q63" si="27">N63+Q$35</f>
        <v>2560431.72</v>
      </c>
      <c r="R63" s="408">
        <f t="shared" ref="R63" si="28">O63+R$35</f>
        <v>1746719</v>
      </c>
      <c r="S63" s="419">
        <f t="shared" ref="S63" si="29">P63+S$35</f>
        <v>4542546.96</v>
      </c>
      <c r="T63" s="420">
        <f>N63/'2018'!N63-1</f>
        <v>-0.356398569810485</v>
      </c>
      <c r="U63" s="421">
        <f>O63/'2018'!O63-1</f>
        <v>-0.30880240466879</v>
      </c>
      <c r="V63" s="421">
        <f>P63/'2018'!P63-1</f>
        <v>-0.312477627179769</v>
      </c>
      <c r="W63" s="421">
        <f>Q63/'2018'!Q63-1</f>
        <v>-0.261436431807189</v>
      </c>
      <c r="X63" s="421">
        <f>R63/'2018'!R63-1</f>
        <v>-0.0551140509887736</v>
      </c>
      <c r="Y63" s="431">
        <f>S63/'2018'!S63-1</f>
        <v>-0.160267778880511</v>
      </c>
      <c r="Z63" s="432"/>
      <c r="AA63" s="433">
        <f>[2]表2、统调口径电量!$I$11/10000</f>
        <v>333.394831</v>
      </c>
      <c r="AB63" s="435"/>
      <c r="AC63" s="406" t="e">
        <f t="shared" ref="AC63" si="30">AA63*10000/AB63</f>
        <v>#DIV/0!</v>
      </c>
      <c r="AD63" s="435">
        <f t="shared" si="5"/>
        <v>2795827.96</v>
      </c>
      <c r="AE63" s="392">
        <f t="shared" si="22"/>
        <v>27846.65</v>
      </c>
      <c r="AF63" s="392">
        <f t="shared" si="22"/>
        <v>175538.2</v>
      </c>
      <c r="AG63" s="406">
        <f t="shared" si="8"/>
        <v>32011.3900000002</v>
      </c>
      <c r="AH63" s="439"/>
      <c r="AI63" s="442"/>
      <c r="AJ63" s="442"/>
      <c r="AK63" s="400"/>
      <c r="AL63" s="400"/>
      <c r="AM63" s="400"/>
      <c r="AN63" s="400"/>
      <c r="AO63" s="400"/>
      <c r="AP63" s="400"/>
      <c r="AQ63" s="400"/>
      <c r="AR63" s="400"/>
      <c r="AS63" s="400"/>
      <c r="AT63" s="400"/>
      <c r="AU63" s="400"/>
      <c r="AV63" s="400"/>
      <c r="AW63" s="400"/>
      <c r="AX63" s="400"/>
      <c r="AY63" s="400"/>
      <c r="AZ63" s="400"/>
      <c r="BA63" s="400"/>
      <c r="BB63" s="400"/>
      <c r="BC63" s="400"/>
    </row>
    <row r="64" s="366" customFormat="1" spans="1:55">
      <c r="A64" s="395"/>
      <c r="C64" s="396"/>
      <c r="D64" s="368"/>
      <c r="E64" s="368"/>
      <c r="F64" s="378"/>
      <c r="G64" s="397"/>
      <c r="H64" s="376"/>
      <c r="I64" s="376"/>
      <c r="J64" s="399"/>
      <c r="K64" s="329"/>
      <c r="L64" s="329"/>
      <c r="M64" s="401"/>
      <c r="N64" s="396"/>
      <c r="O64" s="368"/>
      <c r="P64" s="398"/>
      <c r="Q64" s="414"/>
      <c r="R64" s="402"/>
      <c r="S64" s="415"/>
      <c r="T64" s="416"/>
      <c r="U64" s="417"/>
      <c r="V64" s="417"/>
      <c r="W64" s="417"/>
      <c r="X64" s="417"/>
      <c r="Y64" s="424"/>
      <c r="Z64" s="425"/>
      <c r="AA64" s="426"/>
      <c r="AB64" s="438"/>
      <c r="AC64" s="401"/>
      <c r="AD64" s="427"/>
      <c r="AE64" s="329"/>
      <c r="AF64" s="329"/>
      <c r="AG64" s="401"/>
      <c r="AH64" s="439"/>
      <c r="AI64" s="442"/>
      <c r="AJ64" s="442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</row>
    <row r="65" s="366" customFormat="1" spans="1:55">
      <c r="A65" s="395">
        <v>42795</v>
      </c>
      <c r="B65" s="443" t="s">
        <v>37</v>
      </c>
      <c r="C65" s="377"/>
      <c r="D65" s="329"/>
      <c r="E65" s="329"/>
      <c r="F65" s="378"/>
      <c r="G65" s="329"/>
      <c r="H65" s="376"/>
      <c r="I65" s="376"/>
      <c r="J65" s="399">
        <f t="shared" si="0"/>
        <v>0</v>
      </c>
      <c r="K65" s="329"/>
      <c r="L65" s="329"/>
      <c r="M65" s="401">
        <f>J65-K65-L65-C65</f>
        <v>0</v>
      </c>
      <c r="N65" s="396">
        <f>C65</f>
        <v>0</v>
      </c>
      <c r="O65" s="368">
        <f>D65</f>
        <v>0</v>
      </c>
      <c r="P65" s="398">
        <f>E65</f>
        <v>0</v>
      </c>
      <c r="Q65" s="414">
        <f t="shared" ref="Q65:S95" si="31">Q$63+N65</f>
        <v>2560431.72</v>
      </c>
      <c r="R65" s="402">
        <f t="shared" si="31"/>
        <v>1746719</v>
      </c>
      <c r="S65" s="415">
        <f t="shared" si="31"/>
        <v>4542546.96</v>
      </c>
      <c r="T65" s="416">
        <f>N65/'2018'!N65-1</f>
        <v>-1</v>
      </c>
      <c r="U65" s="417">
        <f>O65/'2018'!O65-1</f>
        <v>-1</v>
      </c>
      <c r="V65" s="417">
        <f>P65/'2018'!P65-1</f>
        <v>-1</v>
      </c>
      <c r="W65" s="417">
        <f>Q65/'2018'!Q65-1</f>
        <v>-0.270517372107003</v>
      </c>
      <c r="X65" s="417">
        <f>R65/'2018'!R65-1</f>
        <v>-0.0689994638023979</v>
      </c>
      <c r="Y65" s="424">
        <f>S65/'2018'!S65-1</f>
        <v>-0.171290292710506</v>
      </c>
      <c r="Z65" s="425"/>
      <c r="AA65" s="426">
        <f t="shared" si="1"/>
        <v>256.043172</v>
      </c>
      <c r="AB65" s="427"/>
      <c r="AC65" s="401"/>
      <c r="AD65" s="427">
        <f>S65-R65</f>
        <v>2795827.96</v>
      </c>
      <c r="AE65" s="329">
        <f>AE63+K65</f>
        <v>27846.65</v>
      </c>
      <c r="AF65" s="329">
        <f>AF63+L65</f>
        <v>175538.2</v>
      </c>
      <c r="AG65" s="401">
        <f t="shared" si="8"/>
        <v>32011.3900000002</v>
      </c>
      <c r="AH65" s="440">
        <f>(AD65-AD57)/('2017'!AD65-'2017'!AD57)-1</f>
        <v>-1</v>
      </c>
      <c r="AI65" s="442">
        <f>AA65-AA57</f>
        <v>0</v>
      </c>
      <c r="AJ65" s="442">
        <f>'2017'!AA65-'2017'!AA57</f>
        <v>47.3522842857142</v>
      </c>
      <c r="AK65" s="446"/>
      <c r="AL65" s="400"/>
      <c r="AM65" s="400"/>
      <c r="AN65" s="400"/>
      <c r="AO65" s="400"/>
      <c r="AP65" s="400"/>
      <c r="AQ65" s="400"/>
      <c r="AR65" s="400"/>
      <c r="AS65" s="400"/>
      <c r="AT65" s="400"/>
      <c r="AU65" s="400"/>
      <c r="AV65" s="400"/>
      <c r="AW65" s="400"/>
      <c r="AX65" s="400"/>
      <c r="AY65" s="400"/>
      <c r="AZ65" s="400"/>
      <c r="BA65" s="400"/>
      <c r="BB65" s="400"/>
      <c r="BC65" s="400"/>
    </row>
    <row r="66" s="366" customFormat="1" spans="1:55">
      <c r="A66" s="395">
        <v>42796</v>
      </c>
      <c r="B66" s="443" t="s">
        <v>38</v>
      </c>
      <c r="C66" s="377"/>
      <c r="D66" s="329"/>
      <c r="E66" s="329"/>
      <c r="F66" s="378"/>
      <c r="G66" s="329"/>
      <c r="H66" s="376"/>
      <c r="I66" s="376"/>
      <c r="J66" s="399">
        <f t="shared" si="0"/>
        <v>0</v>
      </c>
      <c r="K66" s="329"/>
      <c r="L66" s="329"/>
      <c r="M66" s="401">
        <f t="shared" si="2"/>
        <v>0</v>
      </c>
      <c r="N66" s="396">
        <f t="shared" ref="N66:O81" si="32">N65+C66</f>
        <v>0</v>
      </c>
      <c r="O66" s="402">
        <f>O65+D66</f>
        <v>0</v>
      </c>
      <c r="P66" s="398">
        <f t="shared" ref="P66:P95" si="33">P65+E66</f>
        <v>0</v>
      </c>
      <c r="Q66" s="414">
        <f t="shared" si="31"/>
        <v>2560431.72</v>
      </c>
      <c r="R66" s="402">
        <f t="shared" si="31"/>
        <v>1746719</v>
      </c>
      <c r="S66" s="415">
        <f t="shared" si="31"/>
        <v>4542546.96</v>
      </c>
      <c r="T66" s="416">
        <f>N66/'2018'!N66-1</f>
        <v>-1</v>
      </c>
      <c r="U66" s="417">
        <f>O66/'2018'!O66-1</f>
        <v>-1</v>
      </c>
      <c r="V66" s="417">
        <f>P66/'2018'!P66-1</f>
        <v>-1</v>
      </c>
      <c r="W66" s="417">
        <f>Q66/'2018'!Q66-1</f>
        <v>-0.280798273690057</v>
      </c>
      <c r="X66" s="417">
        <f>R66/'2018'!R66-1</f>
        <v>-0.0825535271958704</v>
      </c>
      <c r="Y66" s="424">
        <f>S66/'2018'!S66-1</f>
        <v>-0.182970239018817</v>
      </c>
      <c r="Z66" s="425"/>
      <c r="AA66" s="426">
        <f t="shared" si="1"/>
        <v>256.043172</v>
      </c>
      <c r="AB66" s="427"/>
      <c r="AC66" s="401"/>
      <c r="AD66" s="427">
        <f t="shared" si="5"/>
        <v>2795827.96</v>
      </c>
      <c r="AE66" s="329">
        <f t="shared" si="22"/>
        <v>27846.65</v>
      </c>
      <c r="AF66" s="329">
        <f t="shared" si="22"/>
        <v>175538.2</v>
      </c>
      <c r="AG66" s="401">
        <f t="shared" si="8"/>
        <v>32011.3900000002</v>
      </c>
      <c r="AH66" s="439"/>
      <c r="AI66" s="400"/>
      <c r="AJ66" s="400"/>
      <c r="AK66" s="400"/>
      <c r="AL66" s="400"/>
      <c r="AM66" s="400"/>
      <c r="AN66" s="400"/>
      <c r="AO66" s="400"/>
      <c r="AP66" s="400"/>
      <c r="AQ66" s="400"/>
      <c r="AR66" s="400"/>
      <c r="AS66" s="400"/>
      <c r="AT66" s="400"/>
      <c r="AU66" s="400"/>
      <c r="AV66" s="400"/>
      <c r="AW66" s="400"/>
      <c r="AX66" s="400"/>
      <c r="AY66" s="400"/>
      <c r="AZ66" s="400"/>
      <c r="BA66" s="400"/>
      <c r="BB66" s="400"/>
      <c r="BC66" s="400"/>
    </row>
    <row r="67" s="366" customFormat="1" spans="1:55">
      <c r="A67" s="395">
        <v>42797</v>
      </c>
      <c r="B67" s="443" t="s">
        <v>1</v>
      </c>
      <c r="C67" s="377"/>
      <c r="D67" s="329"/>
      <c r="E67" s="329"/>
      <c r="F67" s="378"/>
      <c r="G67" s="329"/>
      <c r="H67" s="376"/>
      <c r="I67" s="376"/>
      <c r="J67" s="399">
        <f t="shared" si="0"/>
        <v>0</v>
      </c>
      <c r="K67" s="329"/>
      <c r="L67" s="329"/>
      <c r="M67" s="401">
        <f t="shared" si="2"/>
        <v>0</v>
      </c>
      <c r="N67" s="396">
        <f t="shared" si="32"/>
        <v>0</v>
      </c>
      <c r="O67" s="402">
        <f>O66+D67</f>
        <v>0</v>
      </c>
      <c r="P67" s="398">
        <f t="shared" si="33"/>
        <v>0</v>
      </c>
      <c r="Q67" s="414">
        <f t="shared" si="31"/>
        <v>2560431.72</v>
      </c>
      <c r="R67" s="402">
        <f t="shared" si="31"/>
        <v>1746719</v>
      </c>
      <c r="S67" s="415">
        <f t="shared" si="31"/>
        <v>4542546.96</v>
      </c>
      <c r="T67" s="416">
        <f>N67/'2018'!N67-1</f>
        <v>-1</v>
      </c>
      <c r="U67" s="417">
        <f>O67/'2018'!O67-1</f>
        <v>-1</v>
      </c>
      <c r="V67" s="417">
        <f>P67/'2018'!P67-1</f>
        <v>-1</v>
      </c>
      <c r="W67" s="417">
        <f>Q67/'2018'!Q67-1</f>
        <v>-0.290376126757142</v>
      </c>
      <c r="X67" s="417">
        <f>R67/'2018'!R67-1</f>
        <v>-0.0954961719403357</v>
      </c>
      <c r="Y67" s="424">
        <f>S67/'2018'!S67-1</f>
        <v>-0.194037771483131</v>
      </c>
      <c r="Z67" s="425"/>
      <c r="AA67" s="426">
        <f t="shared" si="1"/>
        <v>256.043172</v>
      </c>
      <c r="AB67" s="427"/>
      <c r="AC67" s="401"/>
      <c r="AD67" s="427">
        <f t="shared" si="5"/>
        <v>2795827.96</v>
      </c>
      <c r="AE67" s="329">
        <f t="shared" si="22"/>
        <v>27846.65</v>
      </c>
      <c r="AF67" s="329">
        <f t="shared" si="22"/>
        <v>175538.2</v>
      </c>
      <c r="AG67" s="401">
        <f t="shared" si="8"/>
        <v>32011.3900000002</v>
      </c>
      <c r="AH67" s="439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</row>
    <row r="68" s="366" customFormat="1" spans="1:55">
      <c r="A68" s="395">
        <v>42798</v>
      </c>
      <c r="B68" s="443" t="s">
        <v>39</v>
      </c>
      <c r="C68" s="377"/>
      <c r="D68" s="329"/>
      <c r="E68" s="329"/>
      <c r="F68" s="378"/>
      <c r="G68" s="329"/>
      <c r="H68" s="376"/>
      <c r="I68" s="376"/>
      <c r="J68" s="399">
        <f t="shared" si="0"/>
        <v>0</v>
      </c>
      <c r="K68" s="329"/>
      <c r="L68" s="329"/>
      <c r="M68" s="401">
        <f t="shared" si="2"/>
        <v>0</v>
      </c>
      <c r="N68" s="396">
        <f t="shared" si="32"/>
        <v>0</v>
      </c>
      <c r="O68" s="402">
        <f t="shared" si="32"/>
        <v>0</v>
      </c>
      <c r="P68" s="398">
        <f t="shared" si="33"/>
        <v>0</v>
      </c>
      <c r="Q68" s="414">
        <f t="shared" si="31"/>
        <v>2560431.72</v>
      </c>
      <c r="R68" s="402">
        <f t="shared" si="31"/>
        <v>1746719</v>
      </c>
      <c r="S68" s="415">
        <f t="shared" si="31"/>
        <v>4542546.96</v>
      </c>
      <c r="T68" s="416">
        <f>N68/'2018'!N68-1</f>
        <v>-1</v>
      </c>
      <c r="U68" s="417">
        <f>O68/'2018'!O68-1</f>
        <v>-1</v>
      </c>
      <c r="V68" s="417">
        <f>P68/'2018'!P68-1</f>
        <v>-1</v>
      </c>
      <c r="W68" s="417">
        <f>Q68/'2018'!Q68-1</f>
        <v>-0.299128873750679</v>
      </c>
      <c r="X68" s="417">
        <f>R68/'2018'!R68-1</f>
        <v>-0.108212605275411</v>
      </c>
      <c r="Y68" s="424">
        <f>S68/'2018'!S68-1</f>
        <v>-0.204483743508337</v>
      </c>
      <c r="Z68" s="425"/>
      <c r="AA68" s="426">
        <f t="shared" si="1"/>
        <v>256.043172</v>
      </c>
      <c r="AB68" s="427"/>
      <c r="AC68" s="401"/>
      <c r="AD68" s="427">
        <f t="shared" si="5"/>
        <v>2795827.96</v>
      </c>
      <c r="AE68" s="329">
        <f t="shared" si="22"/>
        <v>27846.65</v>
      </c>
      <c r="AF68" s="329">
        <f t="shared" si="22"/>
        <v>175538.2</v>
      </c>
      <c r="AG68" s="401">
        <f t="shared" si="8"/>
        <v>32011.3900000002</v>
      </c>
      <c r="AH68" s="439"/>
      <c r="AI68" s="400"/>
      <c r="AJ68" s="400"/>
      <c r="AK68" s="400"/>
      <c r="AL68" s="400"/>
      <c r="AM68" s="400"/>
      <c r="AN68" s="400"/>
      <c r="AO68" s="400"/>
      <c r="AP68" s="400"/>
      <c r="AQ68" s="400"/>
      <c r="AR68" s="400"/>
      <c r="AS68" s="400"/>
      <c r="AT68" s="400"/>
      <c r="AU68" s="400"/>
      <c r="AV68" s="400"/>
      <c r="AW68" s="400"/>
      <c r="AX68" s="400"/>
      <c r="AY68" s="400"/>
      <c r="AZ68" s="400"/>
      <c r="BA68" s="400"/>
      <c r="BB68" s="400"/>
      <c r="BC68" s="400"/>
    </row>
    <row r="69" s="366" customFormat="1" spans="1:55">
      <c r="A69" s="395">
        <v>42799</v>
      </c>
      <c r="B69" s="443" t="s">
        <v>34</v>
      </c>
      <c r="C69" s="377"/>
      <c r="D69" s="329"/>
      <c r="E69" s="329"/>
      <c r="F69" s="378"/>
      <c r="G69" s="329"/>
      <c r="H69" s="376"/>
      <c r="I69" s="376"/>
      <c r="J69" s="399">
        <f t="shared" ref="J69:J132" si="34">E69-D69</f>
        <v>0</v>
      </c>
      <c r="K69" s="329"/>
      <c r="L69" s="329"/>
      <c r="M69" s="401">
        <f t="shared" si="2"/>
        <v>0</v>
      </c>
      <c r="N69" s="396">
        <f t="shared" si="32"/>
        <v>0</v>
      </c>
      <c r="O69" s="402">
        <f t="shared" si="32"/>
        <v>0</v>
      </c>
      <c r="P69" s="398">
        <f t="shared" si="33"/>
        <v>0</v>
      </c>
      <c r="Q69" s="414">
        <f t="shared" si="31"/>
        <v>2560431.72</v>
      </c>
      <c r="R69" s="402">
        <f t="shared" si="31"/>
        <v>1746719</v>
      </c>
      <c r="S69" s="415">
        <f t="shared" si="31"/>
        <v>4542546.96</v>
      </c>
      <c r="T69" s="416">
        <f>N69/'2018'!N69-1</f>
        <v>-1</v>
      </c>
      <c r="U69" s="417">
        <f>O69/'2018'!O69-1</f>
        <v>-1</v>
      </c>
      <c r="V69" s="417">
        <f>P69/'2018'!P69-1</f>
        <v>-1</v>
      </c>
      <c r="W69" s="417">
        <f>Q69/'2018'!Q69-1</f>
        <v>-0.30918770853921</v>
      </c>
      <c r="X69" s="417">
        <f>R69/'2018'!R69-1</f>
        <v>-0.121324513305498</v>
      </c>
      <c r="Y69" s="424">
        <f>S69/'2018'!S69-1</f>
        <v>-0.215906958674315</v>
      </c>
      <c r="Z69" s="425"/>
      <c r="AA69" s="426">
        <f t="shared" ref="AA69:AA132" si="35">Q69/10000-Z69</f>
        <v>256.043172</v>
      </c>
      <c r="AB69" s="427"/>
      <c r="AC69" s="401"/>
      <c r="AD69" s="427">
        <f t="shared" si="5"/>
        <v>2795827.96</v>
      </c>
      <c r="AE69" s="329">
        <f t="shared" si="22"/>
        <v>27846.65</v>
      </c>
      <c r="AF69" s="329">
        <f t="shared" si="22"/>
        <v>175538.2</v>
      </c>
      <c r="AG69" s="401">
        <f t="shared" si="8"/>
        <v>32011.3900000002</v>
      </c>
      <c r="AH69" s="439"/>
      <c r="AI69" s="400"/>
      <c r="AJ69" s="400"/>
      <c r="AK69" s="400"/>
      <c r="AL69" s="400"/>
      <c r="AM69" s="400"/>
      <c r="AN69" s="400"/>
      <c r="AO69" s="400"/>
      <c r="AP69" s="400"/>
      <c r="AQ69" s="400"/>
      <c r="AR69" s="400"/>
      <c r="AS69" s="400"/>
      <c r="AT69" s="400"/>
      <c r="AU69" s="400"/>
      <c r="AV69" s="400"/>
      <c r="AW69" s="400"/>
      <c r="AX69" s="400"/>
      <c r="AY69" s="400"/>
      <c r="AZ69" s="400"/>
      <c r="BA69" s="400"/>
      <c r="BB69" s="400"/>
      <c r="BC69" s="400"/>
    </row>
    <row r="70" s="366" customFormat="1" spans="1:55">
      <c r="A70" s="395">
        <v>42800</v>
      </c>
      <c r="B70" s="443" t="s">
        <v>35</v>
      </c>
      <c r="C70" s="377"/>
      <c r="D70" s="329"/>
      <c r="E70" s="329"/>
      <c r="F70" s="378"/>
      <c r="G70" s="329"/>
      <c r="H70" s="376"/>
      <c r="I70" s="376"/>
      <c r="J70" s="399">
        <f t="shared" si="34"/>
        <v>0</v>
      </c>
      <c r="K70" s="329"/>
      <c r="L70" s="329"/>
      <c r="M70" s="401">
        <f t="shared" ref="M70:M133" si="36">J70-K70-L70-C70</f>
        <v>0</v>
      </c>
      <c r="N70" s="396">
        <f t="shared" si="32"/>
        <v>0</v>
      </c>
      <c r="O70" s="402">
        <f t="shared" si="32"/>
        <v>0</v>
      </c>
      <c r="P70" s="398">
        <f t="shared" si="33"/>
        <v>0</v>
      </c>
      <c r="Q70" s="414">
        <f t="shared" si="31"/>
        <v>2560431.72</v>
      </c>
      <c r="R70" s="402">
        <f t="shared" si="31"/>
        <v>1746719</v>
      </c>
      <c r="S70" s="415">
        <f t="shared" si="31"/>
        <v>4542546.96</v>
      </c>
      <c r="T70" s="416">
        <f>N70/'2018'!N70-1</f>
        <v>-1</v>
      </c>
      <c r="U70" s="417">
        <f>O70/'2018'!O70-1</f>
        <v>-1</v>
      </c>
      <c r="V70" s="417">
        <f>P70/'2018'!P70-1</f>
        <v>-1</v>
      </c>
      <c r="W70" s="417">
        <f>Q70/'2018'!Q70-1</f>
        <v>-0.319191517769575</v>
      </c>
      <c r="X70" s="417">
        <f>R70/'2018'!R70-1</f>
        <v>-0.135312879475302</v>
      </c>
      <c r="Y70" s="424">
        <f>S70/'2018'!S70-1</f>
        <v>-0.227576815237742</v>
      </c>
      <c r="Z70" s="425"/>
      <c r="AA70" s="426">
        <f t="shared" si="35"/>
        <v>256.043172</v>
      </c>
      <c r="AB70" s="427"/>
      <c r="AC70" s="401"/>
      <c r="AD70" s="427">
        <f t="shared" ref="AD70:AD133" si="37">S70-R70</f>
        <v>2795827.96</v>
      </c>
      <c r="AE70" s="329">
        <f t="shared" si="22"/>
        <v>27846.65</v>
      </c>
      <c r="AF70" s="329">
        <f t="shared" si="22"/>
        <v>175538.2</v>
      </c>
      <c r="AG70" s="401">
        <f t="shared" si="8"/>
        <v>32011.3900000002</v>
      </c>
      <c r="AH70" s="439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</row>
    <row r="71" s="366" customFormat="1" spans="1:55">
      <c r="A71" s="395">
        <v>42801</v>
      </c>
      <c r="B71" s="191" t="s">
        <v>36</v>
      </c>
      <c r="C71" s="377"/>
      <c r="D71" s="329"/>
      <c r="E71" s="329"/>
      <c r="F71" s="378"/>
      <c r="G71" s="329"/>
      <c r="H71" s="376"/>
      <c r="I71" s="376"/>
      <c r="J71" s="399">
        <f t="shared" si="34"/>
        <v>0</v>
      </c>
      <c r="K71" s="329"/>
      <c r="L71" s="329"/>
      <c r="M71" s="401">
        <f t="shared" si="36"/>
        <v>0</v>
      </c>
      <c r="N71" s="396">
        <f t="shared" si="32"/>
        <v>0</v>
      </c>
      <c r="O71" s="402">
        <f t="shared" si="32"/>
        <v>0</v>
      </c>
      <c r="P71" s="398">
        <f t="shared" si="33"/>
        <v>0</v>
      </c>
      <c r="Q71" s="414">
        <f t="shared" si="31"/>
        <v>2560431.72</v>
      </c>
      <c r="R71" s="402">
        <f t="shared" si="31"/>
        <v>1746719</v>
      </c>
      <c r="S71" s="415">
        <f t="shared" si="31"/>
        <v>4542546.96</v>
      </c>
      <c r="T71" s="416">
        <f>N71/'2018'!N71-1</f>
        <v>-1</v>
      </c>
      <c r="U71" s="417">
        <f>O71/'2018'!O71-1</f>
        <v>-1</v>
      </c>
      <c r="V71" s="417">
        <f>P71/'2018'!P71-1</f>
        <v>-1</v>
      </c>
      <c r="W71" s="417">
        <f>Q71/'2018'!Q71-1</f>
        <v>-0.330318306980702</v>
      </c>
      <c r="X71" s="417">
        <f>R71/'2018'!R71-1</f>
        <v>-0.14816841376317</v>
      </c>
      <c r="Y71" s="424">
        <f>S71/'2018'!S71-1</f>
        <v>-0.239735301280045</v>
      </c>
      <c r="Z71" s="425"/>
      <c r="AA71" s="426">
        <f t="shared" si="35"/>
        <v>256.043172</v>
      </c>
      <c r="AB71" s="427"/>
      <c r="AC71" s="401"/>
      <c r="AD71" s="427">
        <f t="shared" si="37"/>
        <v>2795827.96</v>
      </c>
      <c r="AE71" s="329">
        <f t="shared" ref="AE71:AF86" si="38">AE70+K71</f>
        <v>27846.65</v>
      </c>
      <c r="AF71" s="329">
        <f t="shared" si="38"/>
        <v>175538.2</v>
      </c>
      <c r="AG71" s="401">
        <f t="shared" ref="AG71:AG134" si="39">AD71-Q71-AE71-AF71</f>
        <v>32011.3900000002</v>
      </c>
      <c r="AH71" s="439"/>
      <c r="AI71" s="400"/>
      <c r="AJ71" s="400"/>
      <c r="AK71" s="400"/>
      <c r="AL71" s="400"/>
      <c r="AM71" s="400"/>
      <c r="AN71" s="400"/>
      <c r="AO71" s="400"/>
      <c r="AP71" s="400"/>
      <c r="AQ71" s="400"/>
      <c r="AR71" s="400"/>
      <c r="AS71" s="400"/>
      <c r="AT71" s="400"/>
      <c r="AU71" s="400"/>
      <c r="AV71" s="400"/>
      <c r="AW71" s="400"/>
      <c r="AX71" s="400"/>
      <c r="AY71" s="400"/>
      <c r="AZ71" s="400"/>
      <c r="BA71" s="400"/>
      <c r="BB71" s="400"/>
      <c r="BC71" s="400"/>
    </row>
    <row r="72" s="366" customFormat="1" spans="1:55">
      <c r="A72" s="395">
        <v>42802</v>
      </c>
      <c r="B72" s="443" t="s">
        <v>37</v>
      </c>
      <c r="C72" s="377"/>
      <c r="D72" s="329"/>
      <c r="E72" s="329"/>
      <c r="F72" s="378"/>
      <c r="G72" s="329"/>
      <c r="H72" s="376"/>
      <c r="I72" s="376"/>
      <c r="J72" s="399">
        <f t="shared" si="34"/>
        <v>0</v>
      </c>
      <c r="K72" s="329"/>
      <c r="L72" s="329"/>
      <c r="M72" s="401">
        <f t="shared" si="36"/>
        <v>0</v>
      </c>
      <c r="N72" s="396">
        <f t="shared" si="32"/>
        <v>0</v>
      </c>
      <c r="O72" s="402">
        <f t="shared" si="32"/>
        <v>0</v>
      </c>
      <c r="P72" s="398">
        <f t="shared" si="33"/>
        <v>0</v>
      </c>
      <c r="Q72" s="414">
        <f t="shared" si="31"/>
        <v>2560431.72</v>
      </c>
      <c r="R72" s="402">
        <f t="shared" si="31"/>
        <v>1746719</v>
      </c>
      <c r="S72" s="415">
        <f t="shared" si="31"/>
        <v>4542546.96</v>
      </c>
      <c r="T72" s="416">
        <f>N72/'2018'!N72-1</f>
        <v>-1</v>
      </c>
      <c r="U72" s="417">
        <f>O72/'2018'!O72-1</f>
        <v>-1</v>
      </c>
      <c r="V72" s="417">
        <f>P72/'2018'!P72-1</f>
        <v>-1</v>
      </c>
      <c r="W72" s="417">
        <f>Q72/'2018'!Q72-1</f>
        <v>-0.340796646291707</v>
      </c>
      <c r="X72" s="417">
        <f>R72/'2018'!R72-1</f>
        <v>-0.161604525663973</v>
      </c>
      <c r="Y72" s="424">
        <f>S72/'2018'!S72-1</f>
        <v>-0.251581324761897</v>
      </c>
      <c r="Z72" s="425"/>
      <c r="AA72" s="426">
        <f t="shared" si="35"/>
        <v>256.043172</v>
      </c>
      <c r="AB72" s="427"/>
      <c r="AC72" s="401"/>
      <c r="AD72" s="427">
        <f t="shared" si="37"/>
        <v>2795827.96</v>
      </c>
      <c r="AE72" s="329">
        <f t="shared" si="38"/>
        <v>27846.65</v>
      </c>
      <c r="AF72" s="329">
        <f t="shared" si="38"/>
        <v>175538.2</v>
      </c>
      <c r="AG72" s="401">
        <f t="shared" si="39"/>
        <v>32011.3900000002</v>
      </c>
      <c r="AH72" s="440">
        <f>(AD72-AD65)/('2017'!AD72-'2017'!AD65)-1</f>
        <v>-1</v>
      </c>
      <c r="AI72" s="441">
        <f>AA72-AA65</f>
        <v>0</v>
      </c>
      <c r="AJ72" s="442">
        <f>'2017'!AA72-'2017'!AA65</f>
        <v>43.4602</v>
      </c>
      <c r="AK72" s="400"/>
      <c r="AL72" s="400"/>
      <c r="AM72" s="400"/>
      <c r="AN72" s="400"/>
      <c r="AO72" s="400"/>
      <c r="AP72" s="400"/>
      <c r="AQ72" s="400"/>
      <c r="AR72" s="400"/>
      <c r="AS72" s="400"/>
      <c r="AT72" s="400"/>
      <c r="AU72" s="400"/>
      <c r="AV72" s="400"/>
      <c r="AW72" s="400"/>
      <c r="AX72" s="400"/>
      <c r="AY72" s="400"/>
      <c r="AZ72" s="400"/>
      <c r="BA72" s="400"/>
      <c r="BB72" s="400"/>
      <c r="BC72" s="400"/>
    </row>
    <row r="73" s="366" customFormat="1" spans="1:55">
      <c r="A73" s="395">
        <v>42803</v>
      </c>
      <c r="B73" s="443" t="s">
        <v>38</v>
      </c>
      <c r="C73" s="377"/>
      <c r="D73" s="329"/>
      <c r="E73" s="329"/>
      <c r="F73" s="378"/>
      <c r="G73" s="329"/>
      <c r="H73" s="376"/>
      <c r="I73" s="376"/>
      <c r="J73" s="399">
        <f t="shared" si="34"/>
        <v>0</v>
      </c>
      <c r="K73" s="329"/>
      <c r="L73" s="329"/>
      <c r="M73" s="401">
        <f t="shared" si="36"/>
        <v>0</v>
      </c>
      <c r="N73" s="396">
        <f t="shared" si="32"/>
        <v>0</v>
      </c>
      <c r="O73" s="402">
        <f t="shared" si="32"/>
        <v>0</v>
      </c>
      <c r="P73" s="398">
        <f t="shared" si="33"/>
        <v>0</v>
      </c>
      <c r="Q73" s="414">
        <f t="shared" si="31"/>
        <v>2560431.72</v>
      </c>
      <c r="R73" s="402">
        <f t="shared" si="31"/>
        <v>1746719</v>
      </c>
      <c r="S73" s="415">
        <f t="shared" si="31"/>
        <v>4542546.96</v>
      </c>
      <c r="T73" s="416">
        <f>N73/'2018'!N73-1</f>
        <v>-1</v>
      </c>
      <c r="U73" s="417">
        <f>O73/'2018'!O73-1</f>
        <v>-1</v>
      </c>
      <c r="V73" s="417">
        <f>P73/'2018'!P73-1</f>
        <v>-1</v>
      </c>
      <c r="W73" s="417">
        <f>Q73/'2018'!Q73-1</f>
        <v>-0.35107386137164</v>
      </c>
      <c r="X73" s="417">
        <f>R73/'2018'!R73-1</f>
        <v>-0.174383819668141</v>
      </c>
      <c r="Y73" s="424">
        <f>S73/'2018'!S73-1</f>
        <v>-0.263137612416036</v>
      </c>
      <c r="Z73" s="425"/>
      <c r="AA73" s="426">
        <f t="shared" si="35"/>
        <v>256.043172</v>
      </c>
      <c r="AB73" s="427"/>
      <c r="AC73" s="401"/>
      <c r="AD73" s="427">
        <f t="shared" si="37"/>
        <v>2795827.96</v>
      </c>
      <c r="AE73" s="329">
        <f t="shared" si="38"/>
        <v>27846.65</v>
      </c>
      <c r="AF73" s="329">
        <f t="shared" si="38"/>
        <v>175538.2</v>
      </c>
      <c r="AG73" s="401">
        <f t="shared" si="39"/>
        <v>32011.3900000002</v>
      </c>
      <c r="AH73" s="439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</row>
    <row r="74" s="366" customFormat="1" spans="1:55">
      <c r="A74" s="395">
        <v>42804</v>
      </c>
      <c r="B74" s="443" t="s">
        <v>1</v>
      </c>
      <c r="C74" s="377"/>
      <c r="D74" s="329"/>
      <c r="E74" s="329"/>
      <c r="F74" s="378"/>
      <c r="G74" s="329"/>
      <c r="H74" s="376"/>
      <c r="I74" s="376"/>
      <c r="J74" s="399">
        <f t="shared" si="34"/>
        <v>0</v>
      </c>
      <c r="K74" s="329"/>
      <c r="L74" s="329"/>
      <c r="M74" s="401">
        <f t="shared" si="36"/>
        <v>0</v>
      </c>
      <c r="N74" s="396">
        <f t="shared" si="32"/>
        <v>0</v>
      </c>
      <c r="O74" s="402">
        <f t="shared" si="32"/>
        <v>0</v>
      </c>
      <c r="P74" s="398">
        <f t="shared" si="33"/>
        <v>0</v>
      </c>
      <c r="Q74" s="414">
        <f t="shared" si="31"/>
        <v>2560431.72</v>
      </c>
      <c r="R74" s="402">
        <f t="shared" si="31"/>
        <v>1746719</v>
      </c>
      <c r="S74" s="415">
        <f t="shared" si="31"/>
        <v>4542546.96</v>
      </c>
      <c r="T74" s="416">
        <f>N74/'2018'!N74-1</f>
        <v>-1</v>
      </c>
      <c r="U74" s="417">
        <f>O74/'2018'!O74-1</f>
        <v>-1</v>
      </c>
      <c r="V74" s="417">
        <f>P74/'2018'!P74-1</f>
        <v>-1</v>
      </c>
      <c r="W74" s="417">
        <f>Q74/'2018'!Q74-1</f>
        <v>-0.36113710198722</v>
      </c>
      <c r="X74" s="417">
        <f>R74/'2018'!R74-1</f>
        <v>-0.186043834886172</v>
      </c>
      <c r="Y74" s="424">
        <f>S74/'2018'!S74-1</f>
        <v>-0.274221288755026</v>
      </c>
      <c r="Z74" s="425"/>
      <c r="AA74" s="426">
        <f t="shared" si="35"/>
        <v>256.043172</v>
      </c>
      <c r="AB74" s="427"/>
      <c r="AC74" s="401"/>
      <c r="AD74" s="427">
        <f t="shared" si="37"/>
        <v>2795827.96</v>
      </c>
      <c r="AE74" s="329">
        <f t="shared" si="38"/>
        <v>27846.65</v>
      </c>
      <c r="AF74" s="329">
        <f t="shared" si="38"/>
        <v>175538.2</v>
      </c>
      <c r="AG74" s="401">
        <f t="shared" si="39"/>
        <v>32011.3900000002</v>
      </c>
      <c r="AH74" s="439"/>
      <c r="AI74" s="400"/>
      <c r="AJ74" s="400"/>
      <c r="AK74" s="400"/>
      <c r="AL74" s="400"/>
      <c r="AM74" s="400"/>
      <c r="AN74" s="400"/>
      <c r="AO74" s="400"/>
      <c r="AP74" s="400"/>
      <c r="AQ74" s="400"/>
      <c r="AR74" s="400"/>
      <c r="AS74" s="400"/>
      <c r="AT74" s="400"/>
      <c r="AU74" s="400"/>
      <c r="AV74" s="400"/>
      <c r="AW74" s="400"/>
      <c r="AX74" s="400"/>
      <c r="AY74" s="400"/>
      <c r="AZ74" s="400"/>
      <c r="BA74" s="400"/>
      <c r="BB74" s="400"/>
      <c r="BC74" s="400"/>
    </row>
    <row r="75" s="366" customFormat="1" spans="1:55">
      <c r="A75" s="395">
        <v>42805</v>
      </c>
      <c r="B75" s="443" t="s">
        <v>39</v>
      </c>
      <c r="C75" s="377"/>
      <c r="D75" s="329"/>
      <c r="E75" s="329"/>
      <c r="F75" s="378"/>
      <c r="G75" s="329"/>
      <c r="H75" s="376"/>
      <c r="I75" s="376"/>
      <c r="J75" s="399">
        <f t="shared" si="34"/>
        <v>0</v>
      </c>
      <c r="K75" s="329"/>
      <c r="L75" s="329"/>
      <c r="M75" s="401">
        <f t="shared" si="36"/>
        <v>0</v>
      </c>
      <c r="N75" s="396">
        <f t="shared" si="32"/>
        <v>0</v>
      </c>
      <c r="O75" s="402">
        <f t="shared" si="32"/>
        <v>0</v>
      </c>
      <c r="P75" s="398">
        <f t="shared" si="33"/>
        <v>0</v>
      </c>
      <c r="Q75" s="414">
        <f t="shared" si="31"/>
        <v>2560431.72</v>
      </c>
      <c r="R75" s="402">
        <f t="shared" si="31"/>
        <v>1746719</v>
      </c>
      <c r="S75" s="415">
        <f t="shared" si="31"/>
        <v>4542546.96</v>
      </c>
      <c r="T75" s="416">
        <f>N75/'2018'!N75-1</f>
        <v>-1</v>
      </c>
      <c r="U75" s="417">
        <f>O75/'2018'!O75-1</f>
        <v>-1</v>
      </c>
      <c r="V75" s="417">
        <f>P75/'2018'!P75-1</f>
        <v>-1</v>
      </c>
      <c r="W75" s="417">
        <f>Q75/'2018'!Q75-1</f>
        <v>-0.370217557818854</v>
      </c>
      <c r="X75" s="417">
        <f>R75/'2018'!R75-1</f>
        <v>-0.197457271623322</v>
      </c>
      <c r="Y75" s="424">
        <f>S75/'2018'!S75-1</f>
        <v>-0.28447989843018</v>
      </c>
      <c r="Z75" s="425"/>
      <c r="AA75" s="426">
        <f t="shared" si="35"/>
        <v>256.043172</v>
      </c>
      <c r="AB75" s="427"/>
      <c r="AC75" s="401"/>
      <c r="AD75" s="427">
        <f t="shared" si="37"/>
        <v>2795827.96</v>
      </c>
      <c r="AE75" s="329">
        <f t="shared" si="38"/>
        <v>27846.65</v>
      </c>
      <c r="AF75" s="329">
        <f t="shared" si="38"/>
        <v>175538.2</v>
      </c>
      <c r="AG75" s="401">
        <f t="shared" si="39"/>
        <v>32011.3900000002</v>
      </c>
      <c r="AH75" s="439"/>
      <c r="AI75" s="400"/>
      <c r="AJ75" s="400"/>
      <c r="AK75" s="400"/>
      <c r="AL75" s="400"/>
      <c r="AM75" s="400"/>
      <c r="AN75" s="400"/>
      <c r="AO75" s="400"/>
      <c r="AP75" s="400"/>
      <c r="AQ75" s="400"/>
      <c r="AR75" s="400"/>
      <c r="AS75" s="400"/>
      <c r="AT75" s="400"/>
      <c r="AU75" s="400"/>
      <c r="AV75" s="400"/>
      <c r="AW75" s="400"/>
      <c r="AX75" s="400"/>
      <c r="AY75" s="400"/>
      <c r="AZ75" s="400"/>
      <c r="BA75" s="400"/>
      <c r="BB75" s="400"/>
      <c r="BC75" s="400"/>
    </row>
    <row r="76" s="366" customFormat="1" spans="1:55">
      <c r="A76" s="395">
        <v>42806</v>
      </c>
      <c r="B76" s="443" t="s">
        <v>34</v>
      </c>
      <c r="C76" s="377"/>
      <c r="D76" s="329"/>
      <c r="E76" s="329"/>
      <c r="F76" s="378"/>
      <c r="G76" s="329"/>
      <c r="H76" s="376"/>
      <c r="I76" s="376"/>
      <c r="J76" s="399">
        <f t="shared" si="34"/>
        <v>0</v>
      </c>
      <c r="K76" s="329"/>
      <c r="L76" s="329"/>
      <c r="M76" s="401">
        <f t="shared" si="36"/>
        <v>0</v>
      </c>
      <c r="N76" s="396">
        <f t="shared" si="32"/>
        <v>0</v>
      </c>
      <c r="O76" s="402">
        <f t="shared" si="32"/>
        <v>0</v>
      </c>
      <c r="P76" s="398">
        <f t="shared" si="33"/>
        <v>0</v>
      </c>
      <c r="Q76" s="414">
        <f t="shared" si="31"/>
        <v>2560431.72</v>
      </c>
      <c r="R76" s="402">
        <f t="shared" si="31"/>
        <v>1746719</v>
      </c>
      <c r="S76" s="415">
        <f t="shared" si="31"/>
        <v>4542546.96</v>
      </c>
      <c r="T76" s="416">
        <f>N76/'2018'!N76-1</f>
        <v>-1</v>
      </c>
      <c r="U76" s="417">
        <f>O76/'2018'!O76-1</f>
        <v>-1</v>
      </c>
      <c r="V76" s="417">
        <f>P76/'2018'!P76-1</f>
        <v>-1</v>
      </c>
      <c r="W76" s="417">
        <f>Q76/'2018'!Q76-1</f>
        <v>-0.379745080905758</v>
      </c>
      <c r="X76" s="417">
        <f>R76/'2018'!R76-1</f>
        <v>-0.208386112305798</v>
      </c>
      <c r="Y76" s="424">
        <f>S76/'2018'!S76-1</f>
        <v>-0.294890835537837</v>
      </c>
      <c r="Z76" s="425"/>
      <c r="AA76" s="426">
        <f t="shared" si="35"/>
        <v>256.043172</v>
      </c>
      <c r="AB76" s="427"/>
      <c r="AC76" s="401"/>
      <c r="AD76" s="427">
        <f t="shared" si="37"/>
        <v>2795827.96</v>
      </c>
      <c r="AE76" s="329">
        <f t="shared" si="38"/>
        <v>27846.65</v>
      </c>
      <c r="AF76" s="329">
        <f t="shared" si="38"/>
        <v>175538.2</v>
      </c>
      <c r="AG76" s="401">
        <f t="shared" si="39"/>
        <v>32011.3900000002</v>
      </c>
      <c r="AH76" s="439"/>
      <c r="AI76" s="400"/>
      <c r="AJ76" s="400"/>
      <c r="AK76" s="400"/>
      <c r="AL76" s="400"/>
      <c r="AM76" s="400"/>
      <c r="AN76" s="400"/>
      <c r="AO76" s="400"/>
      <c r="AP76" s="400"/>
      <c r="AQ76" s="400"/>
      <c r="AR76" s="400"/>
      <c r="AS76" s="400"/>
      <c r="AT76" s="400"/>
      <c r="AU76" s="400"/>
      <c r="AV76" s="400"/>
      <c r="AW76" s="400"/>
      <c r="AX76" s="400"/>
      <c r="AY76" s="400"/>
      <c r="AZ76" s="400"/>
      <c r="BA76" s="400"/>
      <c r="BB76" s="400"/>
      <c r="BC76" s="400"/>
    </row>
    <row r="77" s="366" customFormat="1" spans="1:55">
      <c r="A77" s="395">
        <v>42807</v>
      </c>
      <c r="B77" s="443" t="s">
        <v>35</v>
      </c>
      <c r="C77" s="377"/>
      <c r="D77" s="329"/>
      <c r="E77" s="329"/>
      <c r="F77" s="378"/>
      <c r="G77" s="329"/>
      <c r="H77" s="376"/>
      <c r="I77" s="376"/>
      <c r="J77" s="399">
        <f t="shared" si="34"/>
        <v>0</v>
      </c>
      <c r="K77" s="329"/>
      <c r="L77" s="329"/>
      <c r="M77" s="401">
        <f t="shared" si="36"/>
        <v>0</v>
      </c>
      <c r="N77" s="396">
        <f t="shared" si="32"/>
        <v>0</v>
      </c>
      <c r="O77" s="402">
        <f t="shared" si="32"/>
        <v>0</v>
      </c>
      <c r="P77" s="398">
        <f t="shared" si="33"/>
        <v>0</v>
      </c>
      <c r="Q77" s="414">
        <f t="shared" si="31"/>
        <v>2560431.72</v>
      </c>
      <c r="R77" s="402">
        <f t="shared" si="31"/>
        <v>1746719</v>
      </c>
      <c r="S77" s="415">
        <f t="shared" si="31"/>
        <v>4542546.96</v>
      </c>
      <c r="T77" s="416">
        <f>N77/'2018'!N77-1</f>
        <v>-1</v>
      </c>
      <c r="U77" s="417">
        <f>O77/'2018'!O77-1</f>
        <v>-1</v>
      </c>
      <c r="V77" s="417">
        <f>P77/'2018'!P77-1</f>
        <v>-1</v>
      </c>
      <c r="W77" s="417">
        <f>Q77/'2018'!Q77-1</f>
        <v>-0.389048406003754</v>
      </c>
      <c r="X77" s="417">
        <f>R77/'2018'!R77-1</f>
        <v>-0.219179098706365</v>
      </c>
      <c r="Y77" s="424">
        <f>S77/'2018'!S77-1</f>
        <v>-0.305104157063824</v>
      </c>
      <c r="Z77" s="425"/>
      <c r="AA77" s="426">
        <f t="shared" si="35"/>
        <v>256.043172</v>
      </c>
      <c r="AB77" s="427"/>
      <c r="AC77" s="401"/>
      <c r="AD77" s="427">
        <f t="shared" si="37"/>
        <v>2795827.96</v>
      </c>
      <c r="AE77" s="329">
        <f t="shared" si="38"/>
        <v>27846.65</v>
      </c>
      <c r="AF77" s="329">
        <f t="shared" si="38"/>
        <v>175538.2</v>
      </c>
      <c r="AG77" s="401">
        <f t="shared" si="39"/>
        <v>32011.3900000002</v>
      </c>
      <c r="AH77" s="439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</row>
    <row r="78" s="366" customFormat="1" spans="1:55">
      <c r="A78" s="395">
        <v>42808</v>
      </c>
      <c r="B78" s="191" t="s">
        <v>36</v>
      </c>
      <c r="C78" s="377"/>
      <c r="D78" s="329"/>
      <c r="E78" s="329"/>
      <c r="F78" s="378"/>
      <c r="G78" s="329"/>
      <c r="H78" s="376"/>
      <c r="I78" s="376"/>
      <c r="J78" s="399">
        <f t="shared" si="34"/>
        <v>0</v>
      </c>
      <c r="K78" s="329"/>
      <c r="L78" s="329"/>
      <c r="M78" s="401">
        <f t="shared" si="36"/>
        <v>0</v>
      </c>
      <c r="N78" s="396">
        <f t="shared" si="32"/>
        <v>0</v>
      </c>
      <c r="O78" s="402">
        <f t="shared" si="32"/>
        <v>0</v>
      </c>
      <c r="P78" s="398">
        <f t="shared" si="33"/>
        <v>0</v>
      </c>
      <c r="Q78" s="414">
        <f t="shared" si="31"/>
        <v>2560431.72</v>
      </c>
      <c r="R78" s="402">
        <f t="shared" si="31"/>
        <v>1746719</v>
      </c>
      <c r="S78" s="415">
        <f t="shared" si="31"/>
        <v>4542546.96</v>
      </c>
      <c r="T78" s="416">
        <f>N78/'2018'!N78-1</f>
        <v>-1</v>
      </c>
      <c r="U78" s="417">
        <f>O78/'2018'!O78-1</f>
        <v>-1</v>
      </c>
      <c r="V78" s="417">
        <f>P78/'2018'!P78-1</f>
        <v>-1</v>
      </c>
      <c r="W78" s="417">
        <f>Q78/'2018'!Q78-1</f>
        <v>-0.398285982312168</v>
      </c>
      <c r="X78" s="417">
        <f>R78/'2018'!R78-1</f>
        <v>-0.22968377555363</v>
      </c>
      <c r="Y78" s="424">
        <f>S78/'2018'!S78-1</f>
        <v>-0.315169368427619</v>
      </c>
      <c r="Z78" s="425"/>
      <c r="AA78" s="426">
        <f t="shared" si="35"/>
        <v>256.043172</v>
      </c>
      <c r="AB78" s="427"/>
      <c r="AC78" s="401"/>
      <c r="AD78" s="427">
        <f t="shared" si="37"/>
        <v>2795827.96</v>
      </c>
      <c r="AE78" s="329">
        <f t="shared" si="38"/>
        <v>27846.65</v>
      </c>
      <c r="AF78" s="329">
        <f t="shared" si="38"/>
        <v>175538.2</v>
      </c>
      <c r="AG78" s="401">
        <f t="shared" si="39"/>
        <v>32011.3900000002</v>
      </c>
      <c r="AH78" s="439"/>
      <c r="AI78" s="400"/>
      <c r="AJ78" s="400"/>
      <c r="AK78" s="400"/>
      <c r="AL78" s="400"/>
      <c r="AM78" s="400"/>
      <c r="AN78" s="400"/>
      <c r="AO78" s="400"/>
      <c r="AP78" s="400"/>
      <c r="AQ78" s="400"/>
      <c r="AR78" s="400"/>
      <c r="AS78" s="400"/>
      <c r="AT78" s="400"/>
      <c r="AU78" s="400"/>
      <c r="AV78" s="400"/>
      <c r="AW78" s="400"/>
      <c r="AX78" s="400"/>
      <c r="AY78" s="400"/>
      <c r="AZ78" s="400"/>
      <c r="BA78" s="400"/>
      <c r="BB78" s="400"/>
      <c r="BC78" s="400"/>
    </row>
    <row r="79" s="366" customFormat="1" spans="1:55">
      <c r="A79" s="395">
        <v>42809</v>
      </c>
      <c r="B79" s="443" t="s">
        <v>37</v>
      </c>
      <c r="C79" s="377"/>
      <c r="D79" s="329"/>
      <c r="E79" s="329"/>
      <c r="F79" s="378"/>
      <c r="G79" s="329"/>
      <c r="H79" s="376"/>
      <c r="I79" s="376"/>
      <c r="J79" s="399">
        <f t="shared" si="34"/>
        <v>0</v>
      </c>
      <c r="K79" s="329"/>
      <c r="L79" s="329"/>
      <c r="M79" s="401">
        <f t="shared" si="36"/>
        <v>0</v>
      </c>
      <c r="N79" s="396">
        <f t="shared" si="32"/>
        <v>0</v>
      </c>
      <c r="O79" s="402">
        <f t="shared" si="32"/>
        <v>0</v>
      </c>
      <c r="P79" s="398">
        <f t="shared" si="33"/>
        <v>0</v>
      </c>
      <c r="Q79" s="414">
        <f t="shared" si="31"/>
        <v>2560431.72</v>
      </c>
      <c r="R79" s="402">
        <f t="shared" si="31"/>
        <v>1746719</v>
      </c>
      <c r="S79" s="415">
        <f t="shared" si="31"/>
        <v>4542546.96</v>
      </c>
      <c r="T79" s="416">
        <f>N79/'2018'!N79-1</f>
        <v>-1</v>
      </c>
      <c r="U79" s="417">
        <f>O79/'2018'!O79-1</f>
        <v>-1</v>
      </c>
      <c r="V79" s="417">
        <f>P79/'2018'!P79-1</f>
        <v>-1</v>
      </c>
      <c r="W79" s="417">
        <f>Q79/'2018'!Q79-1</f>
        <v>-0.407405318931946</v>
      </c>
      <c r="X79" s="417">
        <f>R79/'2018'!R79-1</f>
        <v>-0.240384887185315</v>
      </c>
      <c r="Y79" s="424">
        <f>S79/'2018'!S79-1</f>
        <v>-0.325160070562168</v>
      </c>
      <c r="Z79" s="425"/>
      <c r="AA79" s="426">
        <f t="shared" si="35"/>
        <v>256.043172</v>
      </c>
      <c r="AB79" s="427"/>
      <c r="AC79" s="401"/>
      <c r="AD79" s="427">
        <f t="shared" si="37"/>
        <v>2795827.96</v>
      </c>
      <c r="AE79" s="329">
        <f t="shared" si="38"/>
        <v>27846.65</v>
      </c>
      <c r="AF79" s="329">
        <f t="shared" si="38"/>
        <v>175538.2</v>
      </c>
      <c r="AG79" s="401">
        <f t="shared" si="39"/>
        <v>32011.3900000002</v>
      </c>
      <c r="AH79" s="439"/>
      <c r="AI79" s="400"/>
      <c r="AJ79" s="400"/>
      <c r="AK79" s="400"/>
      <c r="AL79" s="400"/>
      <c r="AM79" s="400"/>
      <c r="AN79" s="400"/>
      <c r="AO79" s="400"/>
      <c r="AP79" s="400"/>
      <c r="AQ79" s="400"/>
      <c r="AR79" s="400"/>
      <c r="AS79" s="400"/>
      <c r="AT79" s="400"/>
      <c r="AU79" s="400"/>
      <c r="AV79" s="400"/>
      <c r="AW79" s="400"/>
      <c r="AX79" s="400"/>
      <c r="AY79" s="400"/>
      <c r="AZ79" s="400"/>
      <c r="BA79" s="400"/>
      <c r="BB79" s="400"/>
      <c r="BC79" s="400"/>
    </row>
    <row r="80" s="366" customFormat="1" spans="1:55">
      <c r="A80" s="395">
        <v>42810</v>
      </c>
      <c r="B80" s="443" t="s">
        <v>38</v>
      </c>
      <c r="C80" s="377"/>
      <c r="D80" s="329"/>
      <c r="E80" s="329"/>
      <c r="F80" s="378"/>
      <c r="G80" s="329"/>
      <c r="H80" s="376"/>
      <c r="I80" s="376"/>
      <c r="J80" s="399">
        <f t="shared" si="34"/>
        <v>0</v>
      </c>
      <c r="K80" s="329"/>
      <c r="L80" s="329"/>
      <c r="M80" s="401">
        <f t="shared" si="36"/>
        <v>0</v>
      </c>
      <c r="N80" s="396">
        <f t="shared" si="32"/>
        <v>0</v>
      </c>
      <c r="O80" s="402">
        <f t="shared" si="32"/>
        <v>0</v>
      </c>
      <c r="P80" s="398">
        <f t="shared" si="33"/>
        <v>0</v>
      </c>
      <c r="Q80" s="414">
        <f t="shared" si="31"/>
        <v>2560431.72</v>
      </c>
      <c r="R80" s="402">
        <f t="shared" si="31"/>
        <v>1746719</v>
      </c>
      <c r="S80" s="415">
        <f t="shared" si="31"/>
        <v>4542546.96</v>
      </c>
      <c r="T80" s="416">
        <f>N80/'2018'!N80-1</f>
        <v>-1</v>
      </c>
      <c r="U80" s="417">
        <f>O80/'2018'!O80-1</f>
        <v>-1</v>
      </c>
      <c r="V80" s="417">
        <f>P80/'2018'!P80-1</f>
        <v>-1</v>
      </c>
      <c r="W80" s="417">
        <f>Q80/'2018'!Q80-1</f>
        <v>-0.416779712221573</v>
      </c>
      <c r="X80" s="417">
        <f>R80/'2018'!R80-1</f>
        <v>-0.250624972918198</v>
      </c>
      <c r="Y80" s="424">
        <f>S80/'2018'!S80-1</f>
        <v>-0.335218462084839</v>
      </c>
      <c r="Z80" s="425"/>
      <c r="AA80" s="426">
        <f t="shared" si="35"/>
        <v>256.043172</v>
      </c>
      <c r="AB80" s="427"/>
      <c r="AC80" s="401"/>
      <c r="AD80" s="427">
        <f t="shared" si="37"/>
        <v>2795827.96</v>
      </c>
      <c r="AE80" s="329">
        <f t="shared" si="38"/>
        <v>27846.65</v>
      </c>
      <c r="AF80" s="329">
        <f t="shared" si="38"/>
        <v>175538.2</v>
      </c>
      <c r="AG80" s="401">
        <f t="shared" si="39"/>
        <v>32011.3900000002</v>
      </c>
      <c r="AH80" s="439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</row>
    <row r="81" s="366" customFormat="1" spans="1:55">
      <c r="A81" s="395">
        <v>42811</v>
      </c>
      <c r="B81" s="443" t="s">
        <v>1</v>
      </c>
      <c r="C81" s="377"/>
      <c r="D81" s="329"/>
      <c r="E81" s="329"/>
      <c r="F81" s="378"/>
      <c r="G81" s="329"/>
      <c r="H81" s="376"/>
      <c r="I81" s="376"/>
      <c r="J81" s="399">
        <f t="shared" si="34"/>
        <v>0</v>
      </c>
      <c r="K81" s="329"/>
      <c r="L81" s="329"/>
      <c r="M81" s="401">
        <f t="shared" si="36"/>
        <v>0</v>
      </c>
      <c r="N81" s="396">
        <f t="shared" si="32"/>
        <v>0</v>
      </c>
      <c r="O81" s="402">
        <f t="shared" si="32"/>
        <v>0</v>
      </c>
      <c r="P81" s="398">
        <f t="shared" si="33"/>
        <v>0</v>
      </c>
      <c r="Q81" s="414">
        <f t="shared" si="31"/>
        <v>2560431.72</v>
      </c>
      <c r="R81" s="402">
        <f t="shared" si="31"/>
        <v>1746719</v>
      </c>
      <c r="S81" s="415">
        <f t="shared" si="31"/>
        <v>4542546.96</v>
      </c>
      <c r="T81" s="416">
        <f>N81/'2018'!N81-1</f>
        <v>-1</v>
      </c>
      <c r="U81" s="417">
        <f>O81/'2018'!O81-1</f>
        <v>-1</v>
      </c>
      <c r="V81" s="417">
        <f>P81/'2018'!P81-1</f>
        <v>-1</v>
      </c>
      <c r="W81" s="417">
        <f>Q81/'2018'!Q81-1</f>
        <v>-0.425234862526229</v>
      </c>
      <c r="X81" s="417">
        <f>R81/'2018'!R81-1</f>
        <v>-0.261419604831862</v>
      </c>
      <c r="Y81" s="424">
        <f>S81/'2018'!S81-1</f>
        <v>-0.344785752254779</v>
      </c>
      <c r="Z81" s="425"/>
      <c r="AA81" s="426">
        <f t="shared" si="35"/>
        <v>256.043172</v>
      </c>
      <c r="AB81" s="427"/>
      <c r="AC81" s="401"/>
      <c r="AD81" s="427">
        <f t="shared" si="37"/>
        <v>2795827.96</v>
      </c>
      <c r="AE81" s="329">
        <f>AE80+K82</f>
        <v>27846.65</v>
      </c>
      <c r="AF81" s="329">
        <f t="shared" si="38"/>
        <v>175538.2</v>
      </c>
      <c r="AG81" s="401">
        <f t="shared" si="39"/>
        <v>32011.3900000002</v>
      </c>
      <c r="AH81" s="439"/>
      <c r="AI81" s="400"/>
      <c r="AJ81" s="400"/>
      <c r="AK81" s="400"/>
      <c r="AL81" s="400"/>
      <c r="AM81" s="400"/>
      <c r="AN81" s="400"/>
      <c r="AO81" s="400"/>
      <c r="AP81" s="400"/>
      <c r="AQ81" s="400"/>
      <c r="AR81" s="400"/>
      <c r="AS81" s="400"/>
      <c r="AT81" s="400"/>
      <c r="AU81" s="400"/>
      <c r="AV81" s="400"/>
      <c r="AW81" s="400"/>
      <c r="AX81" s="400"/>
      <c r="AY81" s="400"/>
      <c r="AZ81" s="400"/>
      <c r="BA81" s="400"/>
      <c r="BB81" s="400"/>
      <c r="BC81" s="400"/>
    </row>
    <row r="82" s="366" customFormat="1" spans="1:55">
      <c r="A82" s="395">
        <v>42812</v>
      </c>
      <c r="B82" s="443" t="s">
        <v>39</v>
      </c>
      <c r="C82" s="377"/>
      <c r="D82" s="329"/>
      <c r="E82" s="329"/>
      <c r="F82" s="378"/>
      <c r="G82" s="329"/>
      <c r="H82" s="376"/>
      <c r="I82" s="376"/>
      <c r="J82" s="399">
        <f t="shared" si="34"/>
        <v>0</v>
      </c>
      <c r="K82" s="329"/>
      <c r="L82" s="329"/>
      <c r="M82" s="401">
        <f t="shared" si="36"/>
        <v>0</v>
      </c>
      <c r="N82" s="396">
        <f t="shared" ref="N82:O95" si="40">N81+C82</f>
        <v>0</v>
      </c>
      <c r="O82" s="402">
        <f t="shared" si="40"/>
        <v>0</v>
      </c>
      <c r="P82" s="398">
        <f t="shared" si="33"/>
        <v>0</v>
      </c>
      <c r="Q82" s="414">
        <f t="shared" si="31"/>
        <v>2560431.72</v>
      </c>
      <c r="R82" s="402">
        <f t="shared" si="31"/>
        <v>1746719</v>
      </c>
      <c r="S82" s="415">
        <f t="shared" si="31"/>
        <v>4542546.96</v>
      </c>
      <c r="T82" s="416">
        <f>N82/'2018'!N82-1</f>
        <v>-1</v>
      </c>
      <c r="U82" s="417">
        <f>O82/'2018'!O82-1</f>
        <v>-1</v>
      </c>
      <c r="V82" s="417">
        <f>P82/'2018'!P82-1</f>
        <v>-1</v>
      </c>
      <c r="W82" s="417">
        <f>Q82/'2018'!Q82-1</f>
        <v>-0.433067632284924</v>
      </c>
      <c r="X82" s="417">
        <f>R82/'2018'!R82-1</f>
        <v>-0.271923140729428</v>
      </c>
      <c r="Y82" s="424">
        <f>S82/'2018'!S82-1</f>
        <v>-0.353765469810912</v>
      </c>
      <c r="Z82" s="425"/>
      <c r="AA82" s="426">
        <f t="shared" si="35"/>
        <v>256.043172</v>
      </c>
      <c r="AB82" s="427"/>
      <c r="AC82" s="401"/>
      <c r="AD82" s="427">
        <f t="shared" si="37"/>
        <v>2795827.96</v>
      </c>
      <c r="AE82" s="329">
        <f>AE81+K83</f>
        <v>27846.65</v>
      </c>
      <c r="AF82" s="329">
        <f t="shared" si="38"/>
        <v>175538.2</v>
      </c>
      <c r="AG82" s="401">
        <f t="shared" si="39"/>
        <v>32011.3900000002</v>
      </c>
      <c r="AH82" s="439"/>
      <c r="AI82" s="400"/>
      <c r="AJ82" s="400"/>
      <c r="AK82" s="400"/>
      <c r="AL82" s="400"/>
      <c r="AM82" s="400"/>
      <c r="AN82" s="400"/>
      <c r="AO82" s="400"/>
      <c r="AP82" s="400"/>
      <c r="AQ82" s="400"/>
      <c r="AR82" s="400"/>
      <c r="AS82" s="400"/>
      <c r="AT82" s="400"/>
      <c r="AU82" s="400"/>
      <c r="AV82" s="400"/>
      <c r="AW82" s="400"/>
      <c r="AX82" s="400"/>
      <c r="AY82" s="400"/>
      <c r="AZ82" s="400"/>
      <c r="BA82" s="400"/>
      <c r="BB82" s="400"/>
      <c r="BC82" s="400"/>
    </row>
    <row r="83" s="366" customFormat="1" spans="1:55">
      <c r="A83" s="395">
        <v>42813</v>
      </c>
      <c r="B83" s="443" t="s">
        <v>34</v>
      </c>
      <c r="C83" s="377"/>
      <c r="D83" s="329"/>
      <c r="E83" s="329"/>
      <c r="F83" s="378"/>
      <c r="G83" s="329"/>
      <c r="H83" s="376"/>
      <c r="I83" s="376"/>
      <c r="J83" s="399">
        <f t="shared" si="34"/>
        <v>0</v>
      </c>
      <c r="K83" s="329"/>
      <c r="L83" s="329"/>
      <c r="M83" s="401">
        <f t="shared" si="36"/>
        <v>0</v>
      </c>
      <c r="N83" s="396">
        <f t="shared" si="40"/>
        <v>0</v>
      </c>
      <c r="O83" s="402">
        <f t="shared" si="40"/>
        <v>0</v>
      </c>
      <c r="P83" s="398">
        <f t="shared" si="33"/>
        <v>0</v>
      </c>
      <c r="Q83" s="414">
        <f t="shared" si="31"/>
        <v>2560431.72</v>
      </c>
      <c r="R83" s="402">
        <f t="shared" si="31"/>
        <v>1746719</v>
      </c>
      <c r="S83" s="415">
        <f t="shared" si="31"/>
        <v>4542546.96</v>
      </c>
      <c r="T83" s="416">
        <f>N83/'2018'!N83-1</f>
        <v>-1</v>
      </c>
      <c r="U83" s="417">
        <f>O83/'2018'!O83-1</f>
        <v>-1</v>
      </c>
      <c r="V83" s="417">
        <f>P83/'2018'!P83-1</f>
        <v>-1</v>
      </c>
      <c r="W83" s="417">
        <f>Q83/'2018'!Q83-1</f>
        <v>-0.441448578751404</v>
      </c>
      <c r="X83" s="417">
        <f>R83/'2018'!R83-1</f>
        <v>-0.281919929619299</v>
      </c>
      <c r="Y83" s="424">
        <f>S83/'2018'!S83-1</f>
        <v>-0.363025684472588</v>
      </c>
      <c r="Z83" s="425"/>
      <c r="AA83" s="426">
        <f t="shared" si="35"/>
        <v>256.043172</v>
      </c>
      <c r="AB83" s="427"/>
      <c r="AC83" s="401"/>
      <c r="AD83" s="427">
        <f t="shared" si="37"/>
        <v>2795827.96</v>
      </c>
      <c r="AE83" s="329">
        <f>AE82+K84</f>
        <v>27846.65</v>
      </c>
      <c r="AF83" s="329">
        <f t="shared" si="38"/>
        <v>175538.2</v>
      </c>
      <c r="AG83" s="401">
        <f t="shared" si="39"/>
        <v>32011.3900000002</v>
      </c>
      <c r="AH83" s="439"/>
      <c r="AI83" s="400"/>
      <c r="AJ83" s="400"/>
      <c r="AK83" s="400"/>
      <c r="AL83" s="400"/>
      <c r="AM83" s="400"/>
      <c r="AN83" s="400"/>
      <c r="AO83" s="400"/>
      <c r="AP83" s="400"/>
      <c r="AQ83" s="400"/>
      <c r="AR83" s="400"/>
      <c r="AS83" s="400"/>
      <c r="AT83" s="400"/>
      <c r="AU83" s="400"/>
      <c r="AV83" s="400"/>
      <c r="AW83" s="400"/>
      <c r="AX83" s="400"/>
      <c r="AY83" s="400"/>
      <c r="AZ83" s="400"/>
      <c r="BA83" s="400"/>
      <c r="BB83" s="400"/>
      <c r="BC83" s="400"/>
    </row>
    <row r="84" s="366" customFormat="1" spans="1:55">
      <c r="A84" s="395">
        <v>42814</v>
      </c>
      <c r="B84" s="443" t="s">
        <v>35</v>
      </c>
      <c r="C84" s="377"/>
      <c r="D84" s="329"/>
      <c r="E84" s="329"/>
      <c r="F84" s="378"/>
      <c r="G84" s="329"/>
      <c r="H84" s="376"/>
      <c r="I84" s="376"/>
      <c r="J84" s="399">
        <f t="shared" si="34"/>
        <v>0</v>
      </c>
      <c r="K84" s="329"/>
      <c r="L84" s="329"/>
      <c r="M84" s="401">
        <f t="shared" si="36"/>
        <v>0</v>
      </c>
      <c r="N84" s="396">
        <f t="shared" si="40"/>
        <v>0</v>
      </c>
      <c r="O84" s="402">
        <f t="shared" si="40"/>
        <v>0</v>
      </c>
      <c r="P84" s="398">
        <f t="shared" si="33"/>
        <v>0</v>
      </c>
      <c r="Q84" s="414">
        <f t="shared" si="31"/>
        <v>2560431.72</v>
      </c>
      <c r="R84" s="402">
        <f t="shared" si="31"/>
        <v>1746719</v>
      </c>
      <c r="S84" s="415">
        <f t="shared" si="31"/>
        <v>4542546.96</v>
      </c>
      <c r="T84" s="416">
        <f>N84/'2018'!N84-1</f>
        <v>-1</v>
      </c>
      <c r="U84" s="417">
        <f>O84/'2018'!O84-1</f>
        <v>-1</v>
      </c>
      <c r="V84" s="417">
        <f>P84/'2018'!P84-1</f>
        <v>-1</v>
      </c>
      <c r="W84" s="417">
        <f>Q84/'2018'!Q84-1</f>
        <v>-0.449787955882068</v>
      </c>
      <c r="X84" s="417">
        <f>R84/'2018'!R84-1</f>
        <v>-0.291848378469214</v>
      </c>
      <c r="Y84" s="424">
        <f>S84/'2018'!S84-1</f>
        <v>-0.372247204099141</v>
      </c>
      <c r="Z84" s="425"/>
      <c r="AA84" s="426">
        <f t="shared" si="35"/>
        <v>256.043172</v>
      </c>
      <c r="AB84" s="427"/>
      <c r="AC84" s="401"/>
      <c r="AD84" s="427">
        <f t="shared" si="37"/>
        <v>2795827.96</v>
      </c>
      <c r="AE84" s="329">
        <f>AE83+K85</f>
        <v>27846.65</v>
      </c>
      <c r="AF84" s="329">
        <f t="shared" si="38"/>
        <v>175538.2</v>
      </c>
      <c r="AG84" s="401">
        <f t="shared" si="39"/>
        <v>32011.3900000002</v>
      </c>
      <c r="AH84" s="439"/>
      <c r="AI84" s="400"/>
      <c r="AJ84" s="400"/>
      <c r="AK84" s="400"/>
      <c r="AL84" s="400"/>
      <c r="AM84" s="400"/>
      <c r="AN84" s="400"/>
      <c r="AO84" s="400"/>
      <c r="AP84" s="400"/>
      <c r="AQ84" s="400"/>
      <c r="AR84" s="400"/>
      <c r="AS84" s="400"/>
      <c r="AT84" s="400"/>
      <c r="AU84" s="400"/>
      <c r="AV84" s="400"/>
      <c r="AW84" s="400"/>
      <c r="AX84" s="400"/>
      <c r="AY84" s="400"/>
      <c r="AZ84" s="400"/>
      <c r="BA84" s="400"/>
      <c r="BB84" s="400"/>
      <c r="BC84" s="400"/>
    </row>
    <row r="85" s="366" customFormat="1" spans="1:55">
      <c r="A85" s="395">
        <v>42815</v>
      </c>
      <c r="B85" s="191" t="s">
        <v>36</v>
      </c>
      <c r="C85" s="377"/>
      <c r="D85" s="329"/>
      <c r="E85" s="329"/>
      <c r="F85" s="378"/>
      <c r="G85" s="329"/>
      <c r="H85" s="376"/>
      <c r="I85" s="376"/>
      <c r="J85" s="399">
        <f t="shared" si="34"/>
        <v>0</v>
      </c>
      <c r="K85" s="329"/>
      <c r="L85" s="329"/>
      <c r="M85" s="401">
        <f t="shared" si="36"/>
        <v>0</v>
      </c>
      <c r="N85" s="396">
        <f t="shared" si="40"/>
        <v>0</v>
      </c>
      <c r="O85" s="402">
        <f t="shared" si="40"/>
        <v>0</v>
      </c>
      <c r="P85" s="398">
        <f t="shared" si="33"/>
        <v>0</v>
      </c>
      <c r="Q85" s="414">
        <f t="shared" si="31"/>
        <v>2560431.72</v>
      </c>
      <c r="R85" s="402">
        <f t="shared" si="31"/>
        <v>1746719</v>
      </c>
      <c r="S85" s="415">
        <f t="shared" si="31"/>
        <v>4542546.96</v>
      </c>
      <c r="T85" s="416">
        <f>N85/'2018'!N85-1</f>
        <v>-1</v>
      </c>
      <c r="U85" s="417">
        <f>O85/'2018'!O85-1</f>
        <v>-1</v>
      </c>
      <c r="V85" s="417">
        <f>P85/'2018'!P85-1</f>
        <v>-1</v>
      </c>
      <c r="W85" s="417">
        <f>Q85/'2018'!Q85-1</f>
        <v>-0.45766621480511</v>
      </c>
      <c r="X85" s="417">
        <f>R85/'2018'!R85-1</f>
        <v>-0.302175190594349</v>
      </c>
      <c r="Y85" s="424">
        <f>S85/'2018'!S85-1</f>
        <v>-0.381280544854097</v>
      </c>
      <c r="Z85" s="425"/>
      <c r="AA85" s="426">
        <f t="shared" si="35"/>
        <v>256.043172</v>
      </c>
      <c r="AB85" s="427"/>
      <c r="AC85" s="401"/>
      <c r="AD85" s="427">
        <f t="shared" si="37"/>
        <v>2795827.96</v>
      </c>
      <c r="AE85" s="329">
        <f>AE84+K86</f>
        <v>27846.65</v>
      </c>
      <c r="AF85" s="329">
        <f t="shared" si="38"/>
        <v>175538.2</v>
      </c>
      <c r="AG85" s="401">
        <f t="shared" si="39"/>
        <v>32011.3900000002</v>
      </c>
      <c r="AH85" s="439"/>
      <c r="AI85" s="400"/>
      <c r="AJ85" s="400"/>
      <c r="AK85" s="400"/>
      <c r="AL85" s="400"/>
      <c r="AM85" s="400"/>
      <c r="AN85" s="400"/>
      <c r="AO85" s="400"/>
      <c r="AP85" s="400"/>
      <c r="AQ85" s="400"/>
      <c r="AR85" s="400"/>
      <c r="AS85" s="400"/>
      <c r="AT85" s="400"/>
      <c r="AU85" s="400"/>
      <c r="AV85" s="400"/>
      <c r="AW85" s="400"/>
      <c r="AX85" s="400"/>
      <c r="AY85" s="400"/>
      <c r="AZ85" s="400"/>
      <c r="BA85" s="400"/>
      <c r="BB85" s="400"/>
      <c r="BC85" s="400"/>
    </row>
    <row r="86" s="366" customFormat="1" spans="1:55">
      <c r="A86" s="395">
        <v>42816</v>
      </c>
      <c r="B86" s="443" t="s">
        <v>37</v>
      </c>
      <c r="C86" s="377"/>
      <c r="D86" s="329"/>
      <c r="E86" s="329"/>
      <c r="F86" s="378"/>
      <c r="G86" s="329"/>
      <c r="H86" s="376"/>
      <c r="I86" s="376"/>
      <c r="J86" s="399">
        <f t="shared" si="34"/>
        <v>0</v>
      </c>
      <c r="K86" s="329"/>
      <c r="L86" s="329"/>
      <c r="M86" s="401">
        <f t="shared" si="36"/>
        <v>0</v>
      </c>
      <c r="N86" s="396">
        <f t="shared" si="40"/>
        <v>0</v>
      </c>
      <c r="O86" s="402">
        <f t="shared" si="40"/>
        <v>0</v>
      </c>
      <c r="P86" s="398">
        <f t="shared" si="33"/>
        <v>0</v>
      </c>
      <c r="Q86" s="414">
        <f t="shared" si="31"/>
        <v>2560431.72</v>
      </c>
      <c r="R86" s="402">
        <f t="shared" si="31"/>
        <v>1746719</v>
      </c>
      <c r="S86" s="415">
        <f t="shared" si="31"/>
        <v>4542546.96</v>
      </c>
      <c r="T86" s="416">
        <f>N86/'2018'!N86-1</f>
        <v>-1</v>
      </c>
      <c r="U86" s="417">
        <f>O86/'2018'!O86-1</f>
        <v>-1</v>
      </c>
      <c r="V86" s="417">
        <f>P86/'2018'!P86-1</f>
        <v>-1</v>
      </c>
      <c r="W86" s="417">
        <f>Q86/'2018'!Q86-1</f>
        <v>-0.46521841319336</v>
      </c>
      <c r="X86" s="417">
        <f>R86/'2018'!R86-1</f>
        <v>-0.311574076811054</v>
      </c>
      <c r="Y86" s="424">
        <f>S86/'2018'!S86-1</f>
        <v>-0.389807864565779</v>
      </c>
      <c r="Z86" s="425"/>
      <c r="AA86" s="426">
        <f t="shared" si="35"/>
        <v>256.043172</v>
      </c>
      <c r="AB86" s="427"/>
      <c r="AC86" s="401"/>
      <c r="AD86" s="427">
        <f t="shared" si="37"/>
        <v>2795827.96</v>
      </c>
      <c r="AE86" s="329">
        <f t="shared" si="38"/>
        <v>27846.65</v>
      </c>
      <c r="AF86" s="329">
        <f t="shared" si="38"/>
        <v>175538.2</v>
      </c>
      <c r="AG86" s="401">
        <f t="shared" si="39"/>
        <v>32011.3900000002</v>
      </c>
      <c r="AH86" s="439"/>
      <c r="AI86" s="400"/>
      <c r="AJ86" s="400"/>
      <c r="AK86" s="400"/>
      <c r="AL86" s="400"/>
      <c r="AM86" s="400"/>
      <c r="AN86" s="400"/>
      <c r="AO86" s="400"/>
      <c r="AP86" s="400"/>
      <c r="AQ86" s="400"/>
      <c r="AR86" s="400"/>
      <c r="AS86" s="400"/>
      <c r="AT86" s="400"/>
      <c r="AU86" s="400"/>
      <c r="AV86" s="400"/>
      <c r="AW86" s="400"/>
      <c r="AX86" s="400"/>
      <c r="AY86" s="400"/>
      <c r="AZ86" s="400"/>
      <c r="BA86" s="400"/>
      <c r="BB86" s="400"/>
      <c r="BC86" s="400"/>
    </row>
    <row r="87" s="366" customFormat="1" spans="1:55">
      <c r="A87" s="395">
        <v>42817</v>
      </c>
      <c r="B87" s="443" t="s">
        <v>38</v>
      </c>
      <c r="C87" s="377"/>
      <c r="D87" s="329"/>
      <c r="E87" s="329"/>
      <c r="F87" s="378"/>
      <c r="G87" s="329"/>
      <c r="H87" s="376"/>
      <c r="I87" s="376"/>
      <c r="J87" s="399">
        <f t="shared" si="34"/>
        <v>0</v>
      </c>
      <c r="K87" s="329"/>
      <c r="L87" s="329"/>
      <c r="M87" s="401">
        <f t="shared" si="36"/>
        <v>0</v>
      </c>
      <c r="N87" s="396">
        <f t="shared" si="40"/>
        <v>0</v>
      </c>
      <c r="O87" s="402">
        <f t="shared" si="40"/>
        <v>0</v>
      </c>
      <c r="P87" s="398">
        <f t="shared" si="33"/>
        <v>0</v>
      </c>
      <c r="Q87" s="414">
        <f t="shared" si="31"/>
        <v>2560431.72</v>
      </c>
      <c r="R87" s="402">
        <f t="shared" si="31"/>
        <v>1746719</v>
      </c>
      <c r="S87" s="415">
        <f t="shared" si="31"/>
        <v>4542546.96</v>
      </c>
      <c r="T87" s="416">
        <f>N87/'2018'!N87-1</f>
        <v>-1</v>
      </c>
      <c r="U87" s="417">
        <f>O87/'2018'!O87-1</f>
        <v>-1</v>
      </c>
      <c r="V87" s="417">
        <f>P87/'2018'!P87-1</f>
        <v>-1</v>
      </c>
      <c r="W87" s="417">
        <f>Q87/'2018'!Q87-1</f>
        <v>-0.472553170087362</v>
      </c>
      <c r="X87" s="417">
        <f>R87/'2018'!R87-1</f>
        <v>-0.320405207926432</v>
      </c>
      <c r="Y87" s="424">
        <f>S87/'2018'!S87-1</f>
        <v>-0.398017184121218</v>
      </c>
      <c r="Z87" s="425"/>
      <c r="AA87" s="426">
        <f t="shared" si="35"/>
        <v>256.043172</v>
      </c>
      <c r="AB87" s="427"/>
      <c r="AC87" s="401"/>
      <c r="AD87" s="427">
        <f t="shared" si="37"/>
        <v>2795827.96</v>
      </c>
      <c r="AE87" s="329">
        <f t="shared" ref="AE87:AF102" si="41">AE86+K87</f>
        <v>27846.65</v>
      </c>
      <c r="AF87" s="329">
        <f t="shared" si="41"/>
        <v>175538.2</v>
      </c>
      <c r="AG87" s="401">
        <f t="shared" si="39"/>
        <v>32011.3900000002</v>
      </c>
      <c r="AH87" s="439"/>
      <c r="AI87" s="400"/>
      <c r="AJ87" s="400"/>
      <c r="AK87" s="400"/>
      <c r="AL87" s="400"/>
      <c r="AM87" s="400"/>
      <c r="AN87" s="400"/>
      <c r="AO87" s="400"/>
      <c r="AP87" s="400"/>
      <c r="AQ87" s="400"/>
      <c r="AR87" s="400"/>
      <c r="AS87" s="400"/>
      <c r="AT87" s="400"/>
      <c r="AU87" s="400"/>
      <c r="AV87" s="400"/>
      <c r="AW87" s="400"/>
      <c r="AX87" s="400"/>
      <c r="AY87" s="400"/>
      <c r="AZ87" s="400"/>
      <c r="BA87" s="400"/>
      <c r="BB87" s="400"/>
      <c r="BC87" s="400"/>
    </row>
    <row r="88" s="366" customFormat="1" spans="1:55">
      <c r="A88" s="395">
        <v>42818</v>
      </c>
      <c r="B88" s="443" t="s">
        <v>1</v>
      </c>
      <c r="C88" s="377"/>
      <c r="D88" s="329"/>
      <c r="E88" s="329"/>
      <c r="F88" s="378"/>
      <c r="G88" s="329"/>
      <c r="H88" s="376"/>
      <c r="I88" s="376"/>
      <c r="J88" s="399">
        <f t="shared" si="34"/>
        <v>0</v>
      </c>
      <c r="K88" s="329"/>
      <c r="L88" s="329"/>
      <c r="M88" s="401">
        <f t="shared" si="36"/>
        <v>0</v>
      </c>
      <c r="N88" s="396">
        <f t="shared" si="40"/>
        <v>0</v>
      </c>
      <c r="O88" s="402">
        <f t="shared" si="40"/>
        <v>0</v>
      </c>
      <c r="P88" s="398">
        <f t="shared" si="33"/>
        <v>0</v>
      </c>
      <c r="Q88" s="414">
        <f t="shared" si="31"/>
        <v>2560431.72</v>
      </c>
      <c r="R88" s="402">
        <f t="shared" si="31"/>
        <v>1746719</v>
      </c>
      <c r="S88" s="415">
        <f t="shared" si="31"/>
        <v>4542546.96</v>
      </c>
      <c r="T88" s="416">
        <f>N88/'2018'!N88-1</f>
        <v>-1</v>
      </c>
      <c r="U88" s="417">
        <f>O88/'2018'!O88-1</f>
        <v>-1</v>
      </c>
      <c r="V88" s="417">
        <f>P88/'2018'!P88-1</f>
        <v>-1</v>
      </c>
      <c r="W88" s="417">
        <f>Q88/'2018'!Q88-1</f>
        <v>-0.479506890725834</v>
      </c>
      <c r="X88" s="417">
        <f>R88/'2018'!R88-1</f>
        <v>-0.32907835797104</v>
      </c>
      <c r="Y88" s="424">
        <f>S88/'2018'!S88-1</f>
        <v>-0.40586163228504</v>
      </c>
      <c r="Z88" s="425"/>
      <c r="AA88" s="426">
        <f t="shared" si="35"/>
        <v>256.043172</v>
      </c>
      <c r="AB88" s="427"/>
      <c r="AC88" s="401"/>
      <c r="AD88" s="427">
        <f t="shared" si="37"/>
        <v>2795827.96</v>
      </c>
      <c r="AE88" s="329">
        <f t="shared" si="41"/>
        <v>27846.65</v>
      </c>
      <c r="AF88" s="329">
        <f t="shared" si="41"/>
        <v>175538.2</v>
      </c>
      <c r="AG88" s="401">
        <f t="shared" si="39"/>
        <v>32011.3900000002</v>
      </c>
      <c r="AH88" s="439"/>
      <c r="AI88" s="400"/>
      <c r="AJ88" s="400"/>
      <c r="AK88" s="400"/>
      <c r="AL88" s="400"/>
      <c r="AM88" s="400"/>
      <c r="AN88" s="400"/>
      <c r="AO88" s="400"/>
      <c r="AP88" s="400"/>
      <c r="AQ88" s="400"/>
      <c r="AR88" s="400"/>
      <c r="AS88" s="400"/>
      <c r="AT88" s="400"/>
      <c r="AU88" s="400"/>
      <c r="AV88" s="400"/>
      <c r="AW88" s="400"/>
      <c r="AX88" s="400"/>
      <c r="AY88" s="400"/>
      <c r="AZ88" s="400"/>
      <c r="BA88" s="400"/>
      <c r="BB88" s="400"/>
      <c r="BC88" s="400"/>
    </row>
    <row r="89" s="366" customFormat="1" spans="1:55">
      <c r="A89" s="395">
        <v>42819</v>
      </c>
      <c r="B89" s="443" t="s">
        <v>39</v>
      </c>
      <c r="C89" s="377"/>
      <c r="D89" s="329"/>
      <c r="E89" s="329"/>
      <c r="F89" s="378"/>
      <c r="G89" s="329"/>
      <c r="H89" s="376"/>
      <c r="I89" s="376"/>
      <c r="J89" s="399">
        <f t="shared" si="34"/>
        <v>0</v>
      </c>
      <c r="K89" s="329"/>
      <c r="L89" s="329"/>
      <c r="M89" s="401">
        <f t="shared" si="36"/>
        <v>0</v>
      </c>
      <c r="N89" s="396">
        <f t="shared" si="40"/>
        <v>0</v>
      </c>
      <c r="O89" s="402">
        <f t="shared" si="40"/>
        <v>0</v>
      </c>
      <c r="P89" s="398">
        <f t="shared" si="33"/>
        <v>0</v>
      </c>
      <c r="Q89" s="414">
        <f t="shared" si="31"/>
        <v>2560431.72</v>
      </c>
      <c r="R89" s="402">
        <f t="shared" si="31"/>
        <v>1746719</v>
      </c>
      <c r="S89" s="415">
        <f t="shared" si="31"/>
        <v>4542546.96</v>
      </c>
      <c r="T89" s="416">
        <f>N89/'2018'!N89-1</f>
        <v>-1</v>
      </c>
      <c r="U89" s="417">
        <f>O89/'2018'!O89-1</f>
        <v>-1</v>
      </c>
      <c r="V89" s="417">
        <f>P89/'2018'!P89-1</f>
        <v>-1</v>
      </c>
      <c r="W89" s="417">
        <f>Q89/'2018'!Q89-1</f>
        <v>-0.486111995489466</v>
      </c>
      <c r="X89" s="417">
        <f>R89/'2018'!R89-1</f>
        <v>-0.337289118183356</v>
      </c>
      <c r="Y89" s="424">
        <f>S89/'2018'!S89-1</f>
        <v>-0.413248968952824</v>
      </c>
      <c r="Z89" s="425"/>
      <c r="AA89" s="426">
        <f t="shared" si="35"/>
        <v>256.043172</v>
      </c>
      <c r="AB89" s="427"/>
      <c r="AC89" s="401"/>
      <c r="AD89" s="427">
        <f t="shared" si="37"/>
        <v>2795827.96</v>
      </c>
      <c r="AE89" s="329">
        <f t="shared" si="41"/>
        <v>27846.65</v>
      </c>
      <c r="AF89" s="329">
        <f t="shared" si="41"/>
        <v>175538.2</v>
      </c>
      <c r="AG89" s="401">
        <f t="shared" si="39"/>
        <v>32011.3900000002</v>
      </c>
      <c r="AH89" s="439"/>
      <c r="AI89" s="400"/>
      <c r="AJ89" s="400"/>
      <c r="AK89" s="400"/>
      <c r="AL89" s="400"/>
      <c r="AM89" s="400"/>
      <c r="AN89" s="400"/>
      <c r="AO89" s="400"/>
      <c r="AP89" s="400"/>
      <c r="AQ89" s="400"/>
      <c r="AR89" s="400"/>
      <c r="AS89" s="400"/>
      <c r="AT89" s="400"/>
      <c r="AU89" s="400"/>
      <c r="AV89" s="400"/>
      <c r="AW89" s="400"/>
      <c r="AX89" s="400"/>
      <c r="AY89" s="400"/>
      <c r="AZ89" s="400"/>
      <c r="BA89" s="400"/>
      <c r="BB89" s="400"/>
      <c r="BC89" s="400"/>
    </row>
    <row r="90" s="366" customFormat="1" spans="1:55">
      <c r="A90" s="395">
        <v>42820</v>
      </c>
      <c r="B90" s="443" t="s">
        <v>34</v>
      </c>
      <c r="C90" s="377"/>
      <c r="D90" s="329"/>
      <c r="E90" s="329"/>
      <c r="F90" s="378"/>
      <c r="G90" s="329"/>
      <c r="H90" s="376"/>
      <c r="I90" s="376"/>
      <c r="J90" s="399">
        <f t="shared" si="34"/>
        <v>0</v>
      </c>
      <c r="K90" s="329"/>
      <c r="L90" s="329"/>
      <c r="M90" s="401">
        <f t="shared" si="36"/>
        <v>0</v>
      </c>
      <c r="N90" s="396">
        <f t="shared" si="40"/>
        <v>0</v>
      </c>
      <c r="O90" s="402">
        <f t="shared" si="40"/>
        <v>0</v>
      </c>
      <c r="P90" s="398">
        <f t="shared" si="33"/>
        <v>0</v>
      </c>
      <c r="Q90" s="414">
        <f t="shared" si="31"/>
        <v>2560431.72</v>
      </c>
      <c r="R90" s="402">
        <f t="shared" si="31"/>
        <v>1746719</v>
      </c>
      <c r="S90" s="415">
        <f t="shared" si="31"/>
        <v>4542546.96</v>
      </c>
      <c r="T90" s="416">
        <f>N90/'2018'!N90-1</f>
        <v>-1</v>
      </c>
      <c r="U90" s="417">
        <f>O90/'2018'!O90-1</f>
        <v>-1</v>
      </c>
      <c r="V90" s="417">
        <f>P90/'2018'!P90-1</f>
        <v>-1</v>
      </c>
      <c r="W90" s="417">
        <f>Q90/'2018'!Q90-1</f>
        <v>-0.493010954284962</v>
      </c>
      <c r="X90" s="417">
        <f>R90/'2018'!R90-1</f>
        <v>-0.345347716762432</v>
      </c>
      <c r="Y90" s="424">
        <f>S90/'2018'!S90-1</f>
        <v>-0.420837684140332</v>
      </c>
      <c r="Z90" s="425"/>
      <c r="AA90" s="426">
        <f t="shared" si="35"/>
        <v>256.043172</v>
      </c>
      <c r="AB90" s="427"/>
      <c r="AC90" s="401"/>
      <c r="AD90" s="427">
        <f t="shared" si="37"/>
        <v>2795827.96</v>
      </c>
      <c r="AE90" s="329">
        <f t="shared" si="41"/>
        <v>27846.65</v>
      </c>
      <c r="AF90" s="329">
        <f t="shared" si="41"/>
        <v>175538.2</v>
      </c>
      <c r="AG90" s="401">
        <f t="shared" si="39"/>
        <v>32011.3900000002</v>
      </c>
      <c r="AH90" s="439"/>
      <c r="AI90" s="400"/>
      <c r="AJ90" s="400"/>
      <c r="AK90" s="400"/>
      <c r="AL90" s="400"/>
      <c r="AM90" s="400"/>
      <c r="AN90" s="400"/>
      <c r="AO90" s="400"/>
      <c r="AP90" s="400"/>
      <c r="AQ90" s="400"/>
      <c r="AR90" s="400"/>
      <c r="AS90" s="400"/>
      <c r="AT90" s="400"/>
      <c r="AU90" s="400"/>
      <c r="AV90" s="400"/>
      <c r="AW90" s="400"/>
      <c r="AX90" s="400"/>
      <c r="AY90" s="400"/>
      <c r="AZ90" s="400"/>
      <c r="BA90" s="400"/>
      <c r="BB90" s="400"/>
      <c r="BC90" s="400"/>
    </row>
    <row r="91" s="366" customFormat="1" spans="1:55">
      <c r="A91" s="395">
        <v>42821</v>
      </c>
      <c r="B91" s="443" t="s">
        <v>35</v>
      </c>
      <c r="C91" s="377"/>
      <c r="D91" s="329"/>
      <c r="E91" s="329"/>
      <c r="F91" s="378"/>
      <c r="G91" s="329"/>
      <c r="H91" s="376"/>
      <c r="I91" s="376"/>
      <c r="J91" s="399">
        <f t="shared" si="34"/>
        <v>0</v>
      </c>
      <c r="K91" s="329"/>
      <c r="L91" s="329"/>
      <c r="M91" s="401">
        <f t="shared" si="36"/>
        <v>0</v>
      </c>
      <c r="N91" s="396">
        <f t="shared" si="40"/>
        <v>0</v>
      </c>
      <c r="O91" s="402">
        <f t="shared" si="40"/>
        <v>0</v>
      </c>
      <c r="P91" s="398">
        <f t="shared" si="33"/>
        <v>0</v>
      </c>
      <c r="Q91" s="414">
        <f t="shared" si="31"/>
        <v>2560431.72</v>
      </c>
      <c r="R91" s="402">
        <f t="shared" si="31"/>
        <v>1746719</v>
      </c>
      <c r="S91" s="415">
        <f t="shared" si="31"/>
        <v>4542546.96</v>
      </c>
      <c r="T91" s="416">
        <f>N91/'2018'!N91-1</f>
        <v>-1</v>
      </c>
      <c r="U91" s="417">
        <f>O91/'2018'!O91-1</f>
        <v>-1</v>
      </c>
      <c r="V91" s="417">
        <f>P91/'2018'!P91-1</f>
        <v>-1</v>
      </c>
      <c r="W91" s="417">
        <f>Q91/'2018'!Q91-1</f>
        <v>-0.499838437940015</v>
      </c>
      <c r="X91" s="417">
        <f>R91/'2018'!R91-1</f>
        <v>-0.352869542408498</v>
      </c>
      <c r="Y91" s="424">
        <f>S91/'2018'!S91-1</f>
        <v>-0.428214832519839</v>
      </c>
      <c r="Z91" s="425"/>
      <c r="AA91" s="426">
        <f t="shared" si="35"/>
        <v>256.043172</v>
      </c>
      <c r="AB91" s="427"/>
      <c r="AC91" s="401"/>
      <c r="AD91" s="427">
        <f t="shared" si="37"/>
        <v>2795827.96</v>
      </c>
      <c r="AE91" s="329">
        <f t="shared" si="41"/>
        <v>27846.65</v>
      </c>
      <c r="AF91" s="329">
        <f t="shared" si="41"/>
        <v>175538.2</v>
      </c>
      <c r="AG91" s="401">
        <f t="shared" si="39"/>
        <v>32011.3900000002</v>
      </c>
      <c r="AH91" s="439"/>
      <c r="AI91" s="400"/>
      <c r="AJ91" s="400"/>
      <c r="AK91" s="400"/>
      <c r="AL91" s="400"/>
      <c r="AM91" s="400"/>
      <c r="AN91" s="400"/>
      <c r="AO91" s="400"/>
      <c r="AP91" s="400"/>
      <c r="AQ91" s="400"/>
      <c r="AR91" s="400"/>
      <c r="AS91" s="400"/>
      <c r="AT91" s="400"/>
      <c r="AU91" s="400"/>
      <c r="AV91" s="400"/>
      <c r="AW91" s="400"/>
      <c r="AX91" s="400"/>
      <c r="AY91" s="400"/>
      <c r="AZ91" s="400"/>
      <c r="BA91" s="400"/>
      <c r="BB91" s="400"/>
      <c r="BC91" s="400"/>
    </row>
    <row r="92" s="366" customFormat="1" spans="1:55">
      <c r="A92" s="395">
        <v>42822</v>
      </c>
      <c r="B92" s="191" t="s">
        <v>36</v>
      </c>
      <c r="C92" s="377"/>
      <c r="D92" s="329"/>
      <c r="E92" s="329"/>
      <c r="F92" s="378"/>
      <c r="G92" s="329"/>
      <c r="H92" s="376"/>
      <c r="I92" s="376"/>
      <c r="J92" s="399">
        <f t="shared" si="34"/>
        <v>0</v>
      </c>
      <c r="K92" s="329"/>
      <c r="L92" s="329"/>
      <c r="M92" s="401">
        <f t="shared" si="36"/>
        <v>0</v>
      </c>
      <c r="N92" s="396">
        <f t="shared" si="40"/>
        <v>0</v>
      </c>
      <c r="O92" s="402">
        <f t="shared" si="40"/>
        <v>0</v>
      </c>
      <c r="P92" s="398">
        <f t="shared" si="33"/>
        <v>0</v>
      </c>
      <c r="Q92" s="414">
        <f t="shared" si="31"/>
        <v>2560431.72</v>
      </c>
      <c r="R92" s="402">
        <f t="shared" si="31"/>
        <v>1746719</v>
      </c>
      <c r="S92" s="415">
        <f t="shared" si="31"/>
        <v>4542546.96</v>
      </c>
      <c r="T92" s="416">
        <f>N92/'2018'!N92-1</f>
        <v>-1</v>
      </c>
      <c r="U92" s="417">
        <f>O92/'2018'!O92-1</f>
        <v>-1</v>
      </c>
      <c r="V92" s="417">
        <f>P92/'2018'!P92-1</f>
        <v>-1</v>
      </c>
      <c r="W92" s="417">
        <f>Q92/'2018'!Q92-1</f>
        <v>-0.506325093778079</v>
      </c>
      <c r="X92" s="417">
        <f>R92/'2018'!R92-1</f>
        <v>-0.36031748298819</v>
      </c>
      <c r="Y92" s="424">
        <f>S92/'2018'!S92-1</f>
        <v>-0.435352160790223</v>
      </c>
      <c r="Z92" s="425"/>
      <c r="AA92" s="426">
        <f t="shared" si="35"/>
        <v>256.043172</v>
      </c>
      <c r="AB92" s="427"/>
      <c r="AC92" s="401"/>
      <c r="AD92" s="427">
        <f t="shared" si="37"/>
        <v>2795827.96</v>
      </c>
      <c r="AE92" s="329">
        <f t="shared" si="41"/>
        <v>27846.65</v>
      </c>
      <c r="AF92" s="329">
        <f t="shared" si="41"/>
        <v>175538.2</v>
      </c>
      <c r="AG92" s="401">
        <f t="shared" si="39"/>
        <v>32011.3900000002</v>
      </c>
      <c r="AH92" s="439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</row>
    <row r="93" s="366" customFormat="1" spans="1:55">
      <c r="A93" s="395">
        <v>42823</v>
      </c>
      <c r="B93" s="443" t="s">
        <v>37</v>
      </c>
      <c r="C93" s="377"/>
      <c r="D93" s="329"/>
      <c r="E93" s="329"/>
      <c r="F93" s="378"/>
      <c r="G93" s="329"/>
      <c r="H93" s="376"/>
      <c r="I93" s="376"/>
      <c r="J93" s="399">
        <f t="shared" si="34"/>
        <v>0</v>
      </c>
      <c r="K93" s="329"/>
      <c r="L93" s="329"/>
      <c r="M93" s="401">
        <f t="shared" si="36"/>
        <v>0</v>
      </c>
      <c r="N93" s="396">
        <f t="shared" si="40"/>
        <v>0</v>
      </c>
      <c r="O93" s="402">
        <f t="shared" si="40"/>
        <v>0</v>
      </c>
      <c r="P93" s="398">
        <f t="shared" si="33"/>
        <v>0</v>
      </c>
      <c r="Q93" s="414">
        <f t="shared" si="31"/>
        <v>2560431.72</v>
      </c>
      <c r="R93" s="402">
        <f t="shared" si="31"/>
        <v>1746719</v>
      </c>
      <c r="S93" s="415">
        <f t="shared" si="31"/>
        <v>4542546.96</v>
      </c>
      <c r="T93" s="416">
        <f>N93/'2018'!N93-1</f>
        <v>-1</v>
      </c>
      <c r="U93" s="417">
        <f>O93/'2018'!O93-1</f>
        <v>-1</v>
      </c>
      <c r="V93" s="417">
        <f>P93/'2018'!P93-1</f>
        <v>-1</v>
      </c>
      <c r="W93" s="417">
        <f>Q93/'2018'!Q93-1</f>
        <v>-0.512767697332394</v>
      </c>
      <c r="X93" s="417">
        <f>R93/'2018'!R93-1</f>
        <v>-0.367486700418207</v>
      </c>
      <c r="Y93" s="424">
        <f>S93/'2018'!S93-1</f>
        <v>-0.442359850185805</v>
      </c>
      <c r="Z93" s="425"/>
      <c r="AA93" s="426">
        <f t="shared" si="35"/>
        <v>256.043172</v>
      </c>
      <c r="AB93" s="427"/>
      <c r="AC93" s="401"/>
      <c r="AD93" s="427">
        <f t="shared" si="37"/>
        <v>2795827.96</v>
      </c>
      <c r="AE93" s="329">
        <f t="shared" si="41"/>
        <v>27846.65</v>
      </c>
      <c r="AF93" s="329">
        <f t="shared" si="41"/>
        <v>175538.2</v>
      </c>
      <c r="AG93" s="401">
        <f t="shared" si="39"/>
        <v>32011.3900000002</v>
      </c>
      <c r="AH93" s="439"/>
      <c r="AI93" s="400"/>
      <c r="AJ93" s="400"/>
      <c r="AK93" s="400"/>
      <c r="AL93" s="400"/>
      <c r="AM93" s="400"/>
      <c r="AN93" s="400"/>
      <c r="AO93" s="400"/>
      <c r="AP93" s="400"/>
      <c r="AQ93" s="400"/>
      <c r="AR93" s="400"/>
      <c r="AS93" s="400"/>
      <c r="AT93" s="400"/>
      <c r="AU93" s="400"/>
      <c r="AV93" s="400"/>
      <c r="AW93" s="400"/>
      <c r="AX93" s="400"/>
      <c r="AY93" s="400"/>
      <c r="AZ93" s="400"/>
      <c r="BA93" s="400"/>
      <c r="BB93" s="400"/>
      <c r="BC93" s="400"/>
    </row>
    <row r="94" s="366" customFormat="1" spans="1:55">
      <c r="A94" s="395">
        <v>42824</v>
      </c>
      <c r="B94" s="443" t="s">
        <v>38</v>
      </c>
      <c r="C94" s="377"/>
      <c r="D94" s="329"/>
      <c r="E94" s="329"/>
      <c r="F94" s="378"/>
      <c r="G94" s="329"/>
      <c r="H94" s="376"/>
      <c r="I94" s="376"/>
      <c r="J94" s="399">
        <f t="shared" si="34"/>
        <v>0</v>
      </c>
      <c r="K94" s="329"/>
      <c r="L94" s="329"/>
      <c r="M94" s="401">
        <f t="shared" si="36"/>
        <v>0</v>
      </c>
      <c r="N94" s="396">
        <f t="shared" si="40"/>
        <v>0</v>
      </c>
      <c r="O94" s="402">
        <f t="shared" si="40"/>
        <v>0</v>
      </c>
      <c r="P94" s="398">
        <f t="shared" si="33"/>
        <v>0</v>
      </c>
      <c r="Q94" s="414">
        <f t="shared" si="31"/>
        <v>2560431.72</v>
      </c>
      <c r="R94" s="402">
        <f t="shared" si="31"/>
        <v>1746719</v>
      </c>
      <c r="S94" s="415">
        <f t="shared" si="31"/>
        <v>4542546.96</v>
      </c>
      <c r="T94" s="416">
        <f>N94/'2018'!N94-1</f>
        <v>-1</v>
      </c>
      <c r="U94" s="417">
        <f>O94/'2018'!O94-1</f>
        <v>-1</v>
      </c>
      <c r="V94" s="417">
        <f>P94/'2018'!P94-1</f>
        <v>-1</v>
      </c>
      <c r="W94" s="417">
        <f>Q94/'2018'!Q94-1</f>
        <v>-0.519057681802218</v>
      </c>
      <c r="X94" s="417">
        <f>R94/'2018'!R94-1</f>
        <v>-0.374534630108595</v>
      </c>
      <c r="Y94" s="424">
        <f>S94/'2018'!S94-1</f>
        <v>-0.449221108911854</v>
      </c>
      <c r="Z94" s="425"/>
      <c r="AA94" s="426">
        <f t="shared" si="35"/>
        <v>256.043172</v>
      </c>
      <c r="AB94" s="427"/>
      <c r="AC94" s="401"/>
      <c r="AD94" s="427">
        <f t="shared" si="37"/>
        <v>2795827.96</v>
      </c>
      <c r="AE94" s="329">
        <f t="shared" si="41"/>
        <v>27846.65</v>
      </c>
      <c r="AF94" s="329">
        <f t="shared" si="41"/>
        <v>175538.2</v>
      </c>
      <c r="AG94" s="401">
        <f t="shared" si="39"/>
        <v>32011.3900000002</v>
      </c>
      <c r="AH94" s="439"/>
      <c r="AI94" s="400"/>
      <c r="AJ94" s="400"/>
      <c r="AK94" s="400"/>
      <c r="AL94" s="400"/>
      <c r="AM94" s="400"/>
      <c r="AN94" s="400"/>
      <c r="AO94" s="400"/>
      <c r="AP94" s="400"/>
      <c r="AQ94" s="400"/>
      <c r="AR94" s="400"/>
      <c r="AS94" s="400"/>
      <c r="AT94" s="400"/>
      <c r="AU94" s="400"/>
      <c r="AV94" s="400"/>
      <c r="AW94" s="400"/>
      <c r="AX94" s="400"/>
      <c r="AY94" s="400"/>
      <c r="AZ94" s="400"/>
      <c r="BA94" s="400"/>
      <c r="BB94" s="400"/>
      <c r="BC94" s="400"/>
    </row>
    <row r="95" s="366" customFormat="1" spans="1:55">
      <c r="A95" s="385">
        <v>42825</v>
      </c>
      <c r="B95" s="386" t="s">
        <v>1</v>
      </c>
      <c r="C95" s="391"/>
      <c r="D95" s="392"/>
      <c r="E95" s="392"/>
      <c r="F95" s="394"/>
      <c r="G95" s="392"/>
      <c r="H95" s="389"/>
      <c r="I95" s="389"/>
      <c r="J95" s="405">
        <f t="shared" si="34"/>
        <v>0</v>
      </c>
      <c r="K95" s="392"/>
      <c r="L95" s="392"/>
      <c r="M95" s="406">
        <f t="shared" si="36"/>
        <v>0</v>
      </c>
      <c r="N95" s="407">
        <f t="shared" si="40"/>
        <v>0</v>
      </c>
      <c r="O95" s="408">
        <f t="shared" si="40"/>
        <v>0</v>
      </c>
      <c r="P95" s="412">
        <f t="shared" si="33"/>
        <v>0</v>
      </c>
      <c r="Q95" s="418">
        <f t="shared" si="31"/>
        <v>2560431.72</v>
      </c>
      <c r="R95" s="408">
        <f t="shared" si="31"/>
        <v>1746719</v>
      </c>
      <c r="S95" s="419">
        <f t="shared" si="31"/>
        <v>4542546.96</v>
      </c>
      <c r="T95" s="420">
        <f>N95/'2018'!N95-1</f>
        <v>-1</v>
      </c>
      <c r="U95" s="421">
        <f>O95/'2018'!O95-1</f>
        <v>-1</v>
      </c>
      <c r="V95" s="421">
        <f>P95/'2018'!P95-1</f>
        <v>-1</v>
      </c>
      <c r="W95" s="444">
        <f>Q95/'2018'!Q95-1</f>
        <v>-0.524972569472319</v>
      </c>
      <c r="X95" s="421">
        <f>R95/'2018'!R95-1</f>
        <v>-0.381486802161851</v>
      </c>
      <c r="Y95" s="445">
        <f>S95/'2018'!S95-1</f>
        <v>-0.455753129976921</v>
      </c>
      <c r="Z95" s="432"/>
      <c r="AA95" s="433">
        <f t="shared" si="35"/>
        <v>256.043172</v>
      </c>
      <c r="AB95" s="435"/>
      <c r="AC95" s="406"/>
      <c r="AD95" s="435">
        <f t="shared" si="37"/>
        <v>2795827.96</v>
      </c>
      <c r="AE95" s="392">
        <f t="shared" si="41"/>
        <v>27846.65</v>
      </c>
      <c r="AF95" s="392">
        <f t="shared" si="41"/>
        <v>175538.2</v>
      </c>
      <c r="AG95" s="406">
        <f t="shared" si="39"/>
        <v>32011.3900000002</v>
      </c>
      <c r="AH95" s="439"/>
      <c r="AI95" s="400"/>
      <c r="AJ95" s="400"/>
      <c r="AK95" s="400"/>
      <c r="AL95" s="400"/>
      <c r="AM95" s="400"/>
      <c r="AN95" s="400"/>
      <c r="AO95" s="400"/>
      <c r="AP95" s="400"/>
      <c r="AQ95" s="400"/>
      <c r="AR95" s="400"/>
      <c r="AS95" s="400"/>
      <c r="AT95" s="400"/>
      <c r="AU95" s="400"/>
      <c r="AV95" s="400"/>
      <c r="AW95" s="400"/>
      <c r="AX95" s="400"/>
      <c r="AY95" s="400"/>
      <c r="AZ95" s="400"/>
      <c r="BA95" s="400"/>
      <c r="BB95" s="400"/>
      <c r="BC95" s="400"/>
    </row>
    <row r="96" s="366" customFormat="1" spans="1:55">
      <c r="A96" s="395">
        <v>42826</v>
      </c>
      <c r="B96" s="443" t="s">
        <v>39</v>
      </c>
      <c r="C96" s="377"/>
      <c r="D96" s="329"/>
      <c r="E96" s="329"/>
      <c r="F96" s="378"/>
      <c r="G96" s="329"/>
      <c r="H96" s="376"/>
      <c r="I96" s="376"/>
      <c r="J96" s="399">
        <f t="shared" si="34"/>
        <v>0</v>
      </c>
      <c r="K96" s="329"/>
      <c r="L96" s="329"/>
      <c r="M96" s="401">
        <f t="shared" si="36"/>
        <v>0</v>
      </c>
      <c r="N96" s="396">
        <f>C96</f>
        <v>0</v>
      </c>
      <c r="O96" s="402">
        <f>D96</f>
        <v>0</v>
      </c>
      <c r="P96" s="398">
        <f>E96</f>
        <v>0</v>
      </c>
      <c r="Q96" s="414">
        <f>N96+Q$95</f>
        <v>2560431.72</v>
      </c>
      <c r="R96" s="402">
        <f>O96+R$95</f>
        <v>1746719</v>
      </c>
      <c r="S96" s="415">
        <f>P96+S$95</f>
        <v>4542546.96</v>
      </c>
      <c r="T96" s="416">
        <f>N96/'2018'!N96-1</f>
        <v>-1</v>
      </c>
      <c r="U96" s="417">
        <f>O96/'2018'!O96-1</f>
        <v>-1</v>
      </c>
      <c r="V96" s="417">
        <f>P96/'2018'!P96-1</f>
        <v>-1</v>
      </c>
      <c r="W96" s="417">
        <f>Q96/'2018'!Q96-1</f>
        <v>-0.530611772072051</v>
      </c>
      <c r="X96" s="417">
        <f>R96/'2018'!R96-1</f>
        <v>-0.387687631894442</v>
      </c>
      <c r="Y96" s="424">
        <f>S96/'2018'!S96-1</f>
        <v>-0.461847200168963</v>
      </c>
      <c r="Z96" s="425"/>
      <c r="AA96" s="426">
        <f t="shared" si="35"/>
        <v>256.043172</v>
      </c>
      <c r="AB96" s="427"/>
      <c r="AC96" s="401"/>
      <c r="AD96" s="427">
        <f t="shared" si="37"/>
        <v>2795827.96</v>
      </c>
      <c r="AE96" s="329">
        <f t="shared" si="41"/>
        <v>27846.65</v>
      </c>
      <c r="AF96" s="329">
        <f t="shared" si="41"/>
        <v>175538.2</v>
      </c>
      <c r="AG96" s="401">
        <f t="shared" si="39"/>
        <v>32011.3900000002</v>
      </c>
      <c r="AH96" s="439"/>
      <c r="AI96" s="400"/>
      <c r="AJ96" s="400"/>
      <c r="AK96" s="400"/>
      <c r="AL96" s="400"/>
      <c r="AM96" s="400"/>
      <c r="AN96" s="400"/>
      <c r="AO96" s="400"/>
      <c r="AP96" s="400"/>
      <c r="AQ96" s="400"/>
      <c r="AR96" s="400"/>
      <c r="AS96" s="400"/>
      <c r="AT96" s="400"/>
      <c r="AU96" s="400"/>
      <c r="AV96" s="400"/>
      <c r="AW96" s="400"/>
      <c r="AX96" s="400"/>
      <c r="AY96" s="400"/>
      <c r="AZ96" s="400"/>
      <c r="BA96" s="400"/>
      <c r="BB96" s="400"/>
      <c r="BC96" s="400"/>
    </row>
    <row r="97" s="366" customFormat="1" spans="1:55">
      <c r="A97" s="395">
        <v>42827</v>
      </c>
      <c r="B97" s="443" t="s">
        <v>34</v>
      </c>
      <c r="C97" s="377"/>
      <c r="D97" s="329"/>
      <c r="E97" s="329"/>
      <c r="F97" s="378"/>
      <c r="G97" s="329"/>
      <c r="H97" s="376"/>
      <c r="I97" s="376"/>
      <c r="J97" s="399">
        <f t="shared" si="34"/>
        <v>0</v>
      </c>
      <c r="K97" s="329"/>
      <c r="L97" s="329"/>
      <c r="M97" s="401">
        <f t="shared" si="36"/>
        <v>0</v>
      </c>
      <c r="N97" s="396">
        <f t="shared" ref="N97:P112" si="42">N96+C97</f>
        <v>0</v>
      </c>
      <c r="O97" s="368">
        <f t="shared" si="42"/>
        <v>0</v>
      </c>
      <c r="P97" s="398">
        <f t="shared" si="42"/>
        <v>0</v>
      </c>
      <c r="Q97" s="414">
        <f t="shared" ref="Q97:S124" si="43">N97+Q$95</f>
        <v>2560431.72</v>
      </c>
      <c r="R97" s="402">
        <f t="shared" si="43"/>
        <v>1746719</v>
      </c>
      <c r="S97" s="415">
        <f t="shared" si="43"/>
        <v>4542546.96</v>
      </c>
      <c r="T97" s="416">
        <f>N97/'2018'!N97-1</f>
        <v>-1</v>
      </c>
      <c r="U97" s="417">
        <f>O97/'2018'!O97-1</f>
        <v>-1</v>
      </c>
      <c r="V97" s="417">
        <f>P97/'2018'!P97-1</f>
        <v>-1</v>
      </c>
      <c r="W97" s="417">
        <f>Q97/'2018'!Q97-1</f>
        <v>-0.536660937854034</v>
      </c>
      <c r="X97" s="417">
        <f>R97/'2018'!R97-1</f>
        <v>-0.39395677352716</v>
      </c>
      <c r="Y97" s="424">
        <f>S97/'2018'!S97-1</f>
        <v>-0.468264625547503</v>
      </c>
      <c r="Z97" s="425"/>
      <c r="AA97" s="426">
        <f t="shared" si="35"/>
        <v>256.043172</v>
      </c>
      <c r="AB97" s="427"/>
      <c r="AC97" s="401"/>
      <c r="AD97" s="427">
        <f t="shared" si="37"/>
        <v>2795827.96</v>
      </c>
      <c r="AE97" s="329">
        <f t="shared" si="41"/>
        <v>27846.65</v>
      </c>
      <c r="AF97" s="329">
        <f t="shared" si="41"/>
        <v>175538.2</v>
      </c>
      <c r="AG97" s="401">
        <f t="shared" si="39"/>
        <v>32011.3900000002</v>
      </c>
      <c r="AH97" s="439"/>
      <c r="AI97" s="400"/>
      <c r="AJ97" s="400"/>
      <c r="AK97" s="400"/>
      <c r="AL97" s="400"/>
      <c r="AM97" s="400"/>
      <c r="AN97" s="400"/>
      <c r="AO97" s="400"/>
      <c r="AP97" s="400"/>
      <c r="AQ97" s="400"/>
      <c r="AR97" s="400"/>
      <c r="AS97" s="400"/>
      <c r="AT97" s="400"/>
      <c r="AU97" s="400"/>
      <c r="AV97" s="400"/>
      <c r="AW97" s="400"/>
      <c r="AX97" s="400"/>
      <c r="AY97" s="400"/>
      <c r="AZ97" s="400"/>
      <c r="BA97" s="400"/>
      <c r="BB97" s="400"/>
      <c r="BC97" s="400"/>
    </row>
    <row r="98" s="366" customFormat="1" spans="1:55">
      <c r="A98" s="395">
        <v>42828</v>
      </c>
      <c r="B98" s="443" t="s">
        <v>35</v>
      </c>
      <c r="C98" s="377"/>
      <c r="D98" s="329"/>
      <c r="E98" s="329"/>
      <c r="F98" s="378"/>
      <c r="G98" s="329"/>
      <c r="H98" s="376"/>
      <c r="I98" s="376"/>
      <c r="J98" s="399">
        <f t="shared" si="34"/>
        <v>0</v>
      </c>
      <c r="K98" s="329"/>
      <c r="L98" s="329"/>
      <c r="M98" s="401">
        <f t="shared" si="36"/>
        <v>0</v>
      </c>
      <c r="N98" s="396">
        <f t="shared" si="42"/>
        <v>0</v>
      </c>
      <c r="O98" s="368">
        <f t="shared" si="42"/>
        <v>0</v>
      </c>
      <c r="P98" s="398">
        <f t="shared" si="42"/>
        <v>0</v>
      </c>
      <c r="Q98" s="414">
        <f t="shared" si="43"/>
        <v>2560431.72</v>
      </c>
      <c r="R98" s="402">
        <f t="shared" si="43"/>
        <v>1746719</v>
      </c>
      <c r="S98" s="415">
        <f t="shared" si="43"/>
        <v>4542546.96</v>
      </c>
      <c r="T98" s="416">
        <f>N98/'2018'!N98-1</f>
        <v>-1</v>
      </c>
      <c r="U98" s="417">
        <f>O98/'2018'!O98-1</f>
        <v>-1</v>
      </c>
      <c r="V98" s="417">
        <f>P98/'2018'!P98-1</f>
        <v>-1</v>
      </c>
      <c r="W98" s="417">
        <f>Q98/'2018'!Q98-1</f>
        <v>-0.542591720308842</v>
      </c>
      <c r="X98" s="417">
        <f>R98/'2018'!R98-1</f>
        <v>-0.400047536793788</v>
      </c>
      <c r="Y98" s="424">
        <f>S98/'2018'!S98-1</f>
        <v>-0.474547758515223</v>
      </c>
      <c r="Z98" s="425"/>
      <c r="AA98" s="426">
        <f t="shared" si="35"/>
        <v>256.043172</v>
      </c>
      <c r="AB98" s="427"/>
      <c r="AC98" s="401"/>
      <c r="AD98" s="427">
        <f t="shared" si="37"/>
        <v>2795827.96</v>
      </c>
      <c r="AE98" s="329">
        <f t="shared" si="41"/>
        <v>27846.65</v>
      </c>
      <c r="AF98" s="329">
        <f t="shared" si="41"/>
        <v>175538.2</v>
      </c>
      <c r="AG98" s="401">
        <f t="shared" si="39"/>
        <v>32011.3900000002</v>
      </c>
      <c r="AH98" s="439"/>
      <c r="AI98" s="400"/>
      <c r="AJ98" s="400"/>
      <c r="AK98" s="400"/>
      <c r="AL98" s="400"/>
      <c r="AM98" s="400"/>
      <c r="AN98" s="400"/>
      <c r="AO98" s="400"/>
      <c r="AP98" s="400"/>
      <c r="AQ98" s="400"/>
      <c r="AR98" s="400"/>
      <c r="AS98" s="400"/>
      <c r="AT98" s="400"/>
      <c r="AU98" s="400"/>
      <c r="AV98" s="400"/>
      <c r="AW98" s="400"/>
      <c r="AX98" s="400"/>
      <c r="AY98" s="400"/>
      <c r="AZ98" s="400"/>
      <c r="BA98" s="400"/>
      <c r="BB98" s="400"/>
      <c r="BC98" s="400"/>
    </row>
    <row r="99" s="366" customFormat="1" spans="1:55">
      <c r="A99" s="395">
        <v>42829</v>
      </c>
      <c r="B99" s="191" t="s">
        <v>36</v>
      </c>
      <c r="C99" s="377"/>
      <c r="D99" s="329"/>
      <c r="E99" s="329"/>
      <c r="F99" s="378"/>
      <c r="G99" s="329"/>
      <c r="H99" s="376"/>
      <c r="I99" s="376"/>
      <c r="J99" s="399">
        <f t="shared" si="34"/>
        <v>0</v>
      </c>
      <c r="K99" s="329"/>
      <c r="L99" s="329"/>
      <c r="M99" s="401">
        <f t="shared" si="36"/>
        <v>0</v>
      </c>
      <c r="N99" s="396">
        <f t="shared" si="42"/>
        <v>0</v>
      </c>
      <c r="O99" s="368">
        <f t="shared" si="42"/>
        <v>0</v>
      </c>
      <c r="P99" s="398">
        <f t="shared" si="42"/>
        <v>0</v>
      </c>
      <c r="Q99" s="414">
        <f t="shared" si="43"/>
        <v>2560431.72</v>
      </c>
      <c r="R99" s="402">
        <f t="shared" si="43"/>
        <v>1746719</v>
      </c>
      <c r="S99" s="415">
        <f t="shared" si="43"/>
        <v>4542546.96</v>
      </c>
      <c r="T99" s="416">
        <f>N99/'2018'!N99-1</f>
        <v>-1</v>
      </c>
      <c r="U99" s="417">
        <f>O99/'2018'!O99-1</f>
        <v>-1</v>
      </c>
      <c r="V99" s="417">
        <f>P99/'2018'!P99-1</f>
        <v>-1</v>
      </c>
      <c r="W99" s="417">
        <f>Q99/'2018'!Q99-1</f>
        <v>-0.548273790890935</v>
      </c>
      <c r="X99" s="417">
        <f>R99/'2018'!R99-1</f>
        <v>-0.406099290876598</v>
      </c>
      <c r="Y99" s="424">
        <f>S99/'2018'!S99-1</f>
        <v>-0.480618111727469</v>
      </c>
      <c r="Z99" s="425"/>
      <c r="AA99" s="426">
        <f t="shared" si="35"/>
        <v>256.043172</v>
      </c>
      <c r="AB99" s="427"/>
      <c r="AC99" s="401"/>
      <c r="AD99" s="427">
        <f t="shared" si="37"/>
        <v>2795827.96</v>
      </c>
      <c r="AE99" s="329">
        <f t="shared" si="41"/>
        <v>27846.65</v>
      </c>
      <c r="AF99" s="329">
        <f t="shared" si="41"/>
        <v>175538.2</v>
      </c>
      <c r="AG99" s="401">
        <f t="shared" si="39"/>
        <v>32011.3900000002</v>
      </c>
      <c r="AH99" s="439"/>
      <c r="AI99" s="400"/>
      <c r="AJ99" s="400"/>
      <c r="AK99" s="400"/>
      <c r="AL99" s="400"/>
      <c r="AM99" s="400"/>
      <c r="AN99" s="400"/>
      <c r="AO99" s="400"/>
      <c r="AP99" s="400"/>
      <c r="AQ99" s="400"/>
      <c r="AR99" s="400"/>
      <c r="AS99" s="400"/>
      <c r="AT99" s="400"/>
      <c r="AU99" s="400"/>
      <c r="AV99" s="400"/>
      <c r="AW99" s="400"/>
      <c r="AX99" s="400"/>
      <c r="AY99" s="400"/>
      <c r="AZ99" s="400"/>
      <c r="BA99" s="400"/>
      <c r="BB99" s="400"/>
      <c r="BC99" s="400"/>
    </row>
    <row r="100" s="366" customFormat="1" spans="1:55">
      <c r="A100" s="395">
        <v>42830</v>
      </c>
      <c r="B100" s="443" t="s">
        <v>37</v>
      </c>
      <c r="C100" s="377"/>
      <c r="D100" s="329"/>
      <c r="E100" s="329"/>
      <c r="F100" s="378"/>
      <c r="G100" s="329"/>
      <c r="H100" s="376"/>
      <c r="I100" s="376"/>
      <c r="J100" s="399">
        <f t="shared" si="34"/>
        <v>0</v>
      </c>
      <c r="K100" s="329"/>
      <c r="L100" s="329"/>
      <c r="M100" s="401">
        <f t="shared" si="36"/>
        <v>0</v>
      </c>
      <c r="N100" s="396">
        <f t="shared" si="42"/>
        <v>0</v>
      </c>
      <c r="O100" s="368">
        <f t="shared" si="42"/>
        <v>0</v>
      </c>
      <c r="P100" s="398">
        <f t="shared" si="42"/>
        <v>0</v>
      </c>
      <c r="Q100" s="414">
        <f t="shared" si="43"/>
        <v>2560431.72</v>
      </c>
      <c r="R100" s="402">
        <f t="shared" si="43"/>
        <v>1746719</v>
      </c>
      <c r="S100" s="415">
        <f t="shared" si="43"/>
        <v>4542546.96</v>
      </c>
      <c r="T100" s="416">
        <f>N100/'2018'!N100-1</f>
        <v>-1</v>
      </c>
      <c r="U100" s="417">
        <f>O100/'2018'!O100-1</f>
        <v>-1</v>
      </c>
      <c r="V100" s="417">
        <f>P100/'2018'!P100-1</f>
        <v>-1</v>
      </c>
      <c r="W100" s="417">
        <f>Q100/'2018'!Q100-1</f>
        <v>-0.552599164134051</v>
      </c>
      <c r="X100" s="417">
        <f>R100/'2018'!R100-1</f>
        <v>-0.411276327040583</v>
      </c>
      <c r="Y100" s="424">
        <f>S100/'2018'!S100-1</f>
        <v>-0.485407913756758</v>
      </c>
      <c r="Z100" s="425"/>
      <c r="AA100" s="426">
        <f t="shared" si="35"/>
        <v>256.043172</v>
      </c>
      <c r="AB100" s="427"/>
      <c r="AC100" s="401"/>
      <c r="AD100" s="427">
        <f t="shared" si="37"/>
        <v>2795827.96</v>
      </c>
      <c r="AE100" s="329">
        <f t="shared" si="41"/>
        <v>27846.65</v>
      </c>
      <c r="AF100" s="329">
        <f t="shared" si="41"/>
        <v>175538.2</v>
      </c>
      <c r="AG100" s="401">
        <f t="shared" si="39"/>
        <v>32011.3900000002</v>
      </c>
      <c r="AH100" s="439"/>
      <c r="AI100" s="400"/>
      <c r="AJ100" s="400"/>
      <c r="AK100" s="400"/>
      <c r="AL100" s="400"/>
      <c r="AM100" s="400"/>
      <c r="AN100" s="400"/>
      <c r="AO100" s="400"/>
      <c r="AP100" s="400"/>
      <c r="AQ100" s="400"/>
      <c r="AR100" s="400"/>
      <c r="AS100" s="400"/>
      <c r="AT100" s="400"/>
      <c r="AU100" s="400"/>
      <c r="AV100" s="400"/>
      <c r="AW100" s="400"/>
      <c r="AX100" s="400"/>
      <c r="AY100" s="400"/>
      <c r="AZ100" s="400"/>
      <c r="BA100" s="400"/>
      <c r="BB100" s="400"/>
      <c r="BC100" s="400"/>
    </row>
    <row r="101" s="366" customFormat="1" spans="1:55">
      <c r="A101" s="395">
        <v>42831</v>
      </c>
      <c r="B101" s="443" t="s">
        <v>38</v>
      </c>
      <c r="C101" s="377"/>
      <c r="D101" s="329"/>
      <c r="E101" s="329"/>
      <c r="F101" s="378"/>
      <c r="G101" s="329"/>
      <c r="H101" s="376"/>
      <c r="I101" s="376"/>
      <c r="J101" s="399">
        <f t="shared" si="34"/>
        <v>0</v>
      </c>
      <c r="K101" s="329"/>
      <c r="L101" s="329"/>
      <c r="M101" s="401">
        <f t="shared" si="36"/>
        <v>0</v>
      </c>
      <c r="N101" s="396">
        <f t="shared" si="42"/>
        <v>0</v>
      </c>
      <c r="O101" s="368">
        <f t="shared" si="42"/>
        <v>0</v>
      </c>
      <c r="P101" s="398">
        <f t="shared" si="42"/>
        <v>0</v>
      </c>
      <c r="Q101" s="414">
        <f t="shared" si="43"/>
        <v>2560431.72</v>
      </c>
      <c r="R101" s="402">
        <f t="shared" si="43"/>
        <v>1746719</v>
      </c>
      <c r="S101" s="415">
        <f t="shared" si="43"/>
        <v>4542546.96</v>
      </c>
      <c r="T101" s="416">
        <f>N101/'2018'!N101-1</f>
        <v>-1</v>
      </c>
      <c r="U101" s="417">
        <f>O101/'2018'!O101-1</f>
        <v>-1</v>
      </c>
      <c r="V101" s="417">
        <f>P101/'2018'!P101-1</f>
        <v>-1</v>
      </c>
      <c r="W101" s="417">
        <f>Q101/'2018'!Q101-1</f>
        <v>-0.557418611208769</v>
      </c>
      <c r="X101" s="417">
        <f>R101/'2018'!R101-1</f>
        <v>-0.416736706252807</v>
      </c>
      <c r="Y101" s="424">
        <f>S101/'2018'!S101-1</f>
        <v>-0.490672738919548</v>
      </c>
      <c r="Z101" s="425"/>
      <c r="AA101" s="426">
        <f t="shared" si="35"/>
        <v>256.043172</v>
      </c>
      <c r="AB101" s="427"/>
      <c r="AC101" s="401"/>
      <c r="AD101" s="427">
        <f t="shared" si="37"/>
        <v>2795827.96</v>
      </c>
      <c r="AE101" s="329">
        <f t="shared" si="41"/>
        <v>27846.65</v>
      </c>
      <c r="AF101" s="329">
        <f t="shared" si="41"/>
        <v>175538.2</v>
      </c>
      <c r="AG101" s="401">
        <f t="shared" si="39"/>
        <v>32011.3900000002</v>
      </c>
      <c r="AH101" s="439"/>
      <c r="AI101" s="400"/>
      <c r="AJ101" s="400"/>
      <c r="AK101" s="400"/>
      <c r="AL101" s="400"/>
      <c r="AM101" s="400"/>
      <c r="AN101" s="400"/>
      <c r="AO101" s="400"/>
      <c r="AP101" s="400"/>
      <c r="AQ101" s="400"/>
      <c r="AR101" s="400"/>
      <c r="AS101" s="400"/>
      <c r="AT101" s="400"/>
      <c r="AU101" s="400"/>
      <c r="AV101" s="400"/>
      <c r="AW101" s="400"/>
      <c r="AX101" s="400"/>
      <c r="AY101" s="400"/>
      <c r="AZ101" s="400"/>
      <c r="BA101" s="400"/>
      <c r="BB101" s="400"/>
      <c r="BC101" s="400"/>
    </row>
    <row r="102" s="366" customFormat="1" spans="1:55">
      <c r="A102" s="395">
        <v>42832</v>
      </c>
      <c r="B102" s="443" t="s">
        <v>1</v>
      </c>
      <c r="C102" s="377"/>
      <c r="D102" s="329"/>
      <c r="E102" s="329"/>
      <c r="F102" s="378"/>
      <c r="G102" s="329"/>
      <c r="H102" s="376"/>
      <c r="I102" s="376"/>
      <c r="J102" s="399">
        <f t="shared" si="34"/>
        <v>0</v>
      </c>
      <c r="K102" s="329"/>
      <c r="L102" s="329"/>
      <c r="M102" s="401">
        <f t="shared" si="36"/>
        <v>0</v>
      </c>
      <c r="N102" s="396">
        <f t="shared" si="42"/>
        <v>0</v>
      </c>
      <c r="O102" s="368">
        <f t="shared" si="42"/>
        <v>0</v>
      </c>
      <c r="P102" s="398">
        <f t="shared" si="42"/>
        <v>0</v>
      </c>
      <c r="Q102" s="414">
        <f t="shared" si="43"/>
        <v>2560431.72</v>
      </c>
      <c r="R102" s="402">
        <f t="shared" si="43"/>
        <v>1746719</v>
      </c>
      <c r="S102" s="415">
        <f t="shared" si="43"/>
        <v>4542546.96</v>
      </c>
      <c r="T102" s="416">
        <f>N102/'2018'!N102-1</f>
        <v>-1</v>
      </c>
      <c r="U102" s="417">
        <f>O102/'2018'!O102-1</f>
        <v>-1</v>
      </c>
      <c r="V102" s="417">
        <f>P102/'2018'!P102-1</f>
        <v>-1</v>
      </c>
      <c r="W102" s="417">
        <f>Q102/'2018'!Q102-1</f>
        <v>-0.56251531984742</v>
      </c>
      <c r="X102" s="417">
        <f>R102/'2018'!R102-1</f>
        <v>-0.422260920760608</v>
      </c>
      <c r="Y102" s="424">
        <f>S102/'2018'!S102-1</f>
        <v>-0.496186336358227</v>
      </c>
      <c r="Z102" s="425"/>
      <c r="AA102" s="426">
        <f t="shared" si="35"/>
        <v>256.043172</v>
      </c>
      <c r="AB102" s="427"/>
      <c r="AC102" s="401"/>
      <c r="AD102" s="427">
        <f t="shared" si="37"/>
        <v>2795827.96</v>
      </c>
      <c r="AE102" s="329">
        <f t="shared" si="41"/>
        <v>27846.65</v>
      </c>
      <c r="AF102" s="329">
        <f t="shared" si="41"/>
        <v>175538.2</v>
      </c>
      <c r="AG102" s="401">
        <f t="shared" si="39"/>
        <v>32011.3900000002</v>
      </c>
      <c r="AH102" s="439"/>
      <c r="AI102" s="400"/>
      <c r="AJ102" s="400"/>
      <c r="AK102" s="400"/>
      <c r="AL102" s="400"/>
      <c r="AM102" s="400"/>
      <c r="AN102" s="400"/>
      <c r="AO102" s="400"/>
      <c r="AP102" s="400"/>
      <c r="AQ102" s="400"/>
      <c r="AR102" s="400"/>
      <c r="AS102" s="400"/>
      <c r="AT102" s="400"/>
      <c r="AU102" s="400"/>
      <c r="AV102" s="400"/>
      <c r="AW102" s="400"/>
      <c r="AX102" s="400"/>
      <c r="AY102" s="400"/>
      <c r="AZ102" s="400"/>
      <c r="BA102" s="400"/>
      <c r="BB102" s="400"/>
      <c r="BC102" s="400"/>
    </row>
    <row r="103" s="366" customFormat="1" spans="1:55">
      <c r="A103" s="395">
        <v>42833</v>
      </c>
      <c r="B103" s="443" t="s">
        <v>39</v>
      </c>
      <c r="C103" s="377"/>
      <c r="D103" s="329"/>
      <c r="E103" s="329"/>
      <c r="F103" s="378"/>
      <c r="G103" s="329"/>
      <c r="H103" s="376"/>
      <c r="I103" s="376"/>
      <c r="J103" s="399">
        <f t="shared" si="34"/>
        <v>0</v>
      </c>
      <c r="K103" s="329"/>
      <c r="L103" s="329"/>
      <c r="M103" s="401">
        <f t="shared" si="36"/>
        <v>0</v>
      </c>
      <c r="N103" s="396">
        <f t="shared" si="42"/>
        <v>0</v>
      </c>
      <c r="O103" s="368">
        <f t="shared" si="42"/>
        <v>0</v>
      </c>
      <c r="P103" s="398">
        <f t="shared" si="42"/>
        <v>0</v>
      </c>
      <c r="Q103" s="414">
        <f t="shared" si="43"/>
        <v>2560431.72</v>
      </c>
      <c r="R103" s="402">
        <f t="shared" si="43"/>
        <v>1746719</v>
      </c>
      <c r="S103" s="415">
        <f t="shared" si="43"/>
        <v>4542546.96</v>
      </c>
      <c r="T103" s="416">
        <f>N103/'2018'!N103-1</f>
        <v>-1</v>
      </c>
      <c r="U103" s="417">
        <f>O103/'2018'!O103-1</f>
        <v>-1</v>
      </c>
      <c r="V103" s="417">
        <f>P103/'2018'!P103-1</f>
        <v>-1</v>
      </c>
      <c r="W103" s="417">
        <f>Q103/'2018'!Q103-1</f>
        <v>-0.567434455365014</v>
      </c>
      <c r="X103" s="417">
        <f>R103/'2018'!R103-1</f>
        <v>-0.427980416557506</v>
      </c>
      <c r="Y103" s="424">
        <f>S103/'2018'!S103-1</f>
        <v>-0.501643410546005</v>
      </c>
      <c r="Z103" s="425"/>
      <c r="AA103" s="426">
        <f t="shared" si="35"/>
        <v>256.043172</v>
      </c>
      <c r="AB103" s="427"/>
      <c r="AC103" s="401"/>
      <c r="AD103" s="427">
        <f t="shared" si="37"/>
        <v>2795827.96</v>
      </c>
      <c r="AE103" s="329">
        <f t="shared" ref="AE103:AF118" si="44">AE102+K103</f>
        <v>27846.65</v>
      </c>
      <c r="AF103" s="329">
        <f t="shared" si="44"/>
        <v>175538.2</v>
      </c>
      <c r="AG103" s="401">
        <f t="shared" si="39"/>
        <v>32011.3900000002</v>
      </c>
      <c r="AH103" s="439"/>
      <c r="AI103" s="400"/>
      <c r="AJ103" s="400"/>
      <c r="AK103" s="400"/>
      <c r="AL103" s="400"/>
      <c r="AM103" s="400"/>
      <c r="AN103" s="400"/>
      <c r="AO103" s="400"/>
      <c r="AP103" s="400"/>
      <c r="AQ103" s="400"/>
      <c r="AR103" s="400"/>
      <c r="AS103" s="400"/>
      <c r="AT103" s="400"/>
      <c r="AU103" s="400"/>
      <c r="AV103" s="400"/>
      <c r="AW103" s="400"/>
      <c r="AX103" s="400"/>
      <c r="AY103" s="400"/>
      <c r="AZ103" s="400"/>
      <c r="BA103" s="400"/>
      <c r="BB103" s="400"/>
      <c r="BC103" s="400"/>
    </row>
    <row r="104" s="366" customFormat="1" spans="1:55">
      <c r="A104" s="395">
        <v>42834</v>
      </c>
      <c r="B104" s="443" t="s">
        <v>34</v>
      </c>
      <c r="C104" s="377"/>
      <c r="D104" s="329"/>
      <c r="E104" s="329"/>
      <c r="F104" s="378"/>
      <c r="G104" s="329"/>
      <c r="H104" s="376"/>
      <c r="I104" s="376"/>
      <c r="J104" s="399">
        <f t="shared" si="34"/>
        <v>0</v>
      </c>
      <c r="K104" s="329"/>
      <c r="L104" s="329"/>
      <c r="M104" s="401">
        <f t="shared" si="36"/>
        <v>0</v>
      </c>
      <c r="N104" s="396">
        <f t="shared" si="42"/>
        <v>0</v>
      </c>
      <c r="O104" s="368">
        <f t="shared" si="42"/>
        <v>0</v>
      </c>
      <c r="P104" s="398">
        <f t="shared" si="42"/>
        <v>0</v>
      </c>
      <c r="Q104" s="414">
        <f t="shared" si="43"/>
        <v>2560431.72</v>
      </c>
      <c r="R104" s="402">
        <f t="shared" si="43"/>
        <v>1746719</v>
      </c>
      <c r="S104" s="415">
        <f t="shared" si="43"/>
        <v>4542546.96</v>
      </c>
      <c r="T104" s="416">
        <f>N104/'2018'!N104-1</f>
        <v>-1</v>
      </c>
      <c r="U104" s="417">
        <f>O104/'2018'!O104-1</f>
        <v>-1</v>
      </c>
      <c r="V104" s="417">
        <f>P104/'2018'!P104-1</f>
        <v>-1</v>
      </c>
      <c r="W104" s="417">
        <f>Q104/'2018'!Q104-1</f>
        <v>-0.572359007614618</v>
      </c>
      <c r="X104" s="417">
        <f>R104/'2018'!R104-1</f>
        <v>-0.433591084904314</v>
      </c>
      <c r="Y104" s="424">
        <f>S104/'2018'!S104-1</f>
        <v>-0.507059077065893</v>
      </c>
      <c r="Z104" s="425"/>
      <c r="AA104" s="426">
        <f t="shared" si="35"/>
        <v>256.043172</v>
      </c>
      <c r="AB104" s="427"/>
      <c r="AC104" s="401"/>
      <c r="AD104" s="427">
        <f t="shared" si="37"/>
        <v>2795827.96</v>
      </c>
      <c r="AE104" s="329">
        <f t="shared" si="44"/>
        <v>27846.65</v>
      </c>
      <c r="AF104" s="329">
        <f t="shared" si="44"/>
        <v>175538.2</v>
      </c>
      <c r="AG104" s="401">
        <f t="shared" si="39"/>
        <v>32011.3900000002</v>
      </c>
      <c r="AH104" s="439"/>
      <c r="AI104" s="400"/>
      <c r="AJ104" s="400"/>
      <c r="AK104" s="400"/>
      <c r="AL104" s="400"/>
      <c r="AM104" s="400"/>
      <c r="AN104" s="400"/>
      <c r="AO104" s="400"/>
      <c r="AP104" s="400"/>
      <c r="AQ104" s="400"/>
      <c r="AR104" s="400"/>
      <c r="AS104" s="400"/>
      <c r="AT104" s="400"/>
      <c r="AU104" s="400"/>
      <c r="AV104" s="400"/>
      <c r="AW104" s="400"/>
      <c r="AX104" s="400"/>
      <c r="AY104" s="400"/>
      <c r="AZ104" s="400"/>
      <c r="BA104" s="400"/>
      <c r="BB104" s="400"/>
      <c r="BC104" s="400"/>
    </row>
    <row r="105" s="366" customFormat="1" spans="1:55">
      <c r="A105" s="395">
        <v>42835</v>
      </c>
      <c r="B105" s="443" t="s">
        <v>35</v>
      </c>
      <c r="C105" s="377"/>
      <c r="D105" s="329"/>
      <c r="E105" s="329"/>
      <c r="F105" s="378"/>
      <c r="G105" s="329"/>
      <c r="H105" s="376"/>
      <c r="I105" s="376"/>
      <c r="J105" s="399">
        <f t="shared" si="34"/>
        <v>0</v>
      </c>
      <c r="K105" s="329"/>
      <c r="L105" s="329"/>
      <c r="M105" s="401">
        <f t="shared" si="36"/>
        <v>0</v>
      </c>
      <c r="N105" s="396">
        <f t="shared" si="42"/>
        <v>0</v>
      </c>
      <c r="O105" s="368">
        <f t="shared" si="42"/>
        <v>0</v>
      </c>
      <c r="P105" s="398">
        <f t="shared" si="42"/>
        <v>0</v>
      </c>
      <c r="Q105" s="414">
        <f t="shared" si="43"/>
        <v>2560431.72</v>
      </c>
      <c r="R105" s="402">
        <f t="shared" si="43"/>
        <v>1746719</v>
      </c>
      <c r="S105" s="415">
        <f t="shared" si="43"/>
        <v>4542546.96</v>
      </c>
      <c r="T105" s="416">
        <f>N105/'2018'!N105-1</f>
        <v>-1</v>
      </c>
      <c r="U105" s="417">
        <f>O105/'2018'!O105-1</f>
        <v>-1</v>
      </c>
      <c r="V105" s="417">
        <f>P105/'2018'!P105-1</f>
        <v>-1</v>
      </c>
      <c r="W105" s="417">
        <f>Q105/'2018'!Q105-1</f>
        <v>-0.57721891395846</v>
      </c>
      <c r="X105" s="417">
        <f>R105/'2018'!R105-1</f>
        <v>-0.438941236744179</v>
      </c>
      <c r="Y105" s="424">
        <f>S105/'2018'!S105-1</f>
        <v>-0.512382173925545</v>
      </c>
      <c r="Z105" s="425"/>
      <c r="AA105" s="426">
        <f t="shared" si="35"/>
        <v>256.043172</v>
      </c>
      <c r="AB105" s="427"/>
      <c r="AC105" s="401"/>
      <c r="AD105" s="427">
        <f t="shared" si="37"/>
        <v>2795827.96</v>
      </c>
      <c r="AE105" s="329">
        <f t="shared" si="44"/>
        <v>27846.65</v>
      </c>
      <c r="AF105" s="329">
        <f t="shared" si="44"/>
        <v>175538.2</v>
      </c>
      <c r="AG105" s="401">
        <f t="shared" si="39"/>
        <v>32011.3900000002</v>
      </c>
      <c r="AH105" s="439"/>
      <c r="AI105" s="400"/>
      <c r="AJ105" s="400"/>
      <c r="AK105" s="400"/>
      <c r="AL105" s="400"/>
      <c r="AM105" s="400"/>
      <c r="AN105" s="400"/>
      <c r="AO105" s="400"/>
      <c r="AP105" s="400"/>
      <c r="AQ105" s="400"/>
      <c r="AR105" s="400"/>
      <c r="AS105" s="400"/>
      <c r="AT105" s="400"/>
      <c r="AU105" s="400"/>
      <c r="AV105" s="400"/>
      <c r="AW105" s="400"/>
      <c r="AX105" s="400"/>
      <c r="AY105" s="400"/>
      <c r="AZ105" s="400"/>
      <c r="BA105" s="400"/>
      <c r="BB105" s="400"/>
      <c r="BC105" s="400"/>
    </row>
    <row r="106" s="366" customFormat="1" spans="1:55">
      <c r="A106" s="395">
        <v>42836</v>
      </c>
      <c r="B106" s="191" t="s">
        <v>36</v>
      </c>
      <c r="C106" s="377"/>
      <c r="D106" s="329"/>
      <c r="E106" s="329"/>
      <c r="F106" s="378"/>
      <c r="G106" s="329"/>
      <c r="H106" s="376"/>
      <c r="I106" s="376"/>
      <c r="J106" s="399">
        <f t="shared" si="34"/>
        <v>0</v>
      </c>
      <c r="K106" s="329"/>
      <c r="L106" s="329"/>
      <c r="M106" s="401">
        <f t="shared" si="36"/>
        <v>0</v>
      </c>
      <c r="N106" s="396">
        <f t="shared" si="42"/>
        <v>0</v>
      </c>
      <c r="O106" s="368">
        <f t="shared" si="42"/>
        <v>0</v>
      </c>
      <c r="P106" s="398">
        <f t="shared" si="42"/>
        <v>0</v>
      </c>
      <c r="Q106" s="414">
        <f t="shared" si="43"/>
        <v>2560431.72</v>
      </c>
      <c r="R106" s="402">
        <f t="shared" si="43"/>
        <v>1746719</v>
      </c>
      <c r="S106" s="415">
        <f t="shared" si="43"/>
        <v>4542546.96</v>
      </c>
      <c r="T106" s="416">
        <f>N106/'2018'!N106-1</f>
        <v>-1</v>
      </c>
      <c r="U106" s="417">
        <f>O106/'2018'!O106-1</f>
        <v>-1</v>
      </c>
      <c r="V106" s="417">
        <f>P106/'2018'!P106-1</f>
        <v>-1</v>
      </c>
      <c r="W106" s="417">
        <f>Q106/'2018'!Q106-1</f>
        <v>-0.582176978168169</v>
      </c>
      <c r="X106" s="417">
        <f>R106/'2018'!R106-1</f>
        <v>-0.44418577936767</v>
      </c>
      <c r="Y106" s="424">
        <f>S106/'2018'!S106-1</f>
        <v>-0.517695305557527</v>
      </c>
      <c r="Z106" s="425"/>
      <c r="AA106" s="426">
        <f t="shared" si="35"/>
        <v>256.043172</v>
      </c>
      <c r="AB106" s="427"/>
      <c r="AC106" s="401"/>
      <c r="AD106" s="427">
        <f t="shared" si="37"/>
        <v>2795827.96</v>
      </c>
      <c r="AE106" s="329">
        <f t="shared" si="44"/>
        <v>27846.65</v>
      </c>
      <c r="AF106" s="329">
        <f t="shared" si="44"/>
        <v>175538.2</v>
      </c>
      <c r="AG106" s="401">
        <f t="shared" si="39"/>
        <v>32011.3900000002</v>
      </c>
      <c r="AH106" s="439"/>
      <c r="AI106" s="400"/>
      <c r="AJ106" s="400"/>
      <c r="AK106" s="400"/>
      <c r="AL106" s="400"/>
      <c r="AM106" s="400"/>
      <c r="AN106" s="400"/>
      <c r="AO106" s="400"/>
      <c r="AP106" s="400"/>
      <c r="AQ106" s="400"/>
      <c r="AR106" s="400"/>
      <c r="AS106" s="400"/>
      <c r="AT106" s="400"/>
      <c r="AU106" s="400"/>
      <c r="AV106" s="400"/>
      <c r="AW106" s="400"/>
      <c r="AX106" s="400"/>
      <c r="AY106" s="400"/>
      <c r="AZ106" s="400"/>
      <c r="BA106" s="400"/>
      <c r="BB106" s="400"/>
      <c r="BC106" s="400"/>
    </row>
    <row r="107" s="366" customFormat="1" spans="1:55">
      <c r="A107" s="395">
        <v>42837</v>
      </c>
      <c r="B107" s="443" t="s">
        <v>37</v>
      </c>
      <c r="C107" s="377"/>
      <c r="D107" s="329"/>
      <c r="E107" s="329"/>
      <c r="F107" s="378"/>
      <c r="G107" s="329"/>
      <c r="H107" s="376"/>
      <c r="I107" s="376"/>
      <c r="J107" s="399">
        <f t="shared" si="34"/>
        <v>0</v>
      </c>
      <c r="K107" s="329"/>
      <c r="L107" s="329"/>
      <c r="M107" s="401">
        <f t="shared" si="36"/>
        <v>0</v>
      </c>
      <c r="N107" s="396">
        <f t="shared" si="42"/>
        <v>0</v>
      </c>
      <c r="O107" s="368">
        <f t="shared" si="42"/>
        <v>0</v>
      </c>
      <c r="P107" s="398">
        <f t="shared" si="42"/>
        <v>0</v>
      </c>
      <c r="Q107" s="414">
        <f t="shared" si="43"/>
        <v>2560431.72</v>
      </c>
      <c r="R107" s="402">
        <f t="shared" si="43"/>
        <v>1746719</v>
      </c>
      <c r="S107" s="415">
        <f t="shared" si="43"/>
        <v>4542546.96</v>
      </c>
      <c r="T107" s="416">
        <f>N107/'2018'!N107-1</f>
        <v>-1</v>
      </c>
      <c r="U107" s="417">
        <f>O107/'2018'!O107-1</f>
        <v>-1</v>
      </c>
      <c r="V107" s="417">
        <f>P107/'2018'!P107-1</f>
        <v>-1</v>
      </c>
      <c r="W107" s="417">
        <f>Q107/'2018'!Q107-1</f>
        <v>-0.587090896433039</v>
      </c>
      <c r="X107" s="417">
        <f>R107/'2018'!R107-1</f>
        <v>-0.449434894422323</v>
      </c>
      <c r="Y107" s="424">
        <f>S107/'2018'!S107-1</f>
        <v>-0.522964295539904</v>
      </c>
      <c r="Z107" s="425"/>
      <c r="AA107" s="426">
        <f t="shared" si="35"/>
        <v>256.043172</v>
      </c>
      <c r="AB107" s="427"/>
      <c r="AC107" s="401"/>
      <c r="AD107" s="427">
        <f t="shared" si="37"/>
        <v>2795827.96</v>
      </c>
      <c r="AE107" s="329">
        <f t="shared" si="44"/>
        <v>27846.65</v>
      </c>
      <c r="AF107" s="329">
        <f t="shared" si="44"/>
        <v>175538.2</v>
      </c>
      <c r="AG107" s="401">
        <f t="shared" si="39"/>
        <v>32011.3900000002</v>
      </c>
      <c r="AH107" s="439"/>
      <c r="AI107" s="400"/>
      <c r="AJ107" s="400"/>
      <c r="AK107" s="400"/>
      <c r="AL107" s="400"/>
      <c r="AM107" s="400"/>
      <c r="AN107" s="400"/>
      <c r="AO107" s="400"/>
      <c r="AP107" s="400"/>
      <c r="AQ107" s="400"/>
      <c r="AR107" s="400"/>
      <c r="AS107" s="400"/>
      <c r="AT107" s="400"/>
      <c r="AU107" s="400"/>
      <c r="AV107" s="400"/>
      <c r="AW107" s="400"/>
      <c r="AX107" s="400"/>
      <c r="AY107" s="400"/>
      <c r="AZ107" s="400"/>
      <c r="BA107" s="400"/>
      <c r="BB107" s="400"/>
      <c r="BC107" s="400"/>
    </row>
    <row r="108" s="366" customFormat="1" spans="1:55">
      <c r="A108" s="395">
        <v>42838</v>
      </c>
      <c r="B108" s="443" t="s">
        <v>38</v>
      </c>
      <c r="C108" s="377"/>
      <c r="D108" s="329"/>
      <c r="E108" s="329"/>
      <c r="F108" s="378"/>
      <c r="G108" s="329"/>
      <c r="H108" s="376"/>
      <c r="I108" s="376"/>
      <c r="J108" s="399">
        <f t="shared" si="34"/>
        <v>0</v>
      </c>
      <c r="K108" s="329"/>
      <c r="L108" s="329"/>
      <c r="M108" s="401">
        <f t="shared" si="36"/>
        <v>0</v>
      </c>
      <c r="N108" s="396">
        <f t="shared" si="42"/>
        <v>0</v>
      </c>
      <c r="O108" s="368">
        <f t="shared" si="42"/>
        <v>0</v>
      </c>
      <c r="P108" s="398">
        <f t="shared" si="42"/>
        <v>0</v>
      </c>
      <c r="Q108" s="414">
        <f t="shared" si="43"/>
        <v>2560431.72</v>
      </c>
      <c r="R108" s="402">
        <f t="shared" si="43"/>
        <v>1746719</v>
      </c>
      <c r="S108" s="415">
        <f t="shared" si="43"/>
        <v>4542546.96</v>
      </c>
      <c r="T108" s="416">
        <f>N108/'2018'!N108-1</f>
        <v>-1</v>
      </c>
      <c r="U108" s="417">
        <f>O108/'2018'!O108-1</f>
        <v>-1</v>
      </c>
      <c r="V108" s="417">
        <f>P108/'2018'!P108-1</f>
        <v>-1</v>
      </c>
      <c r="W108" s="417">
        <f>Q108/'2018'!Q108-1</f>
        <v>-0.591868197313055</v>
      </c>
      <c r="X108" s="417">
        <f>R108/'2018'!R108-1</f>
        <v>-0.45461065519385</v>
      </c>
      <c r="Y108" s="424">
        <f>S108/'2018'!S108-1</f>
        <v>-0.528103964799166</v>
      </c>
      <c r="Z108" s="425"/>
      <c r="AA108" s="426">
        <f t="shared" si="35"/>
        <v>256.043172</v>
      </c>
      <c r="AB108" s="427"/>
      <c r="AC108" s="401"/>
      <c r="AD108" s="427">
        <f t="shared" si="37"/>
        <v>2795827.96</v>
      </c>
      <c r="AE108" s="329">
        <f t="shared" si="44"/>
        <v>27846.65</v>
      </c>
      <c r="AF108" s="329">
        <f t="shared" si="44"/>
        <v>175538.2</v>
      </c>
      <c r="AG108" s="401">
        <f t="shared" si="39"/>
        <v>32011.3900000002</v>
      </c>
      <c r="AH108" s="439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0"/>
      <c r="AS108" s="400"/>
      <c r="AT108" s="400"/>
      <c r="AU108" s="400"/>
      <c r="AV108" s="400"/>
      <c r="AW108" s="400"/>
      <c r="AX108" s="400"/>
      <c r="AY108" s="400"/>
      <c r="AZ108" s="400"/>
      <c r="BA108" s="400"/>
      <c r="BB108" s="400"/>
      <c r="BC108" s="400"/>
    </row>
    <row r="109" s="366" customFormat="1" spans="1:55">
      <c r="A109" s="395">
        <v>42839</v>
      </c>
      <c r="B109" s="443" t="s">
        <v>1</v>
      </c>
      <c r="C109" s="377"/>
      <c r="D109" s="329"/>
      <c r="E109" s="329"/>
      <c r="F109" s="378"/>
      <c r="G109" s="329"/>
      <c r="H109" s="376"/>
      <c r="I109" s="376"/>
      <c r="J109" s="399">
        <f t="shared" si="34"/>
        <v>0</v>
      </c>
      <c r="K109" s="329"/>
      <c r="L109" s="329"/>
      <c r="M109" s="401">
        <f t="shared" si="36"/>
        <v>0</v>
      </c>
      <c r="N109" s="396">
        <f t="shared" si="42"/>
        <v>0</v>
      </c>
      <c r="O109" s="368">
        <f t="shared" si="42"/>
        <v>0</v>
      </c>
      <c r="P109" s="398">
        <f t="shared" si="42"/>
        <v>0</v>
      </c>
      <c r="Q109" s="414">
        <f t="shared" si="43"/>
        <v>2560431.72</v>
      </c>
      <c r="R109" s="402">
        <f t="shared" si="43"/>
        <v>1746719</v>
      </c>
      <c r="S109" s="415">
        <f t="shared" si="43"/>
        <v>4542546.96</v>
      </c>
      <c r="T109" s="416">
        <f>N109/'2018'!N109-1</f>
        <v>-1</v>
      </c>
      <c r="U109" s="417">
        <f>O109/'2018'!O109-1</f>
        <v>-1</v>
      </c>
      <c r="V109" s="417">
        <f>P109/'2018'!P109-1</f>
        <v>-1</v>
      </c>
      <c r="W109" s="417">
        <f>Q109/'2018'!Q109-1</f>
        <v>-0.596271183891073</v>
      </c>
      <c r="X109" s="417">
        <f>R109/'2018'!R109-1</f>
        <v>-0.459916213252084</v>
      </c>
      <c r="Y109" s="424">
        <f>S109/'2018'!S109-1</f>
        <v>-0.533011291036982</v>
      </c>
      <c r="Z109" s="425"/>
      <c r="AA109" s="426">
        <f t="shared" si="35"/>
        <v>256.043172</v>
      </c>
      <c r="AB109" s="427"/>
      <c r="AC109" s="401"/>
      <c r="AD109" s="427">
        <f t="shared" si="37"/>
        <v>2795827.96</v>
      </c>
      <c r="AE109" s="329">
        <f t="shared" si="44"/>
        <v>27846.65</v>
      </c>
      <c r="AF109" s="329">
        <f t="shared" si="44"/>
        <v>175538.2</v>
      </c>
      <c r="AG109" s="401">
        <f t="shared" si="39"/>
        <v>32011.3900000002</v>
      </c>
      <c r="AH109" s="439"/>
      <c r="AI109" s="400"/>
      <c r="AJ109" s="400"/>
      <c r="AK109" s="400"/>
      <c r="AL109" s="400"/>
      <c r="AM109" s="400"/>
      <c r="AN109" s="400"/>
      <c r="AO109" s="400"/>
      <c r="AP109" s="400"/>
      <c r="AQ109" s="400"/>
      <c r="AR109" s="400"/>
      <c r="AS109" s="400"/>
      <c r="AT109" s="400"/>
      <c r="AU109" s="400"/>
      <c r="AV109" s="400"/>
      <c r="AW109" s="400"/>
      <c r="AX109" s="400"/>
      <c r="AY109" s="400"/>
      <c r="AZ109" s="400"/>
      <c r="BA109" s="400"/>
      <c r="BB109" s="400"/>
      <c r="BC109" s="400"/>
    </row>
    <row r="110" s="366" customFormat="1" spans="1:55">
      <c r="A110" s="395">
        <v>42840</v>
      </c>
      <c r="B110" s="443" t="s">
        <v>39</v>
      </c>
      <c r="C110" s="377"/>
      <c r="D110" s="329"/>
      <c r="E110" s="329"/>
      <c r="F110" s="378"/>
      <c r="G110" s="329"/>
      <c r="H110" s="376"/>
      <c r="I110" s="376"/>
      <c r="J110" s="399">
        <f t="shared" si="34"/>
        <v>0</v>
      </c>
      <c r="K110" s="329"/>
      <c r="L110" s="329"/>
      <c r="M110" s="401">
        <f t="shared" si="36"/>
        <v>0</v>
      </c>
      <c r="N110" s="396">
        <f t="shared" si="42"/>
        <v>0</v>
      </c>
      <c r="O110" s="368">
        <f t="shared" si="42"/>
        <v>0</v>
      </c>
      <c r="P110" s="398">
        <f t="shared" si="42"/>
        <v>0</v>
      </c>
      <c r="Q110" s="414">
        <f t="shared" si="43"/>
        <v>2560431.72</v>
      </c>
      <c r="R110" s="402">
        <f t="shared" si="43"/>
        <v>1746719</v>
      </c>
      <c r="S110" s="415">
        <f t="shared" si="43"/>
        <v>4542546.96</v>
      </c>
      <c r="T110" s="416">
        <f>N110/'2018'!N110-1</f>
        <v>-1</v>
      </c>
      <c r="U110" s="417">
        <f>O110/'2018'!O110-1</f>
        <v>-1</v>
      </c>
      <c r="V110" s="417">
        <f>P110/'2018'!P110-1</f>
        <v>-1</v>
      </c>
      <c r="W110" s="417">
        <f>Q110/'2018'!Q110-1</f>
        <v>-0.600113448676882</v>
      </c>
      <c r="X110" s="417">
        <f>R110/'2018'!R110-1</f>
        <v>-0.465008794930641</v>
      </c>
      <c r="Y110" s="424">
        <f>S110/'2018'!S110-1</f>
        <v>-0.537434927911931</v>
      </c>
      <c r="Z110" s="425"/>
      <c r="AA110" s="426">
        <f t="shared" si="35"/>
        <v>256.043172</v>
      </c>
      <c r="AB110" s="427"/>
      <c r="AC110" s="401"/>
      <c r="AD110" s="427">
        <f t="shared" si="37"/>
        <v>2795827.96</v>
      </c>
      <c r="AE110" s="329">
        <f t="shared" si="44"/>
        <v>27846.65</v>
      </c>
      <c r="AF110" s="329">
        <f t="shared" si="44"/>
        <v>175538.2</v>
      </c>
      <c r="AG110" s="401">
        <f t="shared" si="39"/>
        <v>32011.3900000002</v>
      </c>
      <c r="AH110" s="439"/>
      <c r="AI110" s="400"/>
      <c r="AJ110" s="400"/>
      <c r="AK110" s="400"/>
      <c r="AL110" s="400"/>
      <c r="AM110" s="400"/>
      <c r="AN110" s="400"/>
      <c r="AO110" s="400"/>
      <c r="AP110" s="400"/>
      <c r="AQ110" s="400"/>
      <c r="AR110" s="400"/>
      <c r="AS110" s="400"/>
      <c r="AT110" s="400"/>
      <c r="AU110" s="400"/>
      <c r="AV110" s="400"/>
      <c r="AW110" s="400"/>
      <c r="AX110" s="400"/>
      <c r="AY110" s="400"/>
      <c r="AZ110" s="400"/>
      <c r="BA110" s="400"/>
      <c r="BB110" s="400"/>
      <c r="BC110" s="400"/>
    </row>
    <row r="111" s="366" customFormat="1" spans="1:55">
      <c r="A111" s="395">
        <v>42841</v>
      </c>
      <c r="B111" s="443" t="s">
        <v>34</v>
      </c>
      <c r="C111" s="377"/>
      <c r="D111" s="329"/>
      <c r="E111" s="329"/>
      <c r="F111" s="378"/>
      <c r="G111" s="329"/>
      <c r="H111" s="376"/>
      <c r="I111" s="376"/>
      <c r="J111" s="399">
        <f t="shared" si="34"/>
        <v>0</v>
      </c>
      <c r="K111" s="329"/>
      <c r="L111" s="329"/>
      <c r="M111" s="401">
        <f t="shared" si="36"/>
        <v>0</v>
      </c>
      <c r="N111" s="396">
        <f t="shared" si="42"/>
        <v>0</v>
      </c>
      <c r="O111" s="368">
        <f t="shared" si="42"/>
        <v>0</v>
      </c>
      <c r="P111" s="398">
        <f t="shared" si="42"/>
        <v>0</v>
      </c>
      <c r="Q111" s="414">
        <f t="shared" si="43"/>
        <v>2560431.72</v>
      </c>
      <c r="R111" s="402">
        <f t="shared" si="43"/>
        <v>1746719</v>
      </c>
      <c r="S111" s="415">
        <f t="shared" si="43"/>
        <v>4542546.96</v>
      </c>
      <c r="T111" s="416">
        <f>N111/'2018'!N111-1</f>
        <v>-1</v>
      </c>
      <c r="U111" s="417">
        <f>O111/'2018'!O111-1</f>
        <v>-1</v>
      </c>
      <c r="V111" s="417">
        <f>P111/'2018'!P111-1</f>
        <v>-1</v>
      </c>
      <c r="W111" s="417">
        <f>Q111/'2018'!Q111-1</f>
        <v>-0.60436521730988</v>
      </c>
      <c r="X111" s="417">
        <f>R111/'2018'!R111-1</f>
        <v>-0.469932734051573</v>
      </c>
      <c r="Y111" s="424">
        <f>S111/'2018'!S111-1</f>
        <v>-0.542111014856802</v>
      </c>
      <c r="Z111" s="425"/>
      <c r="AA111" s="426">
        <f t="shared" si="35"/>
        <v>256.043172</v>
      </c>
      <c r="AB111" s="427"/>
      <c r="AC111" s="401"/>
      <c r="AD111" s="427">
        <f t="shared" si="37"/>
        <v>2795827.96</v>
      </c>
      <c r="AE111" s="329">
        <f t="shared" si="44"/>
        <v>27846.65</v>
      </c>
      <c r="AF111" s="329">
        <f t="shared" si="44"/>
        <v>175538.2</v>
      </c>
      <c r="AG111" s="401">
        <f t="shared" si="39"/>
        <v>32011.3900000002</v>
      </c>
      <c r="AH111" s="439"/>
      <c r="AI111" s="400"/>
      <c r="AJ111" s="400"/>
      <c r="AK111" s="400"/>
      <c r="AL111" s="400"/>
      <c r="AM111" s="400"/>
      <c r="AN111" s="400"/>
      <c r="AO111" s="400"/>
      <c r="AP111" s="400"/>
      <c r="AQ111" s="400"/>
      <c r="AR111" s="400"/>
      <c r="AS111" s="400"/>
      <c r="AT111" s="400"/>
      <c r="AU111" s="400"/>
      <c r="AV111" s="400"/>
      <c r="AW111" s="400"/>
      <c r="AX111" s="400"/>
      <c r="AY111" s="400"/>
      <c r="AZ111" s="400"/>
      <c r="BA111" s="400"/>
      <c r="BB111" s="400"/>
      <c r="BC111" s="400"/>
    </row>
    <row r="112" s="366" customFormat="1" spans="1:55">
      <c r="A112" s="395">
        <v>42842</v>
      </c>
      <c r="B112" s="443" t="s">
        <v>35</v>
      </c>
      <c r="C112" s="377"/>
      <c r="D112" s="329"/>
      <c r="E112" s="329"/>
      <c r="F112" s="378"/>
      <c r="G112" s="329"/>
      <c r="H112" s="376"/>
      <c r="I112" s="376"/>
      <c r="J112" s="399">
        <f t="shared" si="34"/>
        <v>0</v>
      </c>
      <c r="K112" s="329"/>
      <c r="L112" s="329"/>
      <c r="M112" s="401">
        <f t="shared" si="36"/>
        <v>0</v>
      </c>
      <c r="N112" s="396">
        <f t="shared" si="42"/>
        <v>0</v>
      </c>
      <c r="O112" s="368">
        <f t="shared" si="42"/>
        <v>0</v>
      </c>
      <c r="P112" s="398">
        <f t="shared" si="42"/>
        <v>0</v>
      </c>
      <c r="Q112" s="414">
        <f t="shared" si="43"/>
        <v>2560431.72</v>
      </c>
      <c r="R112" s="402">
        <f t="shared" si="43"/>
        <v>1746719</v>
      </c>
      <c r="S112" s="415">
        <f t="shared" si="43"/>
        <v>4542546.96</v>
      </c>
      <c r="T112" s="416">
        <f>N112/'2018'!N112-1</f>
        <v>-1</v>
      </c>
      <c r="U112" s="417">
        <f>O112/'2018'!O112-1</f>
        <v>-1</v>
      </c>
      <c r="V112" s="417">
        <f>P112/'2018'!P112-1</f>
        <v>-1</v>
      </c>
      <c r="W112" s="417">
        <f>Q112/'2018'!Q112-1</f>
        <v>-0.608322837721874</v>
      </c>
      <c r="X112" s="417">
        <f>R112/'2018'!R112-1</f>
        <v>-0.475107309292366</v>
      </c>
      <c r="Y112" s="424">
        <f>S112/'2018'!S112-1</f>
        <v>-0.546678532878326</v>
      </c>
      <c r="Z112" s="425"/>
      <c r="AA112" s="426">
        <f t="shared" si="35"/>
        <v>256.043172</v>
      </c>
      <c r="AB112" s="427"/>
      <c r="AC112" s="401"/>
      <c r="AD112" s="427">
        <f t="shared" si="37"/>
        <v>2795827.96</v>
      </c>
      <c r="AE112" s="329">
        <f t="shared" si="44"/>
        <v>27846.65</v>
      </c>
      <c r="AF112" s="329">
        <f t="shared" si="44"/>
        <v>175538.2</v>
      </c>
      <c r="AG112" s="401">
        <f t="shared" si="39"/>
        <v>32011.3900000002</v>
      </c>
      <c r="AH112" s="439"/>
      <c r="AI112" s="400"/>
      <c r="AJ112" s="400"/>
      <c r="AK112" s="400"/>
      <c r="AL112" s="400"/>
      <c r="AM112" s="400"/>
      <c r="AN112" s="400"/>
      <c r="AO112" s="400"/>
      <c r="AP112" s="400"/>
      <c r="AQ112" s="400"/>
      <c r="AR112" s="400"/>
      <c r="AS112" s="400"/>
      <c r="AT112" s="400"/>
      <c r="AU112" s="400"/>
      <c r="AV112" s="400"/>
      <c r="AW112" s="400"/>
      <c r="AX112" s="400"/>
      <c r="AY112" s="400"/>
      <c r="AZ112" s="400"/>
      <c r="BA112" s="400"/>
      <c r="BB112" s="400"/>
      <c r="BC112" s="400"/>
    </row>
    <row r="113" s="366" customFormat="1" ht="15" customHeight="1" spans="1:55">
      <c r="A113" s="395">
        <v>42843</v>
      </c>
      <c r="B113" s="191" t="s">
        <v>36</v>
      </c>
      <c r="C113" s="377"/>
      <c r="D113" s="329"/>
      <c r="E113" s="329"/>
      <c r="F113" s="378"/>
      <c r="G113" s="329"/>
      <c r="H113" s="376"/>
      <c r="I113" s="376"/>
      <c r="J113" s="399">
        <f t="shared" si="34"/>
        <v>0</v>
      </c>
      <c r="K113" s="329"/>
      <c r="L113" s="329"/>
      <c r="M113" s="401">
        <f t="shared" si="36"/>
        <v>0</v>
      </c>
      <c r="N113" s="396">
        <f t="shared" ref="N113:P124" si="45">N112+C113</f>
        <v>0</v>
      </c>
      <c r="O113" s="368">
        <f t="shared" si="45"/>
        <v>0</v>
      </c>
      <c r="P113" s="398">
        <f t="shared" si="45"/>
        <v>0</v>
      </c>
      <c r="Q113" s="414">
        <f t="shared" si="43"/>
        <v>2560431.72</v>
      </c>
      <c r="R113" s="402">
        <f t="shared" si="43"/>
        <v>1746719</v>
      </c>
      <c r="S113" s="415">
        <f t="shared" si="43"/>
        <v>4542546.96</v>
      </c>
      <c r="T113" s="416">
        <f>N113/'2018'!N113-1</f>
        <v>-1</v>
      </c>
      <c r="U113" s="417">
        <f>O113/'2018'!O113-1</f>
        <v>-1</v>
      </c>
      <c r="V113" s="417">
        <f>P113/'2018'!P113-1</f>
        <v>-1</v>
      </c>
      <c r="W113" s="417">
        <f>Q113/'2018'!Q113-1</f>
        <v>-0.612205118656357</v>
      </c>
      <c r="X113" s="417">
        <f>R113/'2018'!R113-1</f>
        <v>-0.480101067705481</v>
      </c>
      <c r="Y113" s="424">
        <f>S113/'2018'!S113-1</f>
        <v>-0.551149130484265</v>
      </c>
      <c r="Z113" s="425"/>
      <c r="AA113" s="426">
        <f t="shared" si="35"/>
        <v>256.043172</v>
      </c>
      <c r="AB113" s="427"/>
      <c r="AC113" s="401"/>
      <c r="AD113" s="427">
        <f t="shared" si="37"/>
        <v>2795827.96</v>
      </c>
      <c r="AE113" s="329">
        <f t="shared" si="44"/>
        <v>27846.65</v>
      </c>
      <c r="AF113" s="329">
        <f t="shared" si="44"/>
        <v>175538.2</v>
      </c>
      <c r="AG113" s="401">
        <f t="shared" si="39"/>
        <v>32011.3900000002</v>
      </c>
      <c r="AH113" s="439"/>
      <c r="AI113" s="400"/>
      <c r="AJ113" s="400"/>
      <c r="AK113" s="400"/>
      <c r="AL113" s="400"/>
      <c r="AM113" s="400"/>
      <c r="AN113" s="400"/>
      <c r="AO113" s="400"/>
      <c r="AP113" s="400"/>
      <c r="AQ113" s="400"/>
      <c r="AR113" s="400"/>
      <c r="AS113" s="400"/>
      <c r="AT113" s="400"/>
      <c r="AU113" s="400"/>
      <c r="AV113" s="400"/>
      <c r="AW113" s="400"/>
      <c r="AX113" s="400"/>
      <c r="AY113" s="400"/>
      <c r="AZ113" s="400"/>
      <c r="BA113" s="400"/>
      <c r="BB113" s="400"/>
      <c r="BC113" s="400"/>
    </row>
    <row r="114" s="366" customFormat="1" ht="15" customHeight="1" spans="1:55">
      <c r="A114" s="395">
        <v>42844</v>
      </c>
      <c r="B114" s="443" t="s">
        <v>37</v>
      </c>
      <c r="C114" s="377"/>
      <c r="D114" s="329"/>
      <c r="E114" s="329"/>
      <c r="F114" s="378"/>
      <c r="G114" s="329"/>
      <c r="H114" s="376"/>
      <c r="I114" s="376"/>
      <c r="J114" s="399">
        <f t="shared" si="34"/>
        <v>0</v>
      </c>
      <c r="K114" s="329"/>
      <c r="L114" s="329"/>
      <c r="M114" s="401">
        <f t="shared" si="36"/>
        <v>0</v>
      </c>
      <c r="N114" s="396">
        <f t="shared" si="45"/>
        <v>0</v>
      </c>
      <c r="O114" s="368">
        <f t="shared" si="45"/>
        <v>0</v>
      </c>
      <c r="P114" s="398">
        <f t="shared" si="45"/>
        <v>0</v>
      </c>
      <c r="Q114" s="414">
        <f t="shared" si="43"/>
        <v>2560431.72</v>
      </c>
      <c r="R114" s="402">
        <f t="shared" si="43"/>
        <v>1746719</v>
      </c>
      <c r="S114" s="415">
        <f t="shared" si="43"/>
        <v>4542546.96</v>
      </c>
      <c r="T114" s="416">
        <f>N114/'2018'!N114-1</f>
        <v>-1</v>
      </c>
      <c r="U114" s="417">
        <f>O114/'2018'!O114-1</f>
        <v>-1</v>
      </c>
      <c r="V114" s="417">
        <f>P114/'2018'!P114-1</f>
        <v>-1</v>
      </c>
      <c r="W114" s="417">
        <f>Q114/'2018'!Q114-1</f>
        <v>-0.616039293431677</v>
      </c>
      <c r="X114" s="417">
        <f>R114/'2018'!R114-1</f>
        <v>-0.4849442105139</v>
      </c>
      <c r="Y114" s="424">
        <f>S114/'2018'!S114-1</f>
        <v>-0.555540414134815</v>
      </c>
      <c r="Z114" s="425"/>
      <c r="AA114" s="426">
        <f t="shared" si="35"/>
        <v>256.043172</v>
      </c>
      <c r="AB114" s="427"/>
      <c r="AC114" s="401"/>
      <c r="AD114" s="427">
        <f t="shared" si="37"/>
        <v>2795827.96</v>
      </c>
      <c r="AE114" s="329">
        <f t="shared" si="44"/>
        <v>27846.65</v>
      </c>
      <c r="AF114" s="329">
        <f t="shared" si="44"/>
        <v>175538.2</v>
      </c>
      <c r="AG114" s="401">
        <f t="shared" si="39"/>
        <v>32011.3900000002</v>
      </c>
      <c r="AH114" s="439"/>
      <c r="AI114" s="400"/>
      <c r="AJ114" s="400"/>
      <c r="AK114" s="400"/>
      <c r="AL114" s="400"/>
      <c r="AM114" s="400"/>
      <c r="AN114" s="400"/>
      <c r="AO114" s="400"/>
      <c r="AP114" s="400"/>
      <c r="AQ114" s="400"/>
      <c r="AR114" s="400"/>
      <c r="AS114" s="400"/>
      <c r="AT114" s="400"/>
      <c r="AU114" s="400"/>
      <c r="AV114" s="400"/>
      <c r="AW114" s="400"/>
      <c r="AX114" s="400"/>
      <c r="AY114" s="400"/>
      <c r="AZ114" s="400"/>
      <c r="BA114" s="400"/>
      <c r="BB114" s="400"/>
      <c r="BC114" s="400"/>
    </row>
    <row r="115" s="366" customFormat="1" ht="15" customHeight="1" spans="1:55">
      <c r="A115" s="395">
        <v>42845</v>
      </c>
      <c r="B115" s="443" t="s">
        <v>38</v>
      </c>
      <c r="C115" s="377"/>
      <c r="D115" s="329"/>
      <c r="E115" s="329"/>
      <c r="F115" s="378"/>
      <c r="G115" s="329"/>
      <c r="H115" s="376"/>
      <c r="I115" s="376"/>
      <c r="J115" s="399">
        <f t="shared" si="34"/>
        <v>0</v>
      </c>
      <c r="K115" s="329"/>
      <c r="L115" s="329"/>
      <c r="M115" s="401">
        <f t="shared" si="36"/>
        <v>0</v>
      </c>
      <c r="N115" s="396">
        <f t="shared" si="45"/>
        <v>0</v>
      </c>
      <c r="O115" s="368">
        <f t="shared" si="45"/>
        <v>0</v>
      </c>
      <c r="P115" s="398">
        <f t="shared" si="45"/>
        <v>0</v>
      </c>
      <c r="Q115" s="414">
        <f t="shared" si="43"/>
        <v>2560431.72</v>
      </c>
      <c r="R115" s="402">
        <f t="shared" si="43"/>
        <v>1746719</v>
      </c>
      <c r="S115" s="415">
        <f t="shared" si="43"/>
        <v>4542546.96</v>
      </c>
      <c r="T115" s="416">
        <f>N115/'2018'!N115-1</f>
        <v>-1</v>
      </c>
      <c r="U115" s="417">
        <f>O115/'2018'!O115-1</f>
        <v>-1</v>
      </c>
      <c r="V115" s="417">
        <f>P115/'2018'!P115-1</f>
        <v>-1</v>
      </c>
      <c r="W115" s="417">
        <f>Q115/'2018'!Q115-1</f>
        <v>-0.619684654990271</v>
      </c>
      <c r="X115" s="417">
        <f>R115/'2018'!R115-1</f>
        <v>-0.489914480494924</v>
      </c>
      <c r="Y115" s="424">
        <f>S115/'2018'!S115-1</f>
        <v>-0.559832020534722</v>
      </c>
      <c r="Z115" s="425"/>
      <c r="AA115" s="426">
        <f t="shared" si="35"/>
        <v>256.043172</v>
      </c>
      <c r="AB115" s="427"/>
      <c r="AC115" s="401"/>
      <c r="AD115" s="427">
        <f t="shared" si="37"/>
        <v>2795827.96</v>
      </c>
      <c r="AE115" s="329">
        <f t="shared" si="44"/>
        <v>27846.65</v>
      </c>
      <c r="AF115" s="329">
        <f t="shared" si="44"/>
        <v>175538.2</v>
      </c>
      <c r="AG115" s="401">
        <f t="shared" si="39"/>
        <v>32011.3900000002</v>
      </c>
      <c r="AH115" s="439"/>
      <c r="AI115" s="400"/>
      <c r="AJ115" s="400"/>
      <c r="AK115" s="400"/>
      <c r="AL115" s="400"/>
      <c r="AM115" s="400"/>
      <c r="AN115" s="400"/>
      <c r="AO115" s="400"/>
      <c r="AP115" s="400"/>
      <c r="AQ115" s="400"/>
      <c r="AR115" s="400"/>
      <c r="AS115" s="400"/>
      <c r="AT115" s="400"/>
      <c r="AU115" s="400"/>
      <c r="AV115" s="400"/>
      <c r="AW115" s="400"/>
      <c r="AX115" s="400"/>
      <c r="AY115" s="400"/>
      <c r="AZ115" s="400"/>
      <c r="BA115" s="400"/>
      <c r="BB115" s="400"/>
      <c r="BC115" s="400"/>
    </row>
    <row r="116" s="366" customFormat="1" ht="15" customHeight="1" spans="1:55">
      <c r="A116" s="395">
        <v>42846</v>
      </c>
      <c r="B116" s="443" t="s">
        <v>1</v>
      </c>
      <c r="C116" s="377"/>
      <c r="D116" s="329"/>
      <c r="E116" s="329"/>
      <c r="F116" s="378"/>
      <c r="G116" s="329"/>
      <c r="H116" s="376"/>
      <c r="I116" s="376"/>
      <c r="J116" s="399">
        <f t="shared" si="34"/>
        <v>0</v>
      </c>
      <c r="K116" s="329"/>
      <c r="L116" s="329"/>
      <c r="M116" s="401">
        <f t="shared" si="36"/>
        <v>0</v>
      </c>
      <c r="N116" s="396">
        <f t="shared" si="45"/>
        <v>0</v>
      </c>
      <c r="O116" s="368">
        <f t="shared" si="45"/>
        <v>0</v>
      </c>
      <c r="P116" s="398">
        <f t="shared" si="45"/>
        <v>0</v>
      </c>
      <c r="Q116" s="414">
        <f t="shared" si="43"/>
        <v>2560431.72</v>
      </c>
      <c r="R116" s="402">
        <f t="shared" si="43"/>
        <v>1746719</v>
      </c>
      <c r="S116" s="415">
        <f t="shared" si="43"/>
        <v>4542546.96</v>
      </c>
      <c r="T116" s="416">
        <f>N116/'2018'!N116-1</f>
        <v>-1</v>
      </c>
      <c r="U116" s="417">
        <f>O116/'2018'!O116-1</f>
        <v>-1</v>
      </c>
      <c r="V116" s="417">
        <f>P116/'2018'!P116-1</f>
        <v>-1</v>
      </c>
      <c r="W116" s="417">
        <f>Q116/'2018'!Q116-1</f>
        <v>-0.623284562746038</v>
      </c>
      <c r="X116" s="417">
        <f>R116/'2018'!R116-1</f>
        <v>-0.494988683845018</v>
      </c>
      <c r="Y116" s="424">
        <f>S116/'2018'!S116-1</f>
        <v>-0.564088313875302</v>
      </c>
      <c r="Z116" s="425"/>
      <c r="AA116" s="426">
        <f t="shared" si="35"/>
        <v>256.043172</v>
      </c>
      <c r="AB116" s="427"/>
      <c r="AC116" s="401"/>
      <c r="AD116" s="427">
        <f t="shared" si="37"/>
        <v>2795827.96</v>
      </c>
      <c r="AE116" s="329">
        <f t="shared" si="44"/>
        <v>27846.65</v>
      </c>
      <c r="AF116" s="329">
        <f t="shared" si="44"/>
        <v>175538.2</v>
      </c>
      <c r="AG116" s="401">
        <f t="shared" si="39"/>
        <v>32011.3900000002</v>
      </c>
      <c r="AH116" s="439"/>
      <c r="AI116" s="400"/>
      <c r="AJ116" s="400"/>
      <c r="AK116" s="400"/>
      <c r="AL116" s="400"/>
      <c r="AM116" s="400"/>
      <c r="AN116" s="400"/>
      <c r="AO116" s="400"/>
      <c r="AP116" s="400"/>
      <c r="AQ116" s="400"/>
      <c r="AR116" s="400"/>
      <c r="AS116" s="400"/>
      <c r="AT116" s="400"/>
      <c r="AU116" s="400"/>
      <c r="AV116" s="400"/>
      <c r="AW116" s="400"/>
      <c r="AX116" s="400"/>
      <c r="AY116" s="400"/>
      <c r="AZ116" s="400"/>
      <c r="BA116" s="400"/>
      <c r="BB116" s="400"/>
      <c r="BC116" s="400"/>
    </row>
    <row r="117" s="366" customFormat="1" ht="15" customHeight="1" spans="1:55">
      <c r="A117" s="395">
        <v>42847</v>
      </c>
      <c r="B117" s="443" t="s">
        <v>39</v>
      </c>
      <c r="C117" s="377"/>
      <c r="D117" s="329"/>
      <c r="E117" s="329"/>
      <c r="F117" s="378"/>
      <c r="G117" s="329"/>
      <c r="H117" s="376"/>
      <c r="I117" s="376"/>
      <c r="J117" s="399">
        <f t="shared" si="34"/>
        <v>0</v>
      </c>
      <c r="K117" s="329"/>
      <c r="L117" s="329"/>
      <c r="M117" s="401">
        <f t="shared" si="36"/>
        <v>0</v>
      </c>
      <c r="N117" s="396">
        <f t="shared" si="45"/>
        <v>0</v>
      </c>
      <c r="O117" s="368">
        <f t="shared" si="45"/>
        <v>0</v>
      </c>
      <c r="P117" s="398">
        <f t="shared" si="45"/>
        <v>0</v>
      </c>
      <c r="Q117" s="414">
        <f t="shared" si="43"/>
        <v>2560431.72</v>
      </c>
      <c r="R117" s="402">
        <f t="shared" si="43"/>
        <v>1746719</v>
      </c>
      <c r="S117" s="415">
        <f t="shared" si="43"/>
        <v>4542546.96</v>
      </c>
      <c r="T117" s="416">
        <f>N117/'2018'!N117-1</f>
        <v>-1</v>
      </c>
      <c r="U117" s="417">
        <f>O117/'2018'!O117-1</f>
        <v>-1</v>
      </c>
      <c r="V117" s="417">
        <f>P117/'2018'!P117-1</f>
        <v>-1</v>
      </c>
      <c r="W117" s="417">
        <f>Q117/'2018'!Q117-1</f>
        <v>-0.626707001561137</v>
      </c>
      <c r="X117" s="417">
        <f>R117/'2018'!R117-1</f>
        <v>-0.499831914196636</v>
      </c>
      <c r="Y117" s="424">
        <f>S117/'2018'!S117-1</f>
        <v>-0.568139494021034</v>
      </c>
      <c r="Z117" s="425"/>
      <c r="AA117" s="426">
        <f t="shared" si="35"/>
        <v>256.043172</v>
      </c>
      <c r="AB117" s="427"/>
      <c r="AC117" s="401"/>
      <c r="AD117" s="427">
        <f t="shared" si="37"/>
        <v>2795827.96</v>
      </c>
      <c r="AE117" s="329">
        <f t="shared" si="44"/>
        <v>27846.65</v>
      </c>
      <c r="AF117" s="329">
        <f t="shared" si="44"/>
        <v>175538.2</v>
      </c>
      <c r="AG117" s="401">
        <f t="shared" si="39"/>
        <v>32011.3900000002</v>
      </c>
      <c r="AH117" s="439"/>
      <c r="AI117" s="400"/>
      <c r="AJ117" s="400"/>
      <c r="AK117" s="400"/>
      <c r="AL117" s="400"/>
      <c r="AM117" s="400"/>
      <c r="AN117" s="400"/>
      <c r="AO117" s="400"/>
      <c r="AP117" s="400"/>
      <c r="AQ117" s="400"/>
      <c r="AR117" s="400"/>
      <c r="AS117" s="400"/>
      <c r="AT117" s="400"/>
      <c r="AU117" s="400"/>
      <c r="AV117" s="400"/>
      <c r="AW117" s="400"/>
      <c r="AX117" s="400"/>
      <c r="AY117" s="400"/>
      <c r="AZ117" s="400"/>
      <c r="BA117" s="400"/>
      <c r="BB117" s="400"/>
      <c r="BC117" s="400"/>
    </row>
    <row r="118" s="366" customFormat="1" ht="15" customHeight="1" spans="1:55">
      <c r="A118" s="395">
        <v>42848</v>
      </c>
      <c r="B118" s="443" t="s">
        <v>34</v>
      </c>
      <c r="C118" s="377"/>
      <c r="D118" s="329"/>
      <c r="E118" s="329"/>
      <c r="F118" s="378"/>
      <c r="G118" s="329"/>
      <c r="H118" s="376"/>
      <c r="I118" s="376"/>
      <c r="J118" s="399">
        <f t="shared" si="34"/>
        <v>0</v>
      </c>
      <c r="K118" s="329"/>
      <c r="L118" s="329"/>
      <c r="M118" s="401">
        <f t="shared" si="36"/>
        <v>0</v>
      </c>
      <c r="N118" s="396">
        <f t="shared" si="45"/>
        <v>0</v>
      </c>
      <c r="O118" s="368">
        <f t="shared" si="45"/>
        <v>0</v>
      </c>
      <c r="P118" s="398">
        <f t="shared" si="45"/>
        <v>0</v>
      </c>
      <c r="Q118" s="414">
        <f t="shared" si="43"/>
        <v>2560431.72</v>
      </c>
      <c r="R118" s="402">
        <f t="shared" si="43"/>
        <v>1746719</v>
      </c>
      <c r="S118" s="415">
        <f t="shared" si="43"/>
        <v>4542546.96</v>
      </c>
      <c r="T118" s="416">
        <f>N118/'2018'!N118-1</f>
        <v>-1</v>
      </c>
      <c r="U118" s="417">
        <f>O118/'2018'!O118-1</f>
        <v>-1</v>
      </c>
      <c r="V118" s="417">
        <f>P118/'2018'!P118-1</f>
        <v>-1</v>
      </c>
      <c r="W118" s="417">
        <f>Q118/'2018'!Q118-1</f>
        <v>-0.630318956546744</v>
      </c>
      <c r="X118" s="417">
        <f>R118/'2018'!R118-1</f>
        <v>-0.504609124202589</v>
      </c>
      <c r="Y118" s="424">
        <f>S118/'2018'!S118-1</f>
        <v>-0.572312300323516</v>
      </c>
      <c r="Z118" s="425"/>
      <c r="AA118" s="426">
        <f t="shared" si="35"/>
        <v>256.043172</v>
      </c>
      <c r="AB118" s="427"/>
      <c r="AC118" s="401"/>
      <c r="AD118" s="427">
        <f t="shared" si="37"/>
        <v>2795827.96</v>
      </c>
      <c r="AE118" s="329">
        <f t="shared" si="44"/>
        <v>27846.65</v>
      </c>
      <c r="AF118" s="329">
        <f t="shared" si="44"/>
        <v>175538.2</v>
      </c>
      <c r="AG118" s="401">
        <f t="shared" si="39"/>
        <v>32011.3900000002</v>
      </c>
      <c r="AH118" s="439"/>
      <c r="AI118" s="400"/>
      <c r="AJ118" s="400"/>
      <c r="AK118" s="400"/>
      <c r="AL118" s="400"/>
      <c r="AM118" s="400"/>
      <c r="AN118" s="400"/>
      <c r="AO118" s="400"/>
      <c r="AP118" s="400"/>
      <c r="AQ118" s="400"/>
      <c r="AR118" s="400"/>
      <c r="AS118" s="400"/>
      <c r="AT118" s="400"/>
      <c r="AU118" s="400"/>
      <c r="AV118" s="400"/>
      <c r="AW118" s="400"/>
      <c r="AX118" s="400"/>
      <c r="AY118" s="400"/>
      <c r="AZ118" s="400"/>
      <c r="BA118" s="400"/>
      <c r="BB118" s="400"/>
      <c r="BC118" s="400"/>
    </row>
    <row r="119" s="366" customFormat="1" ht="15" customHeight="1" spans="1:55">
      <c r="A119" s="395">
        <v>42849</v>
      </c>
      <c r="B119" s="443" t="s">
        <v>35</v>
      </c>
      <c r="C119" s="377"/>
      <c r="D119" s="329"/>
      <c r="E119" s="329"/>
      <c r="F119" s="378"/>
      <c r="G119" s="329"/>
      <c r="H119" s="376"/>
      <c r="I119" s="376"/>
      <c r="J119" s="399">
        <f t="shared" si="34"/>
        <v>0</v>
      </c>
      <c r="K119" s="329"/>
      <c r="L119" s="329"/>
      <c r="M119" s="401">
        <f t="shared" si="36"/>
        <v>0</v>
      </c>
      <c r="N119" s="396">
        <f t="shared" si="45"/>
        <v>0</v>
      </c>
      <c r="O119" s="368">
        <f t="shared" si="45"/>
        <v>0</v>
      </c>
      <c r="P119" s="398">
        <f t="shared" si="45"/>
        <v>0</v>
      </c>
      <c r="Q119" s="414">
        <f t="shared" si="43"/>
        <v>2560431.72</v>
      </c>
      <c r="R119" s="402">
        <f t="shared" si="43"/>
        <v>1746719</v>
      </c>
      <c r="S119" s="415">
        <f t="shared" si="43"/>
        <v>4542546.96</v>
      </c>
      <c r="T119" s="416">
        <f>N119/'2018'!N119-1</f>
        <v>-1</v>
      </c>
      <c r="U119" s="417">
        <f>O119/'2018'!O119-1</f>
        <v>-1</v>
      </c>
      <c r="V119" s="417">
        <f>P119/'2018'!P119-1</f>
        <v>-1</v>
      </c>
      <c r="W119" s="417">
        <f>Q119/'2018'!Q119-1</f>
        <v>-0.633731372068569</v>
      </c>
      <c r="X119" s="417">
        <f>R119/'2018'!R119-1</f>
        <v>-0.50930931268374</v>
      </c>
      <c r="Y119" s="424">
        <f>S119/'2018'!S119-1</f>
        <v>-0.57632349759171</v>
      </c>
      <c r="Z119" s="425"/>
      <c r="AA119" s="426">
        <f t="shared" si="35"/>
        <v>256.043172</v>
      </c>
      <c r="AB119" s="427"/>
      <c r="AC119" s="401"/>
      <c r="AD119" s="427">
        <f t="shared" si="37"/>
        <v>2795827.96</v>
      </c>
      <c r="AE119" s="329">
        <f t="shared" ref="AE119:AF134" si="46">AE118+K119</f>
        <v>27846.65</v>
      </c>
      <c r="AF119" s="329">
        <f t="shared" si="46"/>
        <v>175538.2</v>
      </c>
      <c r="AG119" s="401">
        <f t="shared" si="39"/>
        <v>32011.3900000002</v>
      </c>
      <c r="AH119" s="439"/>
      <c r="AI119" s="400"/>
      <c r="AJ119" s="400"/>
      <c r="AK119" s="400"/>
      <c r="AL119" s="400"/>
      <c r="AM119" s="400"/>
      <c r="AN119" s="400"/>
      <c r="AO119" s="400"/>
      <c r="AP119" s="400"/>
      <c r="AQ119" s="400"/>
      <c r="AR119" s="400"/>
      <c r="AS119" s="400"/>
      <c r="AT119" s="400"/>
      <c r="AU119" s="400"/>
      <c r="AV119" s="400"/>
      <c r="AW119" s="400"/>
      <c r="AX119" s="400"/>
      <c r="AY119" s="400"/>
      <c r="AZ119" s="400"/>
      <c r="BA119" s="400"/>
      <c r="BB119" s="400"/>
      <c r="BC119" s="400"/>
    </row>
    <row r="120" s="366" customFormat="1" ht="15" customHeight="1" spans="1:55">
      <c r="A120" s="395">
        <v>42850</v>
      </c>
      <c r="B120" s="191" t="s">
        <v>36</v>
      </c>
      <c r="C120" s="377"/>
      <c r="D120" s="329"/>
      <c r="E120" s="329"/>
      <c r="F120" s="378"/>
      <c r="G120" s="329"/>
      <c r="H120" s="376"/>
      <c r="I120" s="376"/>
      <c r="J120" s="399">
        <f t="shared" si="34"/>
        <v>0</v>
      </c>
      <c r="K120" s="329"/>
      <c r="L120" s="329"/>
      <c r="M120" s="401">
        <f t="shared" si="36"/>
        <v>0</v>
      </c>
      <c r="N120" s="396">
        <f t="shared" si="45"/>
        <v>0</v>
      </c>
      <c r="O120" s="368">
        <f t="shared" si="45"/>
        <v>0</v>
      </c>
      <c r="P120" s="398">
        <f t="shared" si="45"/>
        <v>0</v>
      </c>
      <c r="Q120" s="414">
        <f t="shared" si="43"/>
        <v>2560431.72</v>
      </c>
      <c r="R120" s="402">
        <f t="shared" si="43"/>
        <v>1746719</v>
      </c>
      <c r="S120" s="415">
        <f t="shared" si="43"/>
        <v>4542546.96</v>
      </c>
      <c r="T120" s="416">
        <f>N120/'2018'!N120-1</f>
        <v>-1</v>
      </c>
      <c r="U120" s="417">
        <f>O120/'2018'!O120-1</f>
        <v>-1</v>
      </c>
      <c r="V120" s="417">
        <f>P120/'2018'!P120-1</f>
        <v>-1</v>
      </c>
      <c r="W120" s="417">
        <f>Q120/'2018'!Q120-1</f>
        <v>-0.63706711622311</v>
      </c>
      <c r="X120" s="417">
        <f>R120/'2018'!R120-1</f>
        <v>-0.513780161544485</v>
      </c>
      <c r="Y120" s="424">
        <f>S120/'2018'!S120-1</f>
        <v>-0.580224390952248</v>
      </c>
      <c r="Z120" s="425"/>
      <c r="AA120" s="426">
        <f t="shared" si="35"/>
        <v>256.043172</v>
      </c>
      <c r="AB120" s="427"/>
      <c r="AC120" s="401"/>
      <c r="AD120" s="427">
        <f t="shared" si="37"/>
        <v>2795827.96</v>
      </c>
      <c r="AE120" s="329">
        <f t="shared" si="46"/>
        <v>27846.65</v>
      </c>
      <c r="AF120" s="329">
        <f t="shared" si="46"/>
        <v>175538.2</v>
      </c>
      <c r="AG120" s="401">
        <f t="shared" si="39"/>
        <v>32011.3900000002</v>
      </c>
      <c r="AH120" s="439"/>
      <c r="AI120" s="400"/>
      <c r="AJ120" s="400"/>
      <c r="AK120" s="400"/>
      <c r="AL120" s="400"/>
      <c r="AM120" s="400"/>
      <c r="AN120" s="400"/>
      <c r="AO120" s="400"/>
      <c r="AP120" s="400"/>
      <c r="AQ120" s="400"/>
      <c r="AR120" s="400"/>
      <c r="AS120" s="400"/>
      <c r="AT120" s="400"/>
      <c r="AU120" s="400"/>
      <c r="AV120" s="400"/>
      <c r="AW120" s="400"/>
      <c r="AX120" s="400"/>
      <c r="AY120" s="400"/>
      <c r="AZ120" s="400"/>
      <c r="BA120" s="400"/>
      <c r="BB120" s="400"/>
      <c r="BC120" s="400"/>
    </row>
    <row r="121" s="366" customFormat="1" ht="15" customHeight="1" spans="1:55">
      <c r="A121" s="395">
        <v>42851</v>
      </c>
      <c r="B121" s="443" t="s">
        <v>37</v>
      </c>
      <c r="C121" s="377"/>
      <c r="D121" s="329"/>
      <c r="E121" s="329"/>
      <c r="F121" s="378"/>
      <c r="G121" s="329"/>
      <c r="H121" s="376"/>
      <c r="I121" s="376"/>
      <c r="J121" s="399">
        <f t="shared" si="34"/>
        <v>0</v>
      </c>
      <c r="K121" s="329"/>
      <c r="L121" s="329"/>
      <c r="M121" s="401">
        <f t="shared" si="36"/>
        <v>0</v>
      </c>
      <c r="N121" s="396">
        <f t="shared" si="45"/>
        <v>0</v>
      </c>
      <c r="O121" s="368">
        <f t="shared" si="45"/>
        <v>0</v>
      </c>
      <c r="P121" s="398">
        <f t="shared" si="45"/>
        <v>0</v>
      </c>
      <c r="Q121" s="414">
        <f t="shared" si="43"/>
        <v>2560431.72</v>
      </c>
      <c r="R121" s="402">
        <f t="shared" si="43"/>
        <v>1746719</v>
      </c>
      <c r="S121" s="415">
        <f t="shared" si="43"/>
        <v>4542546.96</v>
      </c>
      <c r="T121" s="416">
        <f>N121/'2018'!N121-1</f>
        <v>-1</v>
      </c>
      <c r="U121" s="417">
        <f>O121/'2018'!O121-1</f>
        <v>-1</v>
      </c>
      <c r="V121" s="417">
        <f>P121/'2018'!P121-1</f>
        <v>-1</v>
      </c>
      <c r="W121" s="417">
        <f>Q121/'2018'!Q121-1</f>
        <v>-0.640531091464175</v>
      </c>
      <c r="X121" s="417">
        <f>R121/'2018'!R121-1</f>
        <v>-0.517999156707761</v>
      </c>
      <c r="Y121" s="424">
        <f>S121/'2018'!S121-1</f>
        <v>-0.584132208018532</v>
      </c>
      <c r="Z121" s="425"/>
      <c r="AA121" s="426">
        <f t="shared" si="35"/>
        <v>256.043172</v>
      </c>
      <c r="AB121" s="427"/>
      <c r="AC121" s="401"/>
      <c r="AD121" s="427">
        <f t="shared" si="37"/>
        <v>2795827.96</v>
      </c>
      <c r="AE121" s="329">
        <f t="shared" si="46"/>
        <v>27846.65</v>
      </c>
      <c r="AF121" s="329">
        <f t="shared" si="46"/>
        <v>175538.2</v>
      </c>
      <c r="AG121" s="401">
        <f t="shared" si="39"/>
        <v>32011.3900000002</v>
      </c>
      <c r="AH121" s="439"/>
      <c r="AI121" s="400"/>
      <c r="AJ121" s="400"/>
      <c r="AK121" s="400"/>
      <c r="AL121" s="400"/>
      <c r="AM121" s="400"/>
      <c r="AN121" s="400"/>
      <c r="AO121" s="400"/>
      <c r="AP121" s="400"/>
      <c r="AQ121" s="400"/>
      <c r="AR121" s="400"/>
      <c r="AS121" s="400"/>
      <c r="AT121" s="400"/>
      <c r="AU121" s="400"/>
      <c r="AV121" s="400"/>
      <c r="AW121" s="400"/>
      <c r="AX121" s="400"/>
      <c r="AY121" s="400"/>
      <c r="AZ121" s="400"/>
      <c r="BA121" s="400"/>
      <c r="BB121" s="400"/>
      <c r="BC121" s="400"/>
    </row>
    <row r="122" s="366" customFormat="1" ht="15" customHeight="1" spans="1:55">
      <c r="A122" s="395">
        <v>42852</v>
      </c>
      <c r="B122" s="443" t="s">
        <v>38</v>
      </c>
      <c r="C122" s="377"/>
      <c r="D122" s="329"/>
      <c r="E122" s="329"/>
      <c r="F122" s="378"/>
      <c r="G122" s="329"/>
      <c r="H122" s="376"/>
      <c r="I122" s="376"/>
      <c r="J122" s="399">
        <f t="shared" si="34"/>
        <v>0</v>
      </c>
      <c r="K122" s="329"/>
      <c r="L122" s="329"/>
      <c r="M122" s="401">
        <f t="shared" si="36"/>
        <v>0</v>
      </c>
      <c r="N122" s="396">
        <f t="shared" si="45"/>
        <v>0</v>
      </c>
      <c r="O122" s="368">
        <f t="shared" si="45"/>
        <v>0</v>
      </c>
      <c r="P122" s="398">
        <f t="shared" si="45"/>
        <v>0</v>
      </c>
      <c r="Q122" s="414">
        <f t="shared" si="43"/>
        <v>2560431.72</v>
      </c>
      <c r="R122" s="402">
        <f t="shared" si="43"/>
        <v>1746719</v>
      </c>
      <c r="S122" s="415">
        <f t="shared" si="43"/>
        <v>4542546.96</v>
      </c>
      <c r="T122" s="416">
        <f>N122/'2018'!N122-1</f>
        <v>-1</v>
      </c>
      <c r="U122" s="417">
        <f>O122/'2018'!O122-1</f>
        <v>-1</v>
      </c>
      <c r="V122" s="417">
        <f>P122/'2018'!P122-1</f>
        <v>-1</v>
      </c>
      <c r="W122" s="417">
        <f>Q122/'2018'!Q122-1</f>
        <v>-0.643865630180681</v>
      </c>
      <c r="X122" s="417">
        <f>R122/'2018'!R122-1</f>
        <v>-0.522444090723426</v>
      </c>
      <c r="Y122" s="424">
        <f>S122/'2018'!S122-1</f>
        <v>-0.587989090339627</v>
      </c>
      <c r="Z122" s="425"/>
      <c r="AA122" s="426">
        <f t="shared" si="35"/>
        <v>256.043172</v>
      </c>
      <c r="AB122" s="427"/>
      <c r="AC122" s="401"/>
      <c r="AD122" s="427">
        <f t="shared" si="37"/>
        <v>2795827.96</v>
      </c>
      <c r="AE122" s="329">
        <f t="shared" si="46"/>
        <v>27846.65</v>
      </c>
      <c r="AF122" s="329">
        <f t="shared" si="46"/>
        <v>175538.2</v>
      </c>
      <c r="AG122" s="401">
        <f t="shared" si="39"/>
        <v>32011.3900000002</v>
      </c>
      <c r="AH122" s="439"/>
      <c r="AI122" s="400"/>
      <c r="AJ122" s="400"/>
      <c r="AK122" s="400"/>
      <c r="AL122" s="400"/>
      <c r="AM122" s="400"/>
      <c r="AN122" s="400"/>
      <c r="AO122" s="400"/>
      <c r="AP122" s="400"/>
      <c r="AQ122" s="400"/>
      <c r="AR122" s="400"/>
      <c r="AS122" s="400"/>
      <c r="AT122" s="400"/>
      <c r="AU122" s="400"/>
      <c r="AV122" s="400"/>
      <c r="AW122" s="400"/>
      <c r="AX122" s="400"/>
      <c r="AY122" s="400"/>
      <c r="AZ122" s="400"/>
      <c r="BA122" s="400"/>
      <c r="BB122" s="400"/>
      <c r="BC122" s="400"/>
    </row>
    <row r="123" s="366" customFormat="1" ht="15" customHeight="1" spans="1:55">
      <c r="A123" s="395">
        <v>42853</v>
      </c>
      <c r="B123" s="443" t="s">
        <v>1</v>
      </c>
      <c r="C123" s="377"/>
      <c r="D123" s="329"/>
      <c r="E123" s="329"/>
      <c r="F123" s="378"/>
      <c r="G123" s="329"/>
      <c r="H123" s="376"/>
      <c r="I123" s="376"/>
      <c r="J123" s="399">
        <f t="shared" si="34"/>
        <v>0</v>
      </c>
      <c r="K123" s="329"/>
      <c r="L123" s="329"/>
      <c r="M123" s="401">
        <f t="shared" si="36"/>
        <v>0</v>
      </c>
      <c r="N123" s="396">
        <f t="shared" si="45"/>
        <v>0</v>
      </c>
      <c r="O123" s="368">
        <f t="shared" si="45"/>
        <v>0</v>
      </c>
      <c r="P123" s="398">
        <f t="shared" si="45"/>
        <v>0</v>
      </c>
      <c r="Q123" s="414">
        <f t="shared" si="43"/>
        <v>2560431.72</v>
      </c>
      <c r="R123" s="402">
        <f t="shared" si="43"/>
        <v>1746719</v>
      </c>
      <c r="S123" s="415">
        <f t="shared" si="43"/>
        <v>4542546.96</v>
      </c>
      <c r="T123" s="416">
        <f>N123/'2018'!N123-1</f>
        <v>-1</v>
      </c>
      <c r="U123" s="417">
        <f>O123/'2018'!O123-1</f>
        <v>-1</v>
      </c>
      <c r="V123" s="417">
        <f>P123/'2018'!P123-1</f>
        <v>-1</v>
      </c>
      <c r="W123" s="417">
        <f>Q123/'2018'!Q123-1</f>
        <v>-0.647220064756444</v>
      </c>
      <c r="X123" s="417">
        <f>R123/'2018'!R123-1</f>
        <v>-0.526514570354664</v>
      </c>
      <c r="Y123" s="424">
        <f>S123/'2018'!S123-1</f>
        <v>-0.591757223452325</v>
      </c>
      <c r="Z123" s="425"/>
      <c r="AA123" s="426">
        <f t="shared" si="35"/>
        <v>256.043172</v>
      </c>
      <c r="AB123" s="427"/>
      <c r="AC123" s="401"/>
      <c r="AD123" s="427">
        <f t="shared" si="37"/>
        <v>2795827.96</v>
      </c>
      <c r="AE123" s="329">
        <f t="shared" si="46"/>
        <v>27846.65</v>
      </c>
      <c r="AF123" s="329">
        <f t="shared" si="46"/>
        <v>175538.2</v>
      </c>
      <c r="AG123" s="401">
        <f t="shared" si="39"/>
        <v>32011.3900000002</v>
      </c>
      <c r="AH123" s="439"/>
      <c r="AI123" s="400"/>
      <c r="AJ123" s="400"/>
      <c r="AK123" s="400"/>
      <c r="AL123" s="400"/>
      <c r="AM123" s="400"/>
      <c r="AN123" s="400"/>
      <c r="AO123" s="400"/>
      <c r="AP123" s="400"/>
      <c r="AQ123" s="400"/>
      <c r="AR123" s="400"/>
      <c r="AS123" s="400"/>
      <c r="AT123" s="400"/>
      <c r="AU123" s="400"/>
      <c r="AV123" s="400"/>
      <c r="AW123" s="400"/>
      <c r="AX123" s="400"/>
      <c r="AY123" s="400"/>
      <c r="AZ123" s="400"/>
      <c r="BA123" s="400"/>
      <c r="BB123" s="400"/>
      <c r="BC123" s="400"/>
    </row>
    <row r="124" s="366" customFormat="1" ht="15" customHeight="1" spans="1:55">
      <c r="A124" s="395">
        <v>42854</v>
      </c>
      <c r="B124" s="443" t="s">
        <v>39</v>
      </c>
      <c r="C124" s="377"/>
      <c r="D124" s="329"/>
      <c r="E124" s="329"/>
      <c r="F124" s="378"/>
      <c r="G124" s="329"/>
      <c r="H124" s="376"/>
      <c r="I124" s="376"/>
      <c r="J124" s="399">
        <f t="shared" si="34"/>
        <v>0</v>
      </c>
      <c r="K124" s="329"/>
      <c r="L124" s="329"/>
      <c r="M124" s="401">
        <f t="shared" si="36"/>
        <v>0</v>
      </c>
      <c r="N124" s="396">
        <f t="shared" si="45"/>
        <v>0</v>
      </c>
      <c r="O124" s="368">
        <f t="shared" si="45"/>
        <v>0</v>
      </c>
      <c r="P124" s="398">
        <f t="shared" si="45"/>
        <v>0</v>
      </c>
      <c r="Q124" s="414">
        <f t="shared" si="43"/>
        <v>2560431.72</v>
      </c>
      <c r="R124" s="402">
        <f t="shared" si="43"/>
        <v>1746719</v>
      </c>
      <c r="S124" s="415">
        <f t="shared" si="43"/>
        <v>4542546.96</v>
      </c>
      <c r="T124" s="416">
        <f>N124/'2018'!N124-1</f>
        <v>-1</v>
      </c>
      <c r="U124" s="417">
        <f>O124/'2018'!O124-1</f>
        <v>-1</v>
      </c>
      <c r="V124" s="417">
        <f>P124/'2018'!P124-1</f>
        <v>-1</v>
      </c>
      <c r="W124" s="417">
        <f>Q124/'2018'!Q124-1</f>
        <v>-0.650538896221861</v>
      </c>
      <c r="X124" s="417">
        <f>R124/'2018'!R124-1</f>
        <v>-0.530239984595202</v>
      </c>
      <c r="Y124" s="424">
        <f>S124/'2018'!S124-1</f>
        <v>-0.59537525854285</v>
      </c>
      <c r="Z124" s="425"/>
      <c r="AA124" s="426">
        <f t="shared" si="35"/>
        <v>256.043172</v>
      </c>
      <c r="AB124" s="427"/>
      <c r="AC124" s="401"/>
      <c r="AD124" s="427">
        <f t="shared" si="37"/>
        <v>2795827.96</v>
      </c>
      <c r="AE124" s="329">
        <f t="shared" si="46"/>
        <v>27846.65</v>
      </c>
      <c r="AF124" s="329">
        <f t="shared" si="46"/>
        <v>175538.2</v>
      </c>
      <c r="AG124" s="401">
        <f t="shared" si="39"/>
        <v>32011.3900000002</v>
      </c>
      <c r="AH124" s="439"/>
      <c r="AI124" s="400"/>
      <c r="AJ124" s="400"/>
      <c r="AK124" s="400"/>
      <c r="AL124" s="400"/>
      <c r="AM124" s="400"/>
      <c r="AN124" s="400"/>
      <c r="AO124" s="400"/>
      <c r="AP124" s="400"/>
      <c r="AQ124" s="400"/>
      <c r="AR124" s="400"/>
      <c r="AS124" s="400"/>
      <c r="AT124" s="400"/>
      <c r="AU124" s="400"/>
      <c r="AV124" s="400"/>
      <c r="AW124" s="400"/>
      <c r="AX124" s="400"/>
      <c r="AY124" s="400"/>
      <c r="AZ124" s="400"/>
      <c r="BA124" s="400"/>
      <c r="BB124" s="400"/>
      <c r="BC124" s="400"/>
    </row>
    <row r="125" s="366" customFormat="1" ht="15" customHeight="1" spans="1:55">
      <c r="A125" s="385">
        <v>42855</v>
      </c>
      <c r="B125" s="386" t="s">
        <v>34</v>
      </c>
      <c r="C125" s="391"/>
      <c r="D125" s="392"/>
      <c r="E125" s="392"/>
      <c r="F125" s="394"/>
      <c r="G125" s="392"/>
      <c r="H125" s="389"/>
      <c r="I125" s="389"/>
      <c r="J125" s="405">
        <f t="shared" si="34"/>
        <v>0</v>
      </c>
      <c r="K125" s="392"/>
      <c r="L125" s="392"/>
      <c r="M125" s="406">
        <f t="shared" si="36"/>
        <v>0</v>
      </c>
      <c r="N125" s="407">
        <f t="shared" ref="N125" si="47">N124+C125</f>
        <v>0</v>
      </c>
      <c r="O125" s="411">
        <f t="shared" ref="O125" si="48">O124+D125</f>
        <v>0</v>
      </c>
      <c r="P125" s="409">
        <f t="shared" ref="P125" si="49">P124+E125</f>
        <v>0</v>
      </c>
      <c r="Q125" s="418">
        <f>[3]表2、统调口径电量!$I$10</f>
        <v>7390704.48</v>
      </c>
      <c r="R125" s="408">
        <f>[3]表2、统调口径电量!$I$14</f>
        <v>3745318</v>
      </c>
      <c r="S125" s="419">
        <f>[3]表2、统调口径电量!$I$3</f>
        <v>11317748.98</v>
      </c>
      <c r="T125" s="420">
        <f>N125/'2018'!N125-1</f>
        <v>-1</v>
      </c>
      <c r="U125" s="421">
        <f>O125/'2018'!O125-1</f>
        <v>-1</v>
      </c>
      <c r="V125" s="421">
        <f>P125/'2018'!P125-1</f>
        <v>-1</v>
      </c>
      <c r="W125" s="421">
        <f>Q125/'2018'!Q125-1</f>
        <v>0</v>
      </c>
      <c r="X125" s="421">
        <f>R125/'2018'!R125-1</f>
        <v>0</v>
      </c>
      <c r="Y125" s="431">
        <f>S125/'2018'!S125-1</f>
        <v>0</v>
      </c>
      <c r="Z125" s="432"/>
      <c r="AA125" s="433">
        <f t="shared" si="35"/>
        <v>739.070448</v>
      </c>
      <c r="AB125" s="435"/>
      <c r="AC125" s="406" t="e">
        <f t="shared" ref="AC125" si="50">AA125*10000/AB125</f>
        <v>#DIV/0!</v>
      </c>
      <c r="AD125" s="435">
        <f>[3]表2、统调口径电量!$I$4</f>
        <v>7572430.98</v>
      </c>
      <c r="AE125" s="392">
        <f>[3]表2、统调口径电量!$I$13</f>
        <v>52541.2</v>
      </c>
      <c r="AF125" s="392">
        <f>[3]表2、统调口径电量!$I$15</f>
        <v>43161.64</v>
      </c>
      <c r="AG125" s="406">
        <f>[3]表2、统调口径电量!$I$16+[3]表2、统调口径电量!$I$17</f>
        <v>86023.66</v>
      </c>
      <c r="AH125" s="447"/>
      <c r="AI125" s="400"/>
      <c r="AJ125" s="400"/>
      <c r="AK125" s="400"/>
      <c r="AL125" s="400"/>
      <c r="AM125" s="400"/>
      <c r="AN125" s="400"/>
      <c r="AO125" s="400"/>
      <c r="AP125" s="400"/>
      <c r="AQ125" s="400"/>
      <c r="AR125" s="400"/>
      <c r="AS125" s="400"/>
      <c r="AT125" s="400"/>
      <c r="AU125" s="400"/>
      <c r="AV125" s="400"/>
      <c r="AW125" s="400"/>
      <c r="AX125" s="400"/>
      <c r="AY125" s="400"/>
      <c r="AZ125" s="400"/>
      <c r="BA125" s="400"/>
      <c r="BB125" s="400"/>
      <c r="BC125" s="400"/>
    </row>
    <row r="126" s="366" customFormat="1" ht="15" customHeight="1" spans="1:55">
      <c r="A126" s="395">
        <v>42856</v>
      </c>
      <c r="B126" s="443" t="s">
        <v>35</v>
      </c>
      <c r="C126" s="377"/>
      <c r="D126" s="329"/>
      <c r="E126" s="329"/>
      <c r="F126" s="378"/>
      <c r="G126" s="329"/>
      <c r="H126" s="376"/>
      <c r="I126" s="376"/>
      <c r="J126" s="399">
        <f t="shared" si="34"/>
        <v>0</v>
      </c>
      <c r="K126" s="329"/>
      <c r="L126" s="329"/>
      <c r="M126" s="401">
        <f t="shared" si="36"/>
        <v>0</v>
      </c>
      <c r="N126" s="396">
        <f>C126</f>
        <v>0</v>
      </c>
      <c r="O126" s="368">
        <f>D126</f>
        <v>0</v>
      </c>
      <c r="P126" s="398">
        <f>E126</f>
        <v>0</v>
      </c>
      <c r="Q126" s="414">
        <f>N126+Q$125</f>
        <v>7390704.48</v>
      </c>
      <c r="R126" s="402">
        <f>O126+R$125</f>
        <v>3745318</v>
      </c>
      <c r="S126" s="415">
        <f>P126+S$125</f>
        <v>11317748.98</v>
      </c>
      <c r="T126" s="416">
        <f>N126/'2018'!N126-1</f>
        <v>-1</v>
      </c>
      <c r="U126" s="417">
        <f>O126/'2018'!O126-1</f>
        <v>-1</v>
      </c>
      <c r="V126" s="417">
        <f>P126/'2018'!P126-1</f>
        <v>-1</v>
      </c>
      <c r="W126" s="417">
        <f>Q126/'2018'!Q126-1</f>
        <v>-0.00620477882857173</v>
      </c>
      <c r="X126" s="417">
        <f>R126/'2018'!R126-1</f>
        <v>-0.00666736154264591</v>
      </c>
      <c r="Y126" s="424">
        <f>S126/'2018'!S126-1</f>
        <v>-0.00634659923641445</v>
      </c>
      <c r="Z126" s="425"/>
      <c r="AA126" s="426">
        <f t="shared" si="35"/>
        <v>739.070448</v>
      </c>
      <c r="AB126" s="427"/>
      <c r="AC126" s="401"/>
      <c r="AD126" s="427">
        <f t="shared" si="37"/>
        <v>7572430.98</v>
      </c>
      <c r="AE126" s="329">
        <f t="shared" si="46"/>
        <v>52541.2</v>
      </c>
      <c r="AF126" s="329">
        <f t="shared" si="46"/>
        <v>43161.64</v>
      </c>
      <c r="AG126" s="401">
        <f t="shared" si="39"/>
        <v>86023.66</v>
      </c>
      <c r="AH126" s="439"/>
      <c r="AI126" s="400"/>
      <c r="AJ126" s="400"/>
      <c r="AK126" s="400"/>
      <c r="AL126" s="400"/>
      <c r="AM126" s="400"/>
      <c r="AN126" s="400"/>
      <c r="AO126" s="400"/>
      <c r="AP126" s="400"/>
      <c r="AQ126" s="400"/>
      <c r="AR126" s="400"/>
      <c r="AS126" s="400"/>
      <c r="AT126" s="400"/>
      <c r="AU126" s="400"/>
      <c r="AV126" s="400"/>
      <c r="AW126" s="400"/>
      <c r="AX126" s="400"/>
      <c r="AY126" s="400"/>
      <c r="AZ126" s="400"/>
      <c r="BA126" s="400"/>
      <c r="BB126" s="400"/>
      <c r="BC126" s="400"/>
    </row>
    <row r="127" s="366" customFormat="1" ht="15" customHeight="1" spans="1:55">
      <c r="A127" s="395">
        <v>42857</v>
      </c>
      <c r="B127" s="191" t="s">
        <v>36</v>
      </c>
      <c r="C127" s="377"/>
      <c r="D127" s="329"/>
      <c r="E127" s="329"/>
      <c r="F127" s="378"/>
      <c r="G127" s="329"/>
      <c r="H127" s="376"/>
      <c r="I127" s="376"/>
      <c r="J127" s="399">
        <f t="shared" si="34"/>
        <v>0</v>
      </c>
      <c r="K127" s="329"/>
      <c r="L127" s="329"/>
      <c r="M127" s="401">
        <f t="shared" si="36"/>
        <v>0</v>
      </c>
      <c r="N127" s="396">
        <f t="shared" ref="N127:P142" si="51">N126+C127</f>
        <v>0</v>
      </c>
      <c r="O127" s="368">
        <f t="shared" si="51"/>
        <v>0</v>
      </c>
      <c r="P127" s="398">
        <f t="shared" si="51"/>
        <v>0</v>
      </c>
      <c r="Q127" s="414">
        <f t="shared" ref="Q127:S155" si="52">N127+Q$125</f>
        <v>7390704.48</v>
      </c>
      <c r="R127" s="402">
        <f t="shared" si="52"/>
        <v>3745318</v>
      </c>
      <c r="S127" s="415">
        <f t="shared" si="52"/>
        <v>11317748.98</v>
      </c>
      <c r="T127" s="416">
        <f>N127/'2018'!N127-1</f>
        <v>-1</v>
      </c>
      <c r="U127" s="417">
        <f>O127/'2018'!O127-1</f>
        <v>-1</v>
      </c>
      <c r="V127" s="417">
        <f>P127/'2018'!P127-1</f>
        <v>-1</v>
      </c>
      <c r="W127" s="417">
        <f>Q127/'2018'!Q127-1</f>
        <v>-0.0140858889828754</v>
      </c>
      <c r="X127" s="417">
        <f>R127/'2018'!R127-1</f>
        <v>-0.0142538113818357</v>
      </c>
      <c r="Y127" s="424">
        <f>S127/'2018'!S127-1</f>
        <v>-0.0141811934981573</v>
      </c>
      <c r="Z127" s="425"/>
      <c r="AA127" s="426">
        <f t="shared" si="35"/>
        <v>739.070448</v>
      </c>
      <c r="AB127" s="427"/>
      <c r="AC127" s="401"/>
      <c r="AD127" s="427">
        <f t="shared" si="37"/>
        <v>7572430.98</v>
      </c>
      <c r="AE127" s="329">
        <f t="shared" si="46"/>
        <v>52541.2</v>
      </c>
      <c r="AF127" s="329">
        <f t="shared" si="46"/>
        <v>43161.64</v>
      </c>
      <c r="AG127" s="401">
        <f t="shared" si="39"/>
        <v>86023.66</v>
      </c>
      <c r="AH127" s="439"/>
      <c r="AI127" s="400"/>
      <c r="AJ127" s="400"/>
      <c r="AK127" s="400"/>
      <c r="AL127" s="400"/>
      <c r="AM127" s="400"/>
      <c r="AN127" s="400"/>
      <c r="AO127" s="400"/>
      <c r="AP127" s="400"/>
      <c r="AQ127" s="400"/>
      <c r="AR127" s="400"/>
      <c r="AS127" s="400"/>
      <c r="AT127" s="400"/>
      <c r="AU127" s="400"/>
      <c r="AV127" s="400"/>
      <c r="AW127" s="400"/>
      <c r="AX127" s="400"/>
      <c r="AY127" s="400"/>
      <c r="AZ127" s="400"/>
      <c r="BA127" s="400"/>
      <c r="BB127" s="400"/>
      <c r="BC127" s="400"/>
    </row>
    <row r="128" s="366" customFormat="1" ht="15" customHeight="1" spans="1:55">
      <c r="A128" s="395">
        <v>42858</v>
      </c>
      <c r="B128" s="443" t="s">
        <v>37</v>
      </c>
      <c r="C128" s="377"/>
      <c r="D128" s="329"/>
      <c r="E128" s="329"/>
      <c r="F128" s="378"/>
      <c r="G128" s="329"/>
      <c r="H128" s="376"/>
      <c r="I128" s="376"/>
      <c r="J128" s="399">
        <f t="shared" si="34"/>
        <v>0</v>
      </c>
      <c r="K128" s="329"/>
      <c r="L128" s="329"/>
      <c r="M128" s="401">
        <f t="shared" si="36"/>
        <v>0</v>
      </c>
      <c r="N128" s="396">
        <f t="shared" si="51"/>
        <v>0</v>
      </c>
      <c r="O128" s="368">
        <f t="shared" si="51"/>
        <v>0</v>
      </c>
      <c r="P128" s="398">
        <f t="shared" si="51"/>
        <v>0</v>
      </c>
      <c r="Q128" s="414">
        <f t="shared" si="52"/>
        <v>7390704.48</v>
      </c>
      <c r="R128" s="402">
        <f t="shared" si="52"/>
        <v>3745318</v>
      </c>
      <c r="S128" s="415">
        <f t="shared" si="52"/>
        <v>11317748.98</v>
      </c>
      <c r="T128" s="416">
        <f>N128/'2018'!N128-1</f>
        <v>-1</v>
      </c>
      <c r="U128" s="417">
        <f>O128/'2018'!O128-1</f>
        <v>-1</v>
      </c>
      <c r="V128" s="417">
        <f>P128/'2018'!P128-1</f>
        <v>-1</v>
      </c>
      <c r="W128" s="417">
        <f>Q128/'2018'!Q128-1</f>
        <v>-0.0227470633082441</v>
      </c>
      <c r="X128" s="417">
        <f>R128/'2018'!R128-1</f>
        <v>-0.0218987290202686</v>
      </c>
      <c r="Y128" s="424">
        <f>S128/'2018'!S128-1</f>
        <v>-0.0225141118435417</v>
      </c>
      <c r="Z128" s="425"/>
      <c r="AA128" s="426">
        <f t="shared" si="35"/>
        <v>739.070448</v>
      </c>
      <c r="AB128" s="427"/>
      <c r="AC128" s="401"/>
      <c r="AD128" s="427">
        <f t="shared" si="37"/>
        <v>7572430.98</v>
      </c>
      <c r="AE128" s="329">
        <f t="shared" si="46"/>
        <v>52541.2</v>
      </c>
      <c r="AF128" s="329">
        <f t="shared" si="46"/>
        <v>43161.64</v>
      </c>
      <c r="AG128" s="401">
        <f t="shared" si="39"/>
        <v>86023.66</v>
      </c>
      <c r="AH128" s="439"/>
      <c r="AI128" s="400"/>
      <c r="AJ128" s="400"/>
      <c r="AK128" s="400"/>
      <c r="AL128" s="400"/>
      <c r="AM128" s="400"/>
      <c r="AN128" s="400"/>
      <c r="AO128" s="400"/>
      <c r="AP128" s="400"/>
      <c r="AQ128" s="400"/>
      <c r="AR128" s="400"/>
      <c r="AS128" s="400"/>
      <c r="AT128" s="400"/>
      <c r="AU128" s="400"/>
      <c r="AV128" s="400"/>
      <c r="AW128" s="400"/>
      <c r="AX128" s="400"/>
      <c r="AY128" s="400"/>
      <c r="AZ128" s="400"/>
      <c r="BA128" s="400"/>
      <c r="BB128" s="400"/>
      <c r="BC128" s="400"/>
    </row>
    <row r="129" s="366" customFormat="1" ht="15" customHeight="1" spans="1:55">
      <c r="A129" s="395">
        <v>42859</v>
      </c>
      <c r="B129" s="443" t="s">
        <v>38</v>
      </c>
      <c r="C129" s="377"/>
      <c r="D129" s="329"/>
      <c r="E129" s="329"/>
      <c r="F129" s="378"/>
      <c r="G129" s="329"/>
      <c r="H129" s="376"/>
      <c r="I129" s="376"/>
      <c r="J129" s="399">
        <f t="shared" si="34"/>
        <v>0</v>
      </c>
      <c r="K129" s="329"/>
      <c r="L129" s="329"/>
      <c r="M129" s="401">
        <f t="shared" si="36"/>
        <v>0</v>
      </c>
      <c r="N129" s="396">
        <f t="shared" si="51"/>
        <v>0</v>
      </c>
      <c r="O129" s="368">
        <f t="shared" si="51"/>
        <v>0</v>
      </c>
      <c r="P129" s="398">
        <f t="shared" si="51"/>
        <v>0</v>
      </c>
      <c r="Q129" s="414">
        <f t="shared" si="52"/>
        <v>7390704.48</v>
      </c>
      <c r="R129" s="402">
        <f t="shared" si="52"/>
        <v>3745318</v>
      </c>
      <c r="S129" s="415">
        <f t="shared" si="52"/>
        <v>11317748.98</v>
      </c>
      <c r="T129" s="416">
        <f>N129/'2018'!N129-1</f>
        <v>-1</v>
      </c>
      <c r="U129" s="417">
        <f>O129/'2018'!O129-1</f>
        <v>-1</v>
      </c>
      <c r="V129" s="417">
        <f>P129/'2018'!P129-1</f>
        <v>-1</v>
      </c>
      <c r="W129" s="417">
        <f>Q129/'2018'!Q129-1</f>
        <v>-0.0317958586999381</v>
      </c>
      <c r="X129" s="417">
        <f>R129/'2018'!R129-1</f>
        <v>-0.0290170909592444</v>
      </c>
      <c r="Y129" s="424">
        <f>S129/'2018'!S129-1</f>
        <v>-0.030926610766486</v>
      </c>
      <c r="Z129" s="425"/>
      <c r="AA129" s="426">
        <f t="shared" si="35"/>
        <v>739.070448</v>
      </c>
      <c r="AB129" s="427"/>
      <c r="AC129" s="401"/>
      <c r="AD129" s="427">
        <f t="shared" si="37"/>
        <v>7572430.98</v>
      </c>
      <c r="AE129" s="329">
        <f t="shared" si="46"/>
        <v>52541.2</v>
      </c>
      <c r="AF129" s="329">
        <f t="shared" si="46"/>
        <v>43161.64</v>
      </c>
      <c r="AG129" s="401">
        <f t="shared" si="39"/>
        <v>86023.66</v>
      </c>
      <c r="AH129" s="439"/>
      <c r="AI129" s="400"/>
      <c r="AJ129" s="400"/>
      <c r="AK129" s="400"/>
      <c r="AL129" s="400"/>
      <c r="AM129" s="400"/>
      <c r="AN129" s="400"/>
      <c r="AO129" s="400"/>
      <c r="AP129" s="400"/>
      <c r="AQ129" s="400"/>
      <c r="AR129" s="400"/>
      <c r="AS129" s="400"/>
      <c r="AT129" s="400"/>
      <c r="AU129" s="400"/>
      <c r="AV129" s="400"/>
      <c r="AW129" s="400"/>
      <c r="AX129" s="400"/>
      <c r="AY129" s="400"/>
      <c r="AZ129" s="400"/>
      <c r="BA129" s="400"/>
      <c r="BB129" s="400"/>
      <c r="BC129" s="400"/>
    </row>
    <row r="130" s="366" customFormat="1" ht="15" customHeight="1" spans="1:55">
      <c r="A130" s="395">
        <v>42860</v>
      </c>
      <c r="B130" s="443" t="s">
        <v>1</v>
      </c>
      <c r="C130" s="377"/>
      <c r="D130" s="329"/>
      <c r="E130" s="329"/>
      <c r="F130" s="378"/>
      <c r="G130" s="329"/>
      <c r="H130" s="376"/>
      <c r="I130" s="376"/>
      <c r="J130" s="399">
        <f t="shared" si="34"/>
        <v>0</v>
      </c>
      <c r="K130" s="329"/>
      <c r="L130" s="329"/>
      <c r="M130" s="401">
        <f t="shared" si="36"/>
        <v>0</v>
      </c>
      <c r="N130" s="396">
        <f t="shared" si="51"/>
        <v>0</v>
      </c>
      <c r="O130" s="368">
        <f t="shared" si="51"/>
        <v>0</v>
      </c>
      <c r="P130" s="398">
        <f t="shared" si="51"/>
        <v>0</v>
      </c>
      <c r="Q130" s="414">
        <f t="shared" si="52"/>
        <v>7390704.48</v>
      </c>
      <c r="R130" s="402">
        <f t="shared" si="52"/>
        <v>3745318</v>
      </c>
      <c r="S130" s="415">
        <f t="shared" si="52"/>
        <v>11317748.98</v>
      </c>
      <c r="T130" s="416">
        <f>N130/'2018'!N130-1</f>
        <v>-1</v>
      </c>
      <c r="U130" s="417">
        <f>O130/'2018'!O130-1</f>
        <v>-1</v>
      </c>
      <c r="V130" s="417">
        <f>P130/'2018'!P130-1</f>
        <v>-1</v>
      </c>
      <c r="W130" s="417">
        <f>Q130/'2018'!Q130-1</f>
        <v>-0.0407220741342698</v>
      </c>
      <c r="X130" s="417">
        <f>R130/'2018'!R130-1</f>
        <v>-0.0362387217982233</v>
      </c>
      <c r="Y130" s="424">
        <f>S130/'2018'!S130-1</f>
        <v>-0.0392776750093717</v>
      </c>
      <c r="Z130" s="425"/>
      <c r="AA130" s="426">
        <f t="shared" si="35"/>
        <v>739.070448</v>
      </c>
      <c r="AB130" s="427"/>
      <c r="AC130" s="401"/>
      <c r="AD130" s="427">
        <f t="shared" si="37"/>
        <v>7572430.98</v>
      </c>
      <c r="AE130" s="329">
        <f t="shared" si="46"/>
        <v>52541.2</v>
      </c>
      <c r="AF130" s="329">
        <f t="shared" si="46"/>
        <v>43161.64</v>
      </c>
      <c r="AG130" s="401">
        <f t="shared" si="39"/>
        <v>86023.66</v>
      </c>
      <c r="AH130" s="439"/>
      <c r="AI130" s="400"/>
      <c r="AJ130" s="400"/>
      <c r="AK130" s="400"/>
      <c r="AL130" s="400"/>
      <c r="AM130" s="400"/>
      <c r="AN130" s="400"/>
      <c r="AO130" s="400"/>
      <c r="AP130" s="400"/>
      <c r="AQ130" s="400"/>
      <c r="AR130" s="400"/>
      <c r="AS130" s="400"/>
      <c r="AT130" s="400"/>
      <c r="AU130" s="400"/>
      <c r="AV130" s="400"/>
      <c r="AW130" s="400"/>
      <c r="AX130" s="400"/>
      <c r="AY130" s="400"/>
      <c r="AZ130" s="400"/>
      <c r="BA130" s="400"/>
      <c r="BB130" s="400"/>
      <c r="BC130" s="400"/>
    </row>
    <row r="131" s="366" customFormat="1" ht="15" customHeight="1" spans="1:55">
      <c r="A131" s="395">
        <v>42861</v>
      </c>
      <c r="B131" s="443" t="s">
        <v>39</v>
      </c>
      <c r="C131" s="377"/>
      <c r="D131" s="329"/>
      <c r="E131" s="329"/>
      <c r="F131" s="378"/>
      <c r="G131" s="329"/>
      <c r="H131" s="376"/>
      <c r="I131" s="376"/>
      <c r="J131" s="399">
        <f t="shared" si="34"/>
        <v>0</v>
      </c>
      <c r="K131" s="329"/>
      <c r="L131" s="329"/>
      <c r="M131" s="401">
        <f t="shared" si="36"/>
        <v>0</v>
      </c>
      <c r="N131" s="396">
        <f t="shared" si="51"/>
        <v>0</v>
      </c>
      <c r="O131" s="368">
        <f t="shared" si="51"/>
        <v>0</v>
      </c>
      <c r="P131" s="398">
        <f t="shared" si="51"/>
        <v>0</v>
      </c>
      <c r="Q131" s="414">
        <f t="shared" si="52"/>
        <v>7390704.48</v>
      </c>
      <c r="R131" s="402">
        <f t="shared" si="52"/>
        <v>3745318</v>
      </c>
      <c r="S131" s="415">
        <f t="shared" si="52"/>
        <v>11317748.98</v>
      </c>
      <c r="T131" s="416">
        <f>N131/'2018'!N131-1</f>
        <v>-1</v>
      </c>
      <c r="U131" s="417">
        <f>O131/'2018'!O131-1</f>
        <v>-1</v>
      </c>
      <c r="V131" s="417">
        <f>P131/'2018'!P131-1</f>
        <v>-1</v>
      </c>
      <c r="W131" s="417">
        <f>Q131/'2018'!Q131-1</f>
        <v>-0.0492248738666798</v>
      </c>
      <c r="X131" s="417">
        <f>R131/'2018'!R131-1</f>
        <v>-0.0433268453667234</v>
      </c>
      <c r="Y131" s="424">
        <f>S131/'2018'!S131-1</f>
        <v>-0.0473318556419556</v>
      </c>
      <c r="Z131" s="425"/>
      <c r="AA131" s="426">
        <f t="shared" si="35"/>
        <v>739.070448</v>
      </c>
      <c r="AB131" s="427"/>
      <c r="AC131" s="401"/>
      <c r="AD131" s="427">
        <f t="shared" si="37"/>
        <v>7572430.98</v>
      </c>
      <c r="AE131" s="329">
        <f t="shared" si="46"/>
        <v>52541.2</v>
      </c>
      <c r="AF131" s="329">
        <f t="shared" si="46"/>
        <v>43161.64</v>
      </c>
      <c r="AG131" s="401">
        <f t="shared" si="39"/>
        <v>86023.66</v>
      </c>
      <c r="AH131" s="439"/>
      <c r="AI131" s="400"/>
      <c r="AJ131" s="400"/>
      <c r="AK131" s="400"/>
      <c r="AL131" s="400"/>
      <c r="AM131" s="400"/>
      <c r="AN131" s="400"/>
      <c r="AO131" s="400"/>
      <c r="AP131" s="400"/>
      <c r="AQ131" s="400"/>
      <c r="AR131" s="400"/>
      <c r="AS131" s="400"/>
      <c r="AT131" s="400"/>
      <c r="AU131" s="400"/>
      <c r="AV131" s="400"/>
      <c r="AW131" s="400"/>
      <c r="AX131" s="400"/>
      <c r="AY131" s="400"/>
      <c r="AZ131" s="400"/>
      <c r="BA131" s="400"/>
      <c r="BB131" s="400"/>
      <c r="BC131" s="400"/>
    </row>
    <row r="132" s="366" customFormat="1" ht="15" customHeight="1" spans="1:55">
      <c r="A132" s="395">
        <v>42862</v>
      </c>
      <c r="B132" s="443" t="s">
        <v>34</v>
      </c>
      <c r="C132" s="377"/>
      <c r="D132" s="329"/>
      <c r="E132" s="329"/>
      <c r="F132" s="378"/>
      <c r="G132" s="329"/>
      <c r="H132" s="376"/>
      <c r="I132" s="376"/>
      <c r="J132" s="399">
        <f t="shared" si="34"/>
        <v>0</v>
      </c>
      <c r="K132" s="329"/>
      <c r="L132" s="329"/>
      <c r="M132" s="401">
        <f t="shared" si="36"/>
        <v>0</v>
      </c>
      <c r="N132" s="396">
        <f t="shared" si="51"/>
        <v>0</v>
      </c>
      <c r="O132" s="368">
        <f t="shared" si="51"/>
        <v>0</v>
      </c>
      <c r="P132" s="398">
        <f t="shared" si="51"/>
        <v>0</v>
      </c>
      <c r="Q132" s="414">
        <f t="shared" si="52"/>
        <v>7390704.48</v>
      </c>
      <c r="R132" s="402">
        <f t="shared" si="52"/>
        <v>3745318</v>
      </c>
      <c r="S132" s="415">
        <f t="shared" si="52"/>
        <v>11317748.98</v>
      </c>
      <c r="T132" s="416">
        <f>N132/'2018'!N132-1</f>
        <v>-1</v>
      </c>
      <c r="U132" s="417">
        <f>O132/'2018'!O132-1</f>
        <v>-1</v>
      </c>
      <c r="V132" s="417">
        <f>P132/'2018'!P132-1</f>
        <v>-1</v>
      </c>
      <c r="W132" s="417">
        <f>Q132/'2018'!Q132-1</f>
        <v>-0.0578847246564325</v>
      </c>
      <c r="X132" s="417">
        <f>R132/'2018'!R132-1</f>
        <v>-0.0505760448100198</v>
      </c>
      <c r="Y132" s="424">
        <f>S132/'2018'!S132-1</f>
        <v>-0.0555653328806578</v>
      </c>
      <c r="Z132" s="425"/>
      <c r="AA132" s="426">
        <f t="shared" si="35"/>
        <v>739.070448</v>
      </c>
      <c r="AB132" s="427"/>
      <c r="AC132" s="401"/>
      <c r="AD132" s="427">
        <f t="shared" si="37"/>
        <v>7572430.98</v>
      </c>
      <c r="AE132" s="329">
        <f t="shared" si="46"/>
        <v>52541.2</v>
      </c>
      <c r="AF132" s="329">
        <f t="shared" si="46"/>
        <v>43161.64</v>
      </c>
      <c r="AG132" s="401">
        <f t="shared" si="39"/>
        <v>86023.66</v>
      </c>
      <c r="AH132" s="439"/>
      <c r="AI132" s="400"/>
      <c r="AJ132" s="400"/>
      <c r="AK132" s="400"/>
      <c r="AL132" s="400"/>
      <c r="AM132" s="400"/>
      <c r="AN132" s="400"/>
      <c r="AO132" s="400"/>
      <c r="AP132" s="400"/>
      <c r="AQ132" s="400"/>
      <c r="AR132" s="400"/>
      <c r="AS132" s="400"/>
      <c r="AT132" s="400"/>
      <c r="AU132" s="400"/>
      <c r="AV132" s="400"/>
      <c r="AW132" s="400"/>
      <c r="AX132" s="400"/>
      <c r="AY132" s="400"/>
      <c r="AZ132" s="400"/>
      <c r="BA132" s="400"/>
      <c r="BB132" s="400"/>
      <c r="BC132" s="400"/>
    </row>
    <row r="133" s="366" customFormat="1" ht="15" customHeight="1" spans="1:55">
      <c r="A133" s="395">
        <v>42863</v>
      </c>
      <c r="B133" s="443" t="s">
        <v>35</v>
      </c>
      <c r="C133" s="377"/>
      <c r="D133" s="329"/>
      <c r="E133" s="329"/>
      <c r="F133" s="378"/>
      <c r="G133" s="329"/>
      <c r="H133" s="376"/>
      <c r="I133" s="376"/>
      <c r="J133" s="399">
        <f t="shared" ref="J133:J196" si="53">E133-D133</f>
        <v>0</v>
      </c>
      <c r="K133" s="329"/>
      <c r="L133" s="329"/>
      <c r="M133" s="401">
        <f t="shared" si="36"/>
        <v>0</v>
      </c>
      <c r="N133" s="396">
        <f t="shared" si="51"/>
        <v>0</v>
      </c>
      <c r="O133" s="368">
        <f t="shared" si="51"/>
        <v>0</v>
      </c>
      <c r="P133" s="398">
        <f t="shared" si="51"/>
        <v>0</v>
      </c>
      <c r="Q133" s="414">
        <f t="shared" si="52"/>
        <v>7390704.48</v>
      </c>
      <c r="R133" s="402">
        <f t="shared" si="52"/>
        <v>3745318</v>
      </c>
      <c r="S133" s="415">
        <f t="shared" si="52"/>
        <v>11317748.98</v>
      </c>
      <c r="T133" s="416">
        <f>N133/'2018'!N133-1</f>
        <v>-1</v>
      </c>
      <c r="U133" s="417">
        <f>O133/'2018'!O133-1</f>
        <v>-1</v>
      </c>
      <c r="V133" s="417">
        <f>P133/'2018'!P133-1</f>
        <v>-1</v>
      </c>
      <c r="W133" s="417">
        <f>Q133/'2018'!Q133-1</f>
        <v>-0.0660894202151882</v>
      </c>
      <c r="X133" s="417">
        <f>R133/'2018'!R133-1</f>
        <v>-0.0579131718716003</v>
      </c>
      <c r="Y133" s="424">
        <f>S133/'2018'!S133-1</f>
        <v>-0.0634688137854834</v>
      </c>
      <c r="Z133" s="425"/>
      <c r="AA133" s="426">
        <f t="shared" ref="AA133:AA196" si="54">Q133/10000-Z133</f>
        <v>739.070448</v>
      </c>
      <c r="AB133" s="427"/>
      <c r="AC133" s="401"/>
      <c r="AD133" s="427">
        <f t="shared" si="37"/>
        <v>7572430.98</v>
      </c>
      <c r="AE133" s="329">
        <f t="shared" si="46"/>
        <v>52541.2</v>
      </c>
      <c r="AF133" s="329">
        <f t="shared" si="46"/>
        <v>43161.64</v>
      </c>
      <c r="AG133" s="401">
        <f t="shared" si="39"/>
        <v>86023.66</v>
      </c>
      <c r="AH133" s="439"/>
      <c r="AI133" s="400"/>
      <c r="AJ133" s="400"/>
      <c r="AK133" s="400"/>
      <c r="AL133" s="400"/>
      <c r="AM133" s="400"/>
      <c r="AN133" s="400"/>
      <c r="AO133" s="400"/>
      <c r="AP133" s="400"/>
      <c r="AQ133" s="400"/>
      <c r="AR133" s="400"/>
      <c r="AS133" s="400"/>
      <c r="AT133" s="400"/>
      <c r="AU133" s="400"/>
      <c r="AV133" s="400"/>
      <c r="AW133" s="400"/>
      <c r="AX133" s="400"/>
      <c r="AY133" s="400"/>
      <c r="AZ133" s="400"/>
      <c r="BA133" s="400"/>
      <c r="BB133" s="400"/>
      <c r="BC133" s="400"/>
    </row>
    <row r="134" s="366" customFormat="1" ht="15" customHeight="1" spans="1:55">
      <c r="A134" s="395">
        <v>42864</v>
      </c>
      <c r="B134" s="191" t="s">
        <v>36</v>
      </c>
      <c r="C134" s="377"/>
      <c r="D134" s="329"/>
      <c r="E134" s="329"/>
      <c r="F134" s="381"/>
      <c r="G134" s="381"/>
      <c r="H134" s="376"/>
      <c r="I134" s="376"/>
      <c r="J134" s="399">
        <f t="shared" si="53"/>
        <v>0</v>
      </c>
      <c r="K134" s="329"/>
      <c r="L134" s="329"/>
      <c r="M134" s="401">
        <f t="shared" ref="M134:M197" si="55">J134-K134-L134-C134</f>
        <v>0</v>
      </c>
      <c r="N134" s="396">
        <f t="shared" si="51"/>
        <v>0</v>
      </c>
      <c r="O134" s="368">
        <f t="shared" si="51"/>
        <v>0</v>
      </c>
      <c r="P134" s="398">
        <f t="shared" si="51"/>
        <v>0</v>
      </c>
      <c r="Q134" s="414">
        <f t="shared" si="52"/>
        <v>7390704.48</v>
      </c>
      <c r="R134" s="402">
        <f t="shared" si="52"/>
        <v>3745318</v>
      </c>
      <c r="S134" s="415">
        <f t="shared" si="52"/>
        <v>11317748.98</v>
      </c>
      <c r="T134" s="416">
        <f>N134/'2018'!N134-1</f>
        <v>-1</v>
      </c>
      <c r="U134" s="417">
        <f>O134/'2018'!O134-1</f>
        <v>-1</v>
      </c>
      <c r="V134" s="417">
        <f>P134/'2018'!P134-1</f>
        <v>-1</v>
      </c>
      <c r="W134" s="417">
        <f>Q134/'2018'!Q134-1</f>
        <v>-0.074020320307111</v>
      </c>
      <c r="X134" s="417">
        <f>R134/'2018'!R134-1</f>
        <v>-0.0650903939641669</v>
      </c>
      <c r="Y134" s="424">
        <f>S134/'2018'!S134-1</f>
        <v>-0.0711596302663243</v>
      </c>
      <c r="Z134" s="425"/>
      <c r="AA134" s="426">
        <f t="shared" si="54"/>
        <v>739.070448</v>
      </c>
      <c r="AB134" s="427"/>
      <c r="AC134" s="401"/>
      <c r="AD134" s="427">
        <f t="shared" ref="AD134:AD197" si="56">S134-R134</f>
        <v>7572430.98</v>
      </c>
      <c r="AE134" s="329">
        <f t="shared" si="46"/>
        <v>52541.2</v>
      </c>
      <c r="AF134" s="329">
        <f t="shared" si="46"/>
        <v>43161.64</v>
      </c>
      <c r="AG134" s="401">
        <f t="shared" si="39"/>
        <v>86023.66</v>
      </c>
      <c r="AH134" s="439"/>
      <c r="AI134" s="400"/>
      <c r="AJ134" s="400"/>
      <c r="AK134" s="400"/>
      <c r="AL134" s="400"/>
      <c r="AM134" s="400"/>
      <c r="AN134" s="400"/>
      <c r="AO134" s="400"/>
      <c r="AP134" s="400"/>
      <c r="AQ134" s="400"/>
      <c r="AR134" s="400"/>
      <c r="AS134" s="400"/>
      <c r="AT134" s="400"/>
      <c r="AU134" s="400"/>
      <c r="AV134" s="400"/>
      <c r="AW134" s="400"/>
      <c r="AX134" s="400"/>
      <c r="AY134" s="400"/>
      <c r="AZ134" s="400"/>
      <c r="BA134" s="400"/>
      <c r="BB134" s="400"/>
      <c r="BC134" s="400"/>
    </row>
    <row r="135" s="366" customFormat="1" ht="15" customHeight="1" spans="1:55">
      <c r="A135" s="395">
        <v>42865</v>
      </c>
      <c r="B135" s="443" t="s">
        <v>37</v>
      </c>
      <c r="C135" s="377"/>
      <c r="D135" s="329"/>
      <c r="E135" s="329"/>
      <c r="F135" s="378"/>
      <c r="G135" s="329"/>
      <c r="H135" s="376"/>
      <c r="I135" s="376"/>
      <c r="J135" s="399">
        <f t="shared" si="53"/>
        <v>0</v>
      </c>
      <c r="K135" s="329"/>
      <c r="L135" s="329"/>
      <c r="M135" s="401">
        <f t="shared" si="55"/>
        <v>0</v>
      </c>
      <c r="N135" s="396">
        <f t="shared" si="51"/>
        <v>0</v>
      </c>
      <c r="O135" s="368">
        <f t="shared" si="51"/>
        <v>0</v>
      </c>
      <c r="P135" s="398">
        <f t="shared" si="51"/>
        <v>0</v>
      </c>
      <c r="Q135" s="414">
        <f t="shared" si="52"/>
        <v>7390704.48</v>
      </c>
      <c r="R135" s="402">
        <f t="shared" si="52"/>
        <v>3745318</v>
      </c>
      <c r="S135" s="415">
        <f t="shared" si="52"/>
        <v>11317748.98</v>
      </c>
      <c r="T135" s="416">
        <f>N135/'2018'!N135-1</f>
        <v>-1</v>
      </c>
      <c r="U135" s="417">
        <f>O135/'2018'!O135-1</f>
        <v>-1</v>
      </c>
      <c r="V135" s="417">
        <f>P135/'2018'!P135-1</f>
        <v>-1</v>
      </c>
      <c r="W135" s="417">
        <f>Q135/'2018'!Q135-1</f>
        <v>-0.0818130911948196</v>
      </c>
      <c r="X135" s="417">
        <f>R135/'2018'!R135-1</f>
        <v>-0.0722259682339308</v>
      </c>
      <c r="Y135" s="424">
        <f>S135/'2018'!S135-1</f>
        <v>-0.0787481834074916</v>
      </c>
      <c r="Z135" s="425"/>
      <c r="AA135" s="426">
        <f t="shared" si="54"/>
        <v>739.070448</v>
      </c>
      <c r="AB135" s="427"/>
      <c r="AC135" s="401"/>
      <c r="AD135" s="427">
        <f t="shared" si="56"/>
        <v>7572430.98</v>
      </c>
      <c r="AE135" s="329">
        <f t="shared" ref="AE135:AF150" si="57">AE134+K135</f>
        <v>52541.2</v>
      </c>
      <c r="AF135" s="329">
        <f t="shared" si="57"/>
        <v>43161.64</v>
      </c>
      <c r="AG135" s="401">
        <f t="shared" ref="AG135:AG198" si="58">AD135-Q135-AE135-AF135</f>
        <v>86023.66</v>
      </c>
      <c r="AH135" s="439"/>
      <c r="AI135" s="400"/>
      <c r="AJ135" s="400"/>
      <c r="AK135" s="400"/>
      <c r="AL135" s="400"/>
      <c r="AM135" s="400"/>
      <c r="AN135" s="400"/>
      <c r="AO135" s="400"/>
      <c r="AP135" s="400"/>
      <c r="AQ135" s="400"/>
      <c r="AR135" s="400"/>
      <c r="AS135" s="400"/>
      <c r="AT135" s="400"/>
      <c r="AU135" s="400"/>
      <c r="AV135" s="400"/>
      <c r="AW135" s="400"/>
      <c r="AX135" s="400"/>
      <c r="AY135" s="400"/>
      <c r="AZ135" s="400"/>
      <c r="BA135" s="400"/>
      <c r="BB135" s="400"/>
      <c r="BC135" s="400"/>
    </row>
    <row r="136" s="366" customFormat="1" ht="15" customHeight="1" spans="1:55">
      <c r="A136" s="395">
        <v>42866</v>
      </c>
      <c r="B136" s="443" t="s">
        <v>38</v>
      </c>
      <c r="C136" s="377"/>
      <c r="D136" s="329"/>
      <c r="E136" s="329"/>
      <c r="F136" s="378"/>
      <c r="G136" s="329"/>
      <c r="H136" s="376"/>
      <c r="I136" s="376"/>
      <c r="J136" s="399">
        <f t="shared" si="53"/>
        <v>0</v>
      </c>
      <c r="K136" s="329"/>
      <c r="L136" s="329"/>
      <c r="M136" s="401">
        <f t="shared" si="55"/>
        <v>0</v>
      </c>
      <c r="N136" s="396">
        <f t="shared" si="51"/>
        <v>0</v>
      </c>
      <c r="O136" s="368">
        <f t="shared" si="51"/>
        <v>0</v>
      </c>
      <c r="P136" s="398">
        <f t="shared" si="51"/>
        <v>0</v>
      </c>
      <c r="Q136" s="414">
        <f t="shared" si="52"/>
        <v>7390704.48</v>
      </c>
      <c r="R136" s="402">
        <f t="shared" si="52"/>
        <v>3745318</v>
      </c>
      <c r="S136" s="415">
        <f t="shared" si="52"/>
        <v>11317748.98</v>
      </c>
      <c r="T136" s="416">
        <f>N136/'2018'!N136-1</f>
        <v>-1</v>
      </c>
      <c r="U136" s="417">
        <f>O136/'2018'!O136-1</f>
        <v>-1</v>
      </c>
      <c r="V136" s="417">
        <f>P136/'2018'!P136-1</f>
        <v>-1</v>
      </c>
      <c r="W136" s="417">
        <f>Q136/'2018'!Q136-1</f>
        <v>-0.0896507532043813</v>
      </c>
      <c r="X136" s="417">
        <f>R136/'2018'!R136-1</f>
        <v>-0.079256840208943</v>
      </c>
      <c r="Y136" s="424">
        <f>S136/'2018'!S136-1</f>
        <v>-0.0863278665223249</v>
      </c>
      <c r="Z136" s="425"/>
      <c r="AA136" s="426">
        <f t="shared" si="54"/>
        <v>739.070448</v>
      </c>
      <c r="AB136" s="427"/>
      <c r="AC136" s="401"/>
      <c r="AD136" s="427">
        <f t="shared" si="56"/>
        <v>7572430.98</v>
      </c>
      <c r="AE136" s="329">
        <f t="shared" si="57"/>
        <v>52541.2</v>
      </c>
      <c r="AF136" s="329">
        <f t="shared" si="57"/>
        <v>43161.64</v>
      </c>
      <c r="AG136" s="401">
        <f t="shared" si="58"/>
        <v>86023.66</v>
      </c>
      <c r="AH136" s="439"/>
      <c r="AI136" s="400"/>
      <c r="AJ136" s="400"/>
      <c r="AK136" s="400"/>
      <c r="AL136" s="400"/>
      <c r="AM136" s="400"/>
      <c r="AN136" s="400"/>
      <c r="AO136" s="400"/>
      <c r="AP136" s="400"/>
      <c r="AQ136" s="400"/>
      <c r="AR136" s="400"/>
      <c r="AS136" s="400"/>
      <c r="AT136" s="400"/>
      <c r="AU136" s="400"/>
      <c r="AV136" s="400"/>
      <c r="AW136" s="400"/>
      <c r="AX136" s="400"/>
      <c r="AY136" s="400"/>
      <c r="AZ136" s="400"/>
      <c r="BA136" s="400"/>
      <c r="BB136" s="400"/>
      <c r="BC136" s="400"/>
    </row>
    <row r="137" s="366" customFormat="1" ht="15" customHeight="1" spans="1:55">
      <c r="A137" s="395">
        <v>42867</v>
      </c>
      <c r="B137" s="443" t="s">
        <v>1</v>
      </c>
      <c r="C137" s="377"/>
      <c r="D137" s="329"/>
      <c r="E137" s="329"/>
      <c r="F137" s="378"/>
      <c r="G137" s="329"/>
      <c r="H137" s="376"/>
      <c r="I137" s="376"/>
      <c r="J137" s="399">
        <f t="shared" si="53"/>
        <v>0</v>
      </c>
      <c r="K137" s="329"/>
      <c r="L137" s="329"/>
      <c r="M137" s="401">
        <f t="shared" si="55"/>
        <v>0</v>
      </c>
      <c r="N137" s="396">
        <f t="shared" si="51"/>
        <v>0</v>
      </c>
      <c r="O137" s="368">
        <f t="shared" si="51"/>
        <v>0</v>
      </c>
      <c r="P137" s="398">
        <f t="shared" si="51"/>
        <v>0</v>
      </c>
      <c r="Q137" s="414">
        <f t="shared" si="52"/>
        <v>7390704.48</v>
      </c>
      <c r="R137" s="402">
        <f t="shared" si="52"/>
        <v>3745318</v>
      </c>
      <c r="S137" s="415">
        <f t="shared" si="52"/>
        <v>11317748.98</v>
      </c>
      <c r="T137" s="416">
        <f>N137/'2018'!N137-1</f>
        <v>-1</v>
      </c>
      <c r="U137" s="417">
        <f>O137/'2018'!O137-1</f>
        <v>-1</v>
      </c>
      <c r="V137" s="417">
        <f>P137/'2018'!P137-1</f>
        <v>-1</v>
      </c>
      <c r="W137" s="417">
        <f>Q137/'2018'!Q137-1</f>
        <v>-0.0977782131467997</v>
      </c>
      <c r="X137" s="417">
        <f>R137/'2018'!R137-1</f>
        <v>-0.0860082303522486</v>
      </c>
      <c r="Y137" s="424">
        <f>S137/'2018'!S137-1</f>
        <v>-0.0939726794346493</v>
      </c>
      <c r="Z137" s="425"/>
      <c r="AA137" s="426">
        <f t="shared" si="54"/>
        <v>739.070448</v>
      </c>
      <c r="AB137" s="427"/>
      <c r="AC137" s="401"/>
      <c r="AD137" s="427">
        <f t="shared" si="56"/>
        <v>7572430.98</v>
      </c>
      <c r="AE137" s="329">
        <f t="shared" si="57"/>
        <v>52541.2</v>
      </c>
      <c r="AF137" s="329">
        <f t="shared" si="57"/>
        <v>43161.64</v>
      </c>
      <c r="AG137" s="401">
        <f t="shared" si="58"/>
        <v>86023.66</v>
      </c>
      <c r="AH137" s="439"/>
      <c r="AI137" s="400"/>
      <c r="AJ137" s="400"/>
      <c r="AK137" s="400"/>
      <c r="AL137" s="400"/>
      <c r="AM137" s="400"/>
      <c r="AN137" s="400"/>
      <c r="AO137" s="400"/>
      <c r="AP137" s="400"/>
      <c r="AQ137" s="400"/>
      <c r="AR137" s="400"/>
      <c r="AS137" s="400"/>
      <c r="AT137" s="400"/>
      <c r="AU137" s="400"/>
      <c r="AV137" s="400"/>
      <c r="AW137" s="400"/>
      <c r="AX137" s="400"/>
      <c r="AY137" s="400"/>
      <c r="AZ137" s="400"/>
      <c r="BA137" s="400"/>
      <c r="BB137" s="400"/>
      <c r="BC137" s="400"/>
    </row>
    <row r="138" s="366" customFormat="1" ht="15" customHeight="1" spans="1:55">
      <c r="A138" s="395">
        <v>42868</v>
      </c>
      <c r="B138" s="443" t="s">
        <v>39</v>
      </c>
      <c r="C138" s="377"/>
      <c r="D138" s="329"/>
      <c r="E138" s="329"/>
      <c r="F138" s="378"/>
      <c r="G138" s="329"/>
      <c r="H138" s="376"/>
      <c r="I138" s="376"/>
      <c r="J138" s="399">
        <f t="shared" si="53"/>
        <v>0</v>
      </c>
      <c r="K138" s="329"/>
      <c r="L138" s="329"/>
      <c r="M138" s="401">
        <f t="shared" si="55"/>
        <v>0</v>
      </c>
      <c r="N138" s="396">
        <f t="shared" si="51"/>
        <v>0</v>
      </c>
      <c r="O138" s="368">
        <f t="shared" si="51"/>
        <v>0</v>
      </c>
      <c r="P138" s="398">
        <f t="shared" si="51"/>
        <v>0</v>
      </c>
      <c r="Q138" s="414">
        <f t="shared" si="52"/>
        <v>7390704.48</v>
      </c>
      <c r="R138" s="402">
        <f t="shared" si="52"/>
        <v>3745318</v>
      </c>
      <c r="S138" s="415">
        <f t="shared" si="52"/>
        <v>11317748.98</v>
      </c>
      <c r="T138" s="416">
        <f>N138/'2018'!N138-1</f>
        <v>-1</v>
      </c>
      <c r="U138" s="417">
        <f>O138/'2018'!O138-1</f>
        <v>-1</v>
      </c>
      <c r="V138" s="417">
        <f>P138/'2018'!P138-1</f>
        <v>-1</v>
      </c>
      <c r="W138" s="417">
        <f>Q138/'2018'!Q138-1</f>
        <v>-0.105408970041765</v>
      </c>
      <c r="X138" s="417">
        <f>R138/'2018'!R138-1</f>
        <v>-0.0923306146762889</v>
      </c>
      <c r="Y138" s="424">
        <f>S138/'2018'!S138-1</f>
        <v>-0.10115266757986</v>
      </c>
      <c r="Z138" s="425"/>
      <c r="AA138" s="426">
        <f t="shared" si="54"/>
        <v>739.070448</v>
      </c>
      <c r="AB138" s="427"/>
      <c r="AC138" s="401"/>
      <c r="AD138" s="427">
        <f t="shared" si="56"/>
        <v>7572430.98</v>
      </c>
      <c r="AE138" s="329">
        <f t="shared" si="57"/>
        <v>52541.2</v>
      </c>
      <c r="AF138" s="329">
        <f t="shared" si="57"/>
        <v>43161.64</v>
      </c>
      <c r="AG138" s="401">
        <f t="shared" si="58"/>
        <v>86023.66</v>
      </c>
      <c r="AH138" s="439"/>
      <c r="AI138" s="400"/>
      <c r="AJ138" s="400"/>
      <c r="AK138" s="400"/>
      <c r="AL138" s="400"/>
      <c r="AM138" s="400"/>
      <c r="AN138" s="400"/>
      <c r="AO138" s="400"/>
      <c r="AP138" s="400"/>
      <c r="AQ138" s="400"/>
      <c r="AR138" s="400"/>
      <c r="AS138" s="400"/>
      <c r="AT138" s="400"/>
      <c r="AU138" s="400"/>
      <c r="AV138" s="400"/>
      <c r="AW138" s="400"/>
      <c r="AX138" s="400"/>
      <c r="AY138" s="400"/>
      <c r="AZ138" s="400"/>
      <c r="BA138" s="400"/>
      <c r="BB138" s="400"/>
      <c r="BC138" s="400"/>
    </row>
    <row r="139" s="366" customFormat="1" ht="15" customHeight="1" spans="1:55">
      <c r="A139" s="395">
        <v>42869</v>
      </c>
      <c r="B139" s="443" t="s">
        <v>34</v>
      </c>
      <c r="C139" s="377"/>
      <c r="D139" s="329"/>
      <c r="E139" s="329"/>
      <c r="F139" s="378"/>
      <c r="G139" s="329"/>
      <c r="H139" s="376"/>
      <c r="I139" s="376"/>
      <c r="J139" s="399">
        <f t="shared" si="53"/>
        <v>0</v>
      </c>
      <c r="K139" s="329"/>
      <c r="L139" s="329"/>
      <c r="M139" s="401">
        <f t="shared" si="55"/>
        <v>0</v>
      </c>
      <c r="N139" s="396">
        <f t="shared" si="51"/>
        <v>0</v>
      </c>
      <c r="O139" s="368">
        <f t="shared" si="51"/>
        <v>0</v>
      </c>
      <c r="P139" s="398">
        <f t="shared" si="51"/>
        <v>0</v>
      </c>
      <c r="Q139" s="414">
        <f t="shared" si="52"/>
        <v>7390704.48</v>
      </c>
      <c r="R139" s="402">
        <f t="shared" si="52"/>
        <v>3745318</v>
      </c>
      <c r="S139" s="415">
        <f t="shared" si="52"/>
        <v>11317748.98</v>
      </c>
      <c r="T139" s="416">
        <f>N139/'2018'!N139-1</f>
        <v>-1</v>
      </c>
      <c r="U139" s="417">
        <f>O139/'2018'!O139-1</f>
        <v>-1</v>
      </c>
      <c r="V139" s="417">
        <f>P139/'2018'!P139-1</f>
        <v>-1</v>
      </c>
      <c r="W139" s="417">
        <f>Q139/'2018'!Q139-1</f>
        <v>-0.113636659644124</v>
      </c>
      <c r="X139" s="417">
        <f>R139/'2018'!R139-1</f>
        <v>-0.098705615321233</v>
      </c>
      <c r="Y139" s="424">
        <f>S139/'2018'!S139-1</f>
        <v>-0.108818873157371</v>
      </c>
      <c r="Z139" s="425"/>
      <c r="AA139" s="426">
        <f t="shared" si="54"/>
        <v>739.070448</v>
      </c>
      <c r="AB139" s="427"/>
      <c r="AC139" s="401"/>
      <c r="AD139" s="427">
        <f t="shared" si="56"/>
        <v>7572430.98</v>
      </c>
      <c r="AE139" s="329">
        <f t="shared" si="57"/>
        <v>52541.2</v>
      </c>
      <c r="AF139" s="329">
        <f t="shared" si="57"/>
        <v>43161.64</v>
      </c>
      <c r="AG139" s="401">
        <f t="shared" si="58"/>
        <v>86023.66</v>
      </c>
      <c r="AH139" s="439"/>
      <c r="AI139" s="400"/>
      <c r="AJ139" s="400"/>
      <c r="AK139" s="400"/>
      <c r="AL139" s="400"/>
      <c r="AM139" s="400"/>
      <c r="AN139" s="400"/>
      <c r="AO139" s="400"/>
      <c r="AP139" s="400"/>
      <c r="AQ139" s="400"/>
      <c r="AR139" s="400"/>
      <c r="AS139" s="400"/>
      <c r="AT139" s="400"/>
      <c r="AU139" s="400"/>
      <c r="AV139" s="400"/>
      <c r="AW139" s="400"/>
      <c r="AX139" s="400"/>
      <c r="AY139" s="400"/>
      <c r="AZ139" s="400"/>
      <c r="BA139" s="400"/>
      <c r="BB139" s="400"/>
      <c r="BC139" s="400"/>
    </row>
    <row r="140" s="366" customFormat="1" ht="15" customHeight="1" spans="1:55">
      <c r="A140" s="395">
        <v>42870</v>
      </c>
      <c r="B140" s="443" t="s">
        <v>35</v>
      </c>
      <c r="C140" s="377"/>
      <c r="D140" s="329"/>
      <c r="E140" s="329"/>
      <c r="F140" s="378"/>
      <c r="G140" s="329"/>
      <c r="H140" s="376"/>
      <c r="I140" s="376"/>
      <c r="J140" s="399">
        <f t="shared" si="53"/>
        <v>0</v>
      </c>
      <c r="K140" s="329"/>
      <c r="L140" s="329"/>
      <c r="M140" s="401">
        <f t="shared" si="55"/>
        <v>0</v>
      </c>
      <c r="N140" s="396">
        <f t="shared" si="51"/>
        <v>0</v>
      </c>
      <c r="O140" s="368">
        <f t="shared" si="51"/>
        <v>0</v>
      </c>
      <c r="P140" s="398">
        <f t="shared" si="51"/>
        <v>0</v>
      </c>
      <c r="Q140" s="414">
        <f t="shared" si="52"/>
        <v>7390704.48</v>
      </c>
      <c r="R140" s="402">
        <f t="shared" si="52"/>
        <v>3745318</v>
      </c>
      <c r="S140" s="415">
        <f t="shared" si="52"/>
        <v>11317748.98</v>
      </c>
      <c r="T140" s="416">
        <f>N140/'2018'!N140-1</f>
        <v>-1</v>
      </c>
      <c r="U140" s="417">
        <f>O140/'2018'!O140-1</f>
        <v>-1</v>
      </c>
      <c r="V140" s="417">
        <f>P140/'2018'!P140-1</f>
        <v>-1</v>
      </c>
      <c r="W140" s="417">
        <f>Q140/'2018'!Q140-1</f>
        <v>-0.122035109479531</v>
      </c>
      <c r="X140" s="417">
        <f>R140/'2018'!R140-1</f>
        <v>-0.105659773628158</v>
      </c>
      <c r="Y140" s="424">
        <f>S140/'2018'!S140-1</f>
        <v>-0.116812040771776</v>
      </c>
      <c r="Z140" s="425"/>
      <c r="AA140" s="426">
        <f t="shared" si="54"/>
        <v>739.070448</v>
      </c>
      <c r="AB140" s="427"/>
      <c r="AC140" s="401"/>
      <c r="AD140" s="427">
        <f t="shared" si="56"/>
        <v>7572430.98</v>
      </c>
      <c r="AE140" s="329">
        <f t="shared" si="57"/>
        <v>52541.2</v>
      </c>
      <c r="AF140" s="329">
        <f t="shared" si="57"/>
        <v>43161.64</v>
      </c>
      <c r="AG140" s="401">
        <f t="shared" si="58"/>
        <v>86023.66</v>
      </c>
      <c r="AH140" s="439"/>
      <c r="AI140" s="400"/>
      <c r="AJ140" s="400"/>
      <c r="AK140" s="400"/>
      <c r="AL140" s="400"/>
      <c r="AM140" s="400"/>
      <c r="AN140" s="400"/>
      <c r="AO140" s="400"/>
      <c r="AP140" s="400"/>
      <c r="AQ140" s="400"/>
      <c r="AR140" s="400"/>
      <c r="AS140" s="400"/>
      <c r="AT140" s="400"/>
      <c r="AU140" s="400"/>
      <c r="AV140" s="400"/>
      <c r="AW140" s="400"/>
      <c r="AX140" s="400"/>
      <c r="AY140" s="400"/>
      <c r="AZ140" s="400"/>
      <c r="BA140" s="400"/>
      <c r="BB140" s="400"/>
      <c r="BC140" s="400"/>
    </row>
    <row r="141" s="366" customFormat="1" ht="15" customHeight="1" spans="1:55">
      <c r="A141" s="395">
        <v>42871</v>
      </c>
      <c r="B141" s="191" t="s">
        <v>36</v>
      </c>
      <c r="C141" s="377"/>
      <c r="D141" s="329"/>
      <c r="E141" s="329"/>
      <c r="F141" s="378"/>
      <c r="G141" s="329"/>
      <c r="H141" s="376"/>
      <c r="I141" s="376"/>
      <c r="J141" s="399">
        <f t="shared" si="53"/>
        <v>0</v>
      </c>
      <c r="K141" s="329"/>
      <c r="L141" s="329"/>
      <c r="M141" s="401">
        <f t="shared" si="55"/>
        <v>0</v>
      </c>
      <c r="N141" s="396">
        <f t="shared" si="51"/>
        <v>0</v>
      </c>
      <c r="O141" s="368">
        <f t="shared" si="51"/>
        <v>0</v>
      </c>
      <c r="P141" s="398">
        <f t="shared" si="51"/>
        <v>0</v>
      </c>
      <c r="Q141" s="414">
        <f t="shared" si="52"/>
        <v>7390704.48</v>
      </c>
      <c r="R141" s="402">
        <f t="shared" si="52"/>
        <v>3745318</v>
      </c>
      <c r="S141" s="415">
        <f t="shared" si="52"/>
        <v>11317748.98</v>
      </c>
      <c r="T141" s="416">
        <f>N141/'2018'!N141-1</f>
        <v>-1</v>
      </c>
      <c r="U141" s="417">
        <f>O141/'2018'!O141-1</f>
        <v>-1</v>
      </c>
      <c r="V141" s="417">
        <f>P141/'2018'!P141-1</f>
        <v>-1</v>
      </c>
      <c r="W141" s="417">
        <f>Q141/'2018'!Q141-1</f>
        <v>-0.130477068178693</v>
      </c>
      <c r="X141" s="417">
        <f>R141/'2018'!R141-1</f>
        <v>-0.113245612477433</v>
      </c>
      <c r="Y141" s="424">
        <f>S141/'2018'!S141-1</f>
        <v>-0.125073711159807</v>
      </c>
      <c r="Z141" s="425"/>
      <c r="AA141" s="426">
        <f t="shared" si="54"/>
        <v>739.070448</v>
      </c>
      <c r="AB141" s="427"/>
      <c r="AC141" s="401"/>
      <c r="AD141" s="427">
        <f t="shared" si="56"/>
        <v>7572430.98</v>
      </c>
      <c r="AE141" s="329">
        <f t="shared" si="57"/>
        <v>52541.2</v>
      </c>
      <c r="AF141" s="329">
        <f t="shared" si="57"/>
        <v>43161.64</v>
      </c>
      <c r="AG141" s="401">
        <f t="shared" si="58"/>
        <v>86023.66</v>
      </c>
      <c r="AH141" s="439"/>
      <c r="AI141" s="400"/>
      <c r="AJ141" s="400"/>
      <c r="AK141" s="400"/>
      <c r="AL141" s="400"/>
      <c r="AM141" s="400"/>
      <c r="AN141" s="400"/>
      <c r="AO141" s="400"/>
      <c r="AP141" s="400"/>
      <c r="AQ141" s="400"/>
      <c r="AR141" s="400"/>
      <c r="AS141" s="400"/>
      <c r="AT141" s="400"/>
      <c r="AU141" s="400"/>
      <c r="AV141" s="400"/>
      <c r="AW141" s="400"/>
      <c r="AX141" s="400"/>
      <c r="AY141" s="400"/>
      <c r="AZ141" s="400"/>
      <c r="BA141" s="400"/>
      <c r="BB141" s="400"/>
      <c r="BC141" s="400"/>
    </row>
    <row r="142" s="366" customFormat="1" ht="15" customHeight="1" spans="1:55">
      <c r="A142" s="395">
        <v>42872</v>
      </c>
      <c r="B142" s="443" t="s">
        <v>37</v>
      </c>
      <c r="C142" s="377"/>
      <c r="D142" s="329"/>
      <c r="E142" s="329"/>
      <c r="F142" s="378"/>
      <c r="G142" s="329"/>
      <c r="H142" s="376"/>
      <c r="I142" s="376"/>
      <c r="J142" s="399">
        <f t="shared" si="53"/>
        <v>0</v>
      </c>
      <c r="K142" s="329"/>
      <c r="L142" s="329"/>
      <c r="M142" s="401">
        <f t="shared" si="55"/>
        <v>0</v>
      </c>
      <c r="N142" s="396">
        <f t="shared" si="51"/>
        <v>0</v>
      </c>
      <c r="O142" s="368">
        <f t="shared" si="51"/>
        <v>0</v>
      </c>
      <c r="P142" s="398">
        <f t="shared" si="51"/>
        <v>0</v>
      </c>
      <c r="Q142" s="414">
        <f t="shared" si="52"/>
        <v>7390704.48</v>
      </c>
      <c r="R142" s="402">
        <f t="shared" si="52"/>
        <v>3745318</v>
      </c>
      <c r="S142" s="415">
        <f t="shared" si="52"/>
        <v>11317748.98</v>
      </c>
      <c r="T142" s="416">
        <f>N142/'2018'!N142-1</f>
        <v>-1</v>
      </c>
      <c r="U142" s="417">
        <f>O142/'2018'!O142-1</f>
        <v>-1</v>
      </c>
      <c r="V142" s="417">
        <f>P142/'2018'!P142-1</f>
        <v>-1</v>
      </c>
      <c r="W142" s="417">
        <f>Q142/'2018'!Q142-1</f>
        <v>-0.138947165903757</v>
      </c>
      <c r="X142" s="417">
        <f>R142/'2018'!R142-1</f>
        <v>-0.121455862124616</v>
      </c>
      <c r="Y142" s="424">
        <f>S142/'2018'!S142-1</f>
        <v>-0.133509223276166</v>
      </c>
      <c r="Z142" s="425"/>
      <c r="AA142" s="426">
        <f t="shared" si="54"/>
        <v>739.070448</v>
      </c>
      <c r="AB142" s="427"/>
      <c r="AC142" s="401"/>
      <c r="AD142" s="427">
        <f t="shared" si="56"/>
        <v>7572430.98</v>
      </c>
      <c r="AE142" s="329">
        <f t="shared" si="57"/>
        <v>52541.2</v>
      </c>
      <c r="AF142" s="329">
        <f t="shared" si="57"/>
        <v>43161.64</v>
      </c>
      <c r="AG142" s="401">
        <f t="shared" si="58"/>
        <v>86023.66</v>
      </c>
      <c r="AH142" s="439"/>
      <c r="AI142" s="400"/>
      <c r="AJ142" s="400"/>
      <c r="AK142" s="400"/>
      <c r="AL142" s="400"/>
      <c r="AM142" s="400"/>
      <c r="AN142" s="400"/>
      <c r="AO142" s="400"/>
      <c r="AP142" s="400"/>
      <c r="AQ142" s="400"/>
      <c r="AR142" s="400"/>
      <c r="AS142" s="400"/>
      <c r="AT142" s="400"/>
      <c r="AU142" s="400"/>
      <c r="AV142" s="400"/>
      <c r="AW142" s="400"/>
      <c r="AX142" s="400"/>
      <c r="AY142" s="400"/>
      <c r="AZ142" s="400"/>
      <c r="BA142" s="400"/>
      <c r="BB142" s="400"/>
      <c r="BC142" s="400"/>
    </row>
    <row r="143" s="366" customFormat="1" ht="15" customHeight="1" spans="1:55">
      <c r="A143" s="395">
        <v>42873</v>
      </c>
      <c r="B143" s="443" t="s">
        <v>38</v>
      </c>
      <c r="C143" s="377"/>
      <c r="D143" s="329"/>
      <c r="E143" s="329"/>
      <c r="F143" s="378"/>
      <c r="G143" s="329"/>
      <c r="H143" s="376">
        <v>4720</v>
      </c>
      <c r="I143" s="376"/>
      <c r="J143" s="399">
        <f t="shared" si="53"/>
        <v>0</v>
      </c>
      <c r="K143" s="329"/>
      <c r="L143" s="329"/>
      <c r="M143" s="401">
        <f t="shared" si="55"/>
        <v>0</v>
      </c>
      <c r="N143" s="396">
        <f t="shared" ref="N143:P155" si="59">N142+C143</f>
        <v>0</v>
      </c>
      <c r="O143" s="368">
        <f t="shared" si="59"/>
        <v>0</v>
      </c>
      <c r="P143" s="398">
        <f t="shared" si="59"/>
        <v>0</v>
      </c>
      <c r="Q143" s="414">
        <f t="shared" si="52"/>
        <v>7390704.48</v>
      </c>
      <c r="R143" s="402">
        <f t="shared" si="52"/>
        <v>3745318</v>
      </c>
      <c r="S143" s="415">
        <f t="shared" si="52"/>
        <v>11317748.98</v>
      </c>
      <c r="T143" s="416">
        <f>N143/'2018'!N143-1</f>
        <v>-1</v>
      </c>
      <c r="U143" s="417">
        <f>O143/'2018'!O143-1</f>
        <v>-1</v>
      </c>
      <c r="V143" s="417">
        <f>P143/'2018'!P143-1</f>
        <v>-1</v>
      </c>
      <c r="W143" s="417">
        <f>Q143/'2018'!Q143-1</f>
        <v>-0.147158783717775</v>
      </c>
      <c r="X143" s="417">
        <f>R143/'2018'!R143-1</f>
        <v>-0.129942153615707</v>
      </c>
      <c r="Y143" s="424">
        <f>S143/'2018'!S143-1</f>
        <v>-0.141801068961053</v>
      </c>
      <c r="Z143" s="425"/>
      <c r="AA143" s="426">
        <f t="shared" si="54"/>
        <v>739.070448</v>
      </c>
      <c r="AB143" s="427"/>
      <c r="AC143" s="401"/>
      <c r="AD143" s="427">
        <f t="shared" si="56"/>
        <v>7572430.98</v>
      </c>
      <c r="AE143" s="329">
        <f t="shared" si="57"/>
        <v>52541.2</v>
      </c>
      <c r="AF143" s="329">
        <f t="shared" si="57"/>
        <v>43161.64</v>
      </c>
      <c r="AG143" s="401">
        <f t="shared" si="58"/>
        <v>86023.66</v>
      </c>
      <c r="AH143" s="439"/>
      <c r="AI143" s="400"/>
      <c r="AJ143" s="400"/>
      <c r="AK143" s="400"/>
      <c r="AL143" s="400"/>
      <c r="AM143" s="400"/>
      <c r="AN143" s="400"/>
      <c r="AO143" s="400"/>
      <c r="AP143" s="400"/>
      <c r="AQ143" s="400"/>
      <c r="AR143" s="400"/>
      <c r="AS143" s="400"/>
      <c r="AT143" s="400"/>
      <c r="AU143" s="400"/>
      <c r="AV143" s="400"/>
      <c r="AW143" s="400"/>
      <c r="AX143" s="400"/>
      <c r="AY143" s="400"/>
      <c r="AZ143" s="400"/>
      <c r="BA143" s="400"/>
      <c r="BB143" s="400"/>
      <c r="BC143" s="400"/>
    </row>
    <row r="144" s="366" customFormat="1" ht="15" customHeight="1" spans="1:55">
      <c r="A144" s="395">
        <v>42874</v>
      </c>
      <c r="B144" s="443" t="s">
        <v>1</v>
      </c>
      <c r="C144" s="377"/>
      <c r="D144" s="329"/>
      <c r="E144" s="329"/>
      <c r="F144" s="378"/>
      <c r="G144" s="329"/>
      <c r="H144" s="376">
        <v>4788</v>
      </c>
      <c r="I144" s="376"/>
      <c r="J144" s="399">
        <f t="shared" si="53"/>
        <v>0</v>
      </c>
      <c r="K144" s="329"/>
      <c r="L144" s="329"/>
      <c r="M144" s="401">
        <f t="shared" si="55"/>
        <v>0</v>
      </c>
      <c r="N144" s="396">
        <f t="shared" si="59"/>
        <v>0</v>
      </c>
      <c r="O144" s="368">
        <f t="shared" si="59"/>
        <v>0</v>
      </c>
      <c r="P144" s="398">
        <f t="shared" si="59"/>
        <v>0</v>
      </c>
      <c r="Q144" s="414">
        <f t="shared" si="52"/>
        <v>7390704.48</v>
      </c>
      <c r="R144" s="402">
        <f t="shared" si="52"/>
        <v>3745318</v>
      </c>
      <c r="S144" s="415">
        <f t="shared" si="52"/>
        <v>11317748.98</v>
      </c>
      <c r="T144" s="416">
        <f>N144/'2018'!N144-1</f>
        <v>-1</v>
      </c>
      <c r="U144" s="417">
        <f>O144/'2018'!O144-1</f>
        <v>-1</v>
      </c>
      <c r="V144" s="417">
        <f>P144/'2018'!P144-1</f>
        <v>-1</v>
      </c>
      <c r="W144" s="417">
        <f>Q144/'2018'!Q144-1</f>
        <v>-0.154437894445439</v>
      </c>
      <c r="X144" s="417">
        <f>R144/'2018'!R144-1</f>
        <v>-0.137110984139857</v>
      </c>
      <c r="Y144" s="424">
        <f>S144/'2018'!S144-1</f>
        <v>-0.149012827948447</v>
      </c>
      <c r="Z144" s="425"/>
      <c r="AA144" s="426">
        <f t="shared" si="54"/>
        <v>739.070448</v>
      </c>
      <c r="AB144" s="427"/>
      <c r="AC144" s="401"/>
      <c r="AD144" s="427">
        <f t="shared" si="56"/>
        <v>7572430.98</v>
      </c>
      <c r="AE144" s="329">
        <f t="shared" si="57"/>
        <v>52541.2</v>
      </c>
      <c r="AF144" s="329">
        <f t="shared" si="57"/>
        <v>43161.64</v>
      </c>
      <c r="AG144" s="401">
        <f t="shared" si="58"/>
        <v>86023.66</v>
      </c>
      <c r="AH144" s="439"/>
      <c r="AI144" s="400"/>
      <c r="AJ144" s="400"/>
      <c r="AK144" s="400"/>
      <c r="AL144" s="400"/>
      <c r="AM144" s="400"/>
      <c r="AN144" s="400"/>
      <c r="AO144" s="400"/>
      <c r="AP144" s="400"/>
      <c r="AQ144" s="400"/>
      <c r="AR144" s="400"/>
      <c r="AS144" s="400"/>
      <c r="AT144" s="400"/>
      <c r="AU144" s="400"/>
      <c r="AV144" s="400"/>
      <c r="AW144" s="400"/>
      <c r="AX144" s="400"/>
      <c r="AY144" s="400"/>
      <c r="AZ144" s="400"/>
      <c r="BA144" s="400"/>
      <c r="BB144" s="400"/>
      <c r="BC144" s="400"/>
    </row>
    <row r="145" s="366" customFormat="1" ht="15" customHeight="1" spans="1:55">
      <c r="A145" s="395">
        <v>42875</v>
      </c>
      <c r="B145" s="443" t="s">
        <v>39</v>
      </c>
      <c r="C145" s="377"/>
      <c r="D145" s="329"/>
      <c r="E145" s="329"/>
      <c r="F145" s="378"/>
      <c r="G145" s="329"/>
      <c r="H145" s="376">
        <v>4801</v>
      </c>
      <c r="I145" s="376"/>
      <c r="J145" s="399">
        <f t="shared" si="53"/>
        <v>0</v>
      </c>
      <c r="K145" s="329"/>
      <c r="L145" s="329"/>
      <c r="M145" s="401">
        <f t="shared" si="55"/>
        <v>0</v>
      </c>
      <c r="N145" s="396">
        <f t="shared" si="59"/>
        <v>0</v>
      </c>
      <c r="O145" s="368">
        <f t="shared" si="59"/>
        <v>0</v>
      </c>
      <c r="P145" s="398">
        <f t="shared" si="59"/>
        <v>0</v>
      </c>
      <c r="Q145" s="414">
        <f t="shared" si="52"/>
        <v>7390704.48</v>
      </c>
      <c r="R145" s="402">
        <f t="shared" si="52"/>
        <v>3745318</v>
      </c>
      <c r="S145" s="415">
        <f t="shared" si="52"/>
        <v>11317748.98</v>
      </c>
      <c r="T145" s="416">
        <f>N145/'2018'!N145-1</f>
        <v>-1</v>
      </c>
      <c r="U145" s="417">
        <f>O145/'2018'!O145-1</f>
        <v>-1</v>
      </c>
      <c r="V145" s="417">
        <f>P145/'2018'!P145-1</f>
        <v>-1</v>
      </c>
      <c r="W145" s="417">
        <f>Q145/'2018'!Q145-1</f>
        <v>-0.160967989804446</v>
      </c>
      <c r="X145" s="417">
        <f>R145/'2018'!R145-1</f>
        <v>-0.143713389425061</v>
      </c>
      <c r="Y145" s="424">
        <f>S145/'2018'!S145-1</f>
        <v>-0.155497869827829</v>
      </c>
      <c r="Z145" s="425"/>
      <c r="AA145" s="426">
        <f t="shared" si="54"/>
        <v>739.070448</v>
      </c>
      <c r="AB145" s="427"/>
      <c r="AC145" s="401"/>
      <c r="AD145" s="427">
        <f t="shared" si="56"/>
        <v>7572430.98</v>
      </c>
      <c r="AE145" s="329">
        <f t="shared" si="57"/>
        <v>52541.2</v>
      </c>
      <c r="AF145" s="329">
        <f t="shared" si="57"/>
        <v>43161.64</v>
      </c>
      <c r="AG145" s="401">
        <f t="shared" si="58"/>
        <v>86023.66</v>
      </c>
      <c r="AH145" s="439"/>
      <c r="AI145" s="400"/>
      <c r="AJ145" s="400"/>
      <c r="AK145" s="400"/>
      <c r="AL145" s="400"/>
      <c r="AM145" s="400"/>
      <c r="AN145" s="400"/>
      <c r="AO145" s="400"/>
      <c r="AP145" s="400"/>
      <c r="AQ145" s="400"/>
      <c r="AR145" s="400"/>
      <c r="AS145" s="400"/>
      <c r="AT145" s="400"/>
      <c r="AU145" s="400"/>
      <c r="AV145" s="400"/>
      <c r="AW145" s="400"/>
      <c r="AX145" s="400"/>
      <c r="AY145" s="400"/>
      <c r="AZ145" s="400"/>
      <c r="BA145" s="400"/>
      <c r="BB145" s="400"/>
      <c r="BC145" s="400"/>
    </row>
    <row r="146" s="366" customFormat="1" ht="15" customHeight="1" spans="1:55">
      <c r="A146" s="395">
        <v>42876</v>
      </c>
      <c r="B146" s="443" t="s">
        <v>34</v>
      </c>
      <c r="C146" s="377"/>
      <c r="D146" s="329"/>
      <c r="E146" s="329"/>
      <c r="F146" s="378"/>
      <c r="G146" s="329"/>
      <c r="H146" s="376">
        <v>4491</v>
      </c>
      <c r="I146" s="376"/>
      <c r="J146" s="399">
        <f t="shared" si="53"/>
        <v>0</v>
      </c>
      <c r="K146" s="329"/>
      <c r="L146" s="329"/>
      <c r="M146" s="401">
        <f t="shared" si="55"/>
        <v>0</v>
      </c>
      <c r="N146" s="396">
        <f t="shared" si="59"/>
        <v>0</v>
      </c>
      <c r="O146" s="368">
        <f t="shared" si="59"/>
        <v>0</v>
      </c>
      <c r="P146" s="398">
        <f t="shared" si="59"/>
        <v>0</v>
      </c>
      <c r="Q146" s="414">
        <f t="shared" si="52"/>
        <v>7390704.48</v>
      </c>
      <c r="R146" s="402">
        <f t="shared" si="52"/>
        <v>3745318</v>
      </c>
      <c r="S146" s="415">
        <f t="shared" si="52"/>
        <v>11317748.98</v>
      </c>
      <c r="T146" s="416">
        <f>N146/'2018'!N146-1</f>
        <v>-1</v>
      </c>
      <c r="U146" s="417">
        <f>O146/'2018'!O146-1</f>
        <v>-1</v>
      </c>
      <c r="V146" s="417">
        <f>P146/'2018'!P146-1</f>
        <v>-1</v>
      </c>
      <c r="W146" s="417">
        <f>Q146/'2018'!Q146-1</f>
        <v>-0.167689509912564</v>
      </c>
      <c r="X146" s="417">
        <f>R146/'2018'!R146-1</f>
        <v>-0.150051219533228</v>
      </c>
      <c r="Y146" s="424">
        <f>S146/'2018'!S146-1</f>
        <v>-0.162021402264446</v>
      </c>
      <c r="Z146" s="425"/>
      <c r="AA146" s="426">
        <f t="shared" si="54"/>
        <v>739.070448</v>
      </c>
      <c r="AB146" s="427"/>
      <c r="AC146" s="401"/>
      <c r="AD146" s="427">
        <f t="shared" si="56"/>
        <v>7572430.98</v>
      </c>
      <c r="AE146" s="329">
        <f t="shared" si="57"/>
        <v>52541.2</v>
      </c>
      <c r="AF146" s="329">
        <f t="shared" si="57"/>
        <v>43161.64</v>
      </c>
      <c r="AG146" s="401">
        <f t="shared" si="58"/>
        <v>86023.66</v>
      </c>
      <c r="AH146" s="439"/>
      <c r="AI146" s="400"/>
      <c r="AJ146" s="400"/>
      <c r="AK146" s="400"/>
      <c r="AL146" s="400"/>
      <c r="AM146" s="400"/>
      <c r="AN146" s="400"/>
      <c r="AO146" s="400"/>
      <c r="AP146" s="400"/>
      <c r="AQ146" s="400"/>
      <c r="AR146" s="400"/>
      <c r="AS146" s="400"/>
      <c r="AT146" s="400"/>
      <c r="AU146" s="400"/>
      <c r="AV146" s="400"/>
      <c r="AW146" s="400"/>
      <c r="AX146" s="400"/>
      <c r="AY146" s="400"/>
      <c r="AZ146" s="400"/>
      <c r="BA146" s="400"/>
      <c r="BB146" s="400"/>
      <c r="BC146" s="400"/>
    </row>
    <row r="147" s="366" customFormat="1" ht="15" customHeight="1" spans="1:55">
      <c r="A147" s="395">
        <v>42877</v>
      </c>
      <c r="B147" s="443" t="s">
        <v>35</v>
      </c>
      <c r="C147" s="377"/>
      <c r="D147" s="329"/>
      <c r="E147" s="329"/>
      <c r="F147" s="378"/>
      <c r="G147" s="329"/>
      <c r="H147" s="376">
        <v>4897</v>
      </c>
      <c r="I147" s="376"/>
      <c r="J147" s="399">
        <f t="shared" si="53"/>
        <v>0</v>
      </c>
      <c r="K147" s="329"/>
      <c r="L147" s="329"/>
      <c r="M147" s="401">
        <f t="shared" si="55"/>
        <v>0</v>
      </c>
      <c r="N147" s="396">
        <f t="shared" si="59"/>
        <v>0</v>
      </c>
      <c r="O147" s="368">
        <f t="shared" si="59"/>
        <v>0</v>
      </c>
      <c r="P147" s="398">
        <f t="shared" si="59"/>
        <v>0</v>
      </c>
      <c r="Q147" s="414">
        <f t="shared" si="52"/>
        <v>7390704.48</v>
      </c>
      <c r="R147" s="402">
        <f t="shared" si="52"/>
        <v>3745318</v>
      </c>
      <c r="S147" s="415">
        <f t="shared" si="52"/>
        <v>11317748.98</v>
      </c>
      <c r="T147" s="416">
        <f>N147/'2018'!N147-1</f>
        <v>-1</v>
      </c>
      <c r="U147" s="417">
        <f>O147/'2018'!O147-1</f>
        <v>-1</v>
      </c>
      <c r="V147" s="417">
        <f>P147/'2018'!P147-1</f>
        <v>-1</v>
      </c>
      <c r="W147" s="417">
        <f>Q147/'2018'!Q147-1</f>
        <v>-0.174156478572731</v>
      </c>
      <c r="X147" s="417">
        <f>R147/'2018'!R147-1</f>
        <v>-0.156865525954181</v>
      </c>
      <c r="Y147" s="424">
        <f>S147/'2018'!S147-1</f>
        <v>-0.16854193368397</v>
      </c>
      <c r="Z147" s="425"/>
      <c r="AA147" s="426">
        <f t="shared" si="54"/>
        <v>739.070448</v>
      </c>
      <c r="AB147" s="427"/>
      <c r="AC147" s="401"/>
      <c r="AD147" s="427">
        <f t="shared" si="56"/>
        <v>7572430.98</v>
      </c>
      <c r="AE147" s="329">
        <f t="shared" si="57"/>
        <v>52541.2</v>
      </c>
      <c r="AF147" s="329">
        <f t="shared" si="57"/>
        <v>43161.64</v>
      </c>
      <c r="AG147" s="401">
        <f t="shared" si="58"/>
        <v>86023.66</v>
      </c>
      <c r="AH147" s="439"/>
      <c r="AI147" s="400"/>
      <c r="AJ147" s="400"/>
      <c r="AK147" s="400"/>
      <c r="AL147" s="400"/>
      <c r="AM147" s="400"/>
      <c r="AN147" s="400"/>
      <c r="AO147" s="400"/>
      <c r="AP147" s="400"/>
      <c r="AQ147" s="400"/>
      <c r="AR147" s="400"/>
      <c r="AS147" s="400"/>
      <c r="AT147" s="400"/>
      <c r="AU147" s="400"/>
      <c r="AV147" s="400"/>
      <c r="AW147" s="400"/>
      <c r="AX147" s="400"/>
      <c r="AY147" s="400"/>
      <c r="AZ147" s="400"/>
      <c r="BA147" s="400"/>
      <c r="BB147" s="400"/>
      <c r="BC147" s="400"/>
    </row>
    <row r="148" s="366" customFormat="1" ht="15" customHeight="1" spans="1:55">
      <c r="A148" s="395">
        <v>42878</v>
      </c>
      <c r="B148" s="191" t="s">
        <v>36</v>
      </c>
      <c r="C148" s="377"/>
      <c r="D148" s="329"/>
      <c r="E148" s="329"/>
      <c r="F148" s="378"/>
      <c r="G148" s="329"/>
      <c r="H148" s="376">
        <v>5069</v>
      </c>
      <c r="I148" s="376"/>
      <c r="J148" s="399">
        <f t="shared" si="53"/>
        <v>0</v>
      </c>
      <c r="K148" s="329"/>
      <c r="L148" s="329"/>
      <c r="M148" s="401">
        <f t="shared" si="55"/>
        <v>0</v>
      </c>
      <c r="N148" s="396">
        <f t="shared" si="59"/>
        <v>0</v>
      </c>
      <c r="O148" s="368">
        <f t="shared" si="59"/>
        <v>0</v>
      </c>
      <c r="P148" s="398">
        <f t="shared" si="59"/>
        <v>0</v>
      </c>
      <c r="Q148" s="414">
        <f t="shared" si="52"/>
        <v>7390704.48</v>
      </c>
      <c r="R148" s="402">
        <f t="shared" si="52"/>
        <v>3745318</v>
      </c>
      <c r="S148" s="415">
        <f t="shared" si="52"/>
        <v>11317748.98</v>
      </c>
      <c r="T148" s="416">
        <f>N148/'2018'!N148-1</f>
        <v>-1</v>
      </c>
      <c r="U148" s="417">
        <f>O148/'2018'!O148-1</f>
        <v>-1</v>
      </c>
      <c r="V148" s="417">
        <f>P148/'2018'!P148-1</f>
        <v>-1</v>
      </c>
      <c r="W148" s="417">
        <f>Q148/'2018'!Q148-1</f>
        <v>-0.180326415656395</v>
      </c>
      <c r="X148" s="417">
        <f>R148/'2018'!R148-1</f>
        <v>-0.162997764533382</v>
      </c>
      <c r="Y148" s="424">
        <f>S148/'2018'!S148-1</f>
        <v>-0.174677557316156</v>
      </c>
      <c r="Z148" s="425"/>
      <c r="AA148" s="426">
        <f t="shared" si="54"/>
        <v>739.070448</v>
      </c>
      <c r="AB148" s="427"/>
      <c r="AC148" s="401"/>
      <c r="AD148" s="427">
        <f t="shared" si="56"/>
        <v>7572430.98</v>
      </c>
      <c r="AE148" s="329">
        <f t="shared" si="57"/>
        <v>52541.2</v>
      </c>
      <c r="AF148" s="329">
        <f t="shared" si="57"/>
        <v>43161.64</v>
      </c>
      <c r="AG148" s="401">
        <f t="shared" si="58"/>
        <v>86023.66</v>
      </c>
      <c r="AH148" s="439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</row>
    <row r="149" s="366" customFormat="1" ht="15" customHeight="1" spans="1:55">
      <c r="A149" s="395">
        <v>42879</v>
      </c>
      <c r="B149" s="443" t="s">
        <v>37</v>
      </c>
      <c r="C149" s="377"/>
      <c r="D149" s="329"/>
      <c r="E149" s="329"/>
      <c r="F149" s="378"/>
      <c r="G149" s="329"/>
      <c r="H149" s="376">
        <v>4824</v>
      </c>
      <c r="I149" s="376"/>
      <c r="J149" s="399">
        <f t="shared" si="53"/>
        <v>0</v>
      </c>
      <c r="K149" s="329"/>
      <c r="L149" s="329"/>
      <c r="M149" s="401">
        <f t="shared" si="55"/>
        <v>0</v>
      </c>
      <c r="N149" s="396">
        <f t="shared" si="59"/>
        <v>0</v>
      </c>
      <c r="O149" s="368">
        <f t="shared" si="59"/>
        <v>0</v>
      </c>
      <c r="P149" s="398">
        <f t="shared" si="59"/>
        <v>0</v>
      </c>
      <c r="Q149" s="414">
        <f t="shared" si="52"/>
        <v>7390704.48</v>
      </c>
      <c r="R149" s="402">
        <f t="shared" si="52"/>
        <v>3745318</v>
      </c>
      <c r="S149" s="415">
        <f t="shared" si="52"/>
        <v>11317748.98</v>
      </c>
      <c r="T149" s="416">
        <f>N149/'2018'!N149-1</f>
        <v>-1</v>
      </c>
      <c r="U149" s="417">
        <f>O149/'2018'!O149-1</f>
        <v>-1</v>
      </c>
      <c r="V149" s="417">
        <f>P149/'2018'!P149-1</f>
        <v>-1</v>
      </c>
      <c r="W149" s="417">
        <f>Q149/'2018'!Q149-1</f>
        <v>-0.185772482968865</v>
      </c>
      <c r="X149" s="417">
        <f>R149/'2018'!R149-1</f>
        <v>-0.170589588760306</v>
      </c>
      <c r="Y149" s="424">
        <f>S149/'2018'!S149-1</f>
        <v>-0.180801330117462</v>
      </c>
      <c r="Z149" s="425"/>
      <c r="AA149" s="426">
        <f t="shared" si="54"/>
        <v>739.070448</v>
      </c>
      <c r="AB149" s="427"/>
      <c r="AC149" s="401"/>
      <c r="AD149" s="427">
        <f t="shared" si="56"/>
        <v>7572430.98</v>
      </c>
      <c r="AE149" s="329">
        <f t="shared" si="57"/>
        <v>52541.2</v>
      </c>
      <c r="AF149" s="329">
        <f t="shared" si="57"/>
        <v>43161.64</v>
      </c>
      <c r="AG149" s="401">
        <f t="shared" si="58"/>
        <v>86023.66</v>
      </c>
      <c r="AH149" s="439"/>
      <c r="AI149" s="400"/>
      <c r="AJ149" s="400"/>
      <c r="AK149" s="400"/>
      <c r="AL149" s="400"/>
      <c r="AM149" s="400"/>
      <c r="AN149" s="400"/>
      <c r="AO149" s="400"/>
      <c r="AP149" s="400"/>
      <c r="AQ149" s="400"/>
      <c r="AR149" s="400"/>
      <c r="AS149" s="400"/>
      <c r="AT149" s="400"/>
      <c r="AU149" s="400"/>
      <c r="AV149" s="400"/>
      <c r="AW149" s="400"/>
      <c r="AX149" s="400"/>
      <c r="AY149" s="400"/>
      <c r="AZ149" s="400"/>
      <c r="BA149" s="400"/>
      <c r="BB149" s="400"/>
      <c r="BC149" s="400"/>
    </row>
    <row r="150" s="366" customFormat="1" ht="15" customHeight="1" spans="1:55">
      <c r="A150" s="395">
        <v>42880</v>
      </c>
      <c r="B150" s="443" t="s">
        <v>38</v>
      </c>
      <c r="C150" s="377"/>
      <c r="D150" s="329"/>
      <c r="E150" s="329"/>
      <c r="F150" s="378"/>
      <c r="G150" s="329"/>
      <c r="H150" s="376"/>
      <c r="I150" s="376"/>
      <c r="J150" s="399">
        <f t="shared" si="53"/>
        <v>0</v>
      </c>
      <c r="K150" s="329"/>
      <c r="L150" s="329"/>
      <c r="M150" s="401">
        <f t="shared" si="55"/>
        <v>0</v>
      </c>
      <c r="N150" s="396">
        <f t="shared" si="59"/>
        <v>0</v>
      </c>
      <c r="O150" s="368">
        <f t="shared" si="59"/>
        <v>0</v>
      </c>
      <c r="P150" s="398">
        <f t="shared" si="59"/>
        <v>0</v>
      </c>
      <c r="Q150" s="414">
        <f t="shared" si="52"/>
        <v>7390704.48</v>
      </c>
      <c r="R150" s="402">
        <f t="shared" si="52"/>
        <v>3745318</v>
      </c>
      <c r="S150" s="415">
        <f t="shared" si="52"/>
        <v>11317748.98</v>
      </c>
      <c r="T150" s="416">
        <f>N150/'2018'!N150-1</f>
        <v>-1</v>
      </c>
      <c r="U150" s="417">
        <f>O150/'2018'!O150-1</f>
        <v>-1</v>
      </c>
      <c r="V150" s="417">
        <f>P150/'2018'!P150-1</f>
        <v>-1</v>
      </c>
      <c r="W150" s="417">
        <f>Q150/'2018'!Q150-1</f>
        <v>-0.191721734224225</v>
      </c>
      <c r="X150" s="417">
        <f>R150/'2018'!R150-1</f>
        <v>-0.178022382229058</v>
      </c>
      <c r="Y150" s="424">
        <f>S150/'2018'!S150-1</f>
        <v>-0.187207360061922</v>
      </c>
      <c r="Z150" s="425"/>
      <c r="AA150" s="426">
        <f t="shared" si="54"/>
        <v>739.070448</v>
      </c>
      <c r="AB150" s="427"/>
      <c r="AC150" s="401"/>
      <c r="AD150" s="427">
        <f t="shared" si="56"/>
        <v>7572430.98</v>
      </c>
      <c r="AE150" s="329">
        <f t="shared" si="57"/>
        <v>52541.2</v>
      </c>
      <c r="AF150" s="329">
        <f t="shared" si="57"/>
        <v>43161.64</v>
      </c>
      <c r="AG150" s="401">
        <f t="shared" si="58"/>
        <v>86023.66</v>
      </c>
      <c r="AH150" s="439"/>
      <c r="AI150" s="400"/>
      <c r="AJ150" s="400"/>
      <c r="AK150" s="400"/>
      <c r="AL150" s="400"/>
      <c r="AM150" s="400"/>
      <c r="AN150" s="400"/>
      <c r="AO150" s="400"/>
      <c r="AP150" s="400"/>
      <c r="AQ150" s="400"/>
      <c r="AR150" s="400"/>
      <c r="AS150" s="400"/>
      <c r="AT150" s="400"/>
      <c r="AU150" s="400"/>
      <c r="AV150" s="400"/>
      <c r="AW150" s="400"/>
      <c r="AX150" s="400"/>
      <c r="AY150" s="400"/>
      <c r="AZ150" s="400"/>
      <c r="BA150" s="400"/>
      <c r="BB150" s="400"/>
      <c r="BC150" s="400"/>
    </row>
    <row r="151" s="366" customFormat="1" ht="15" customHeight="1" spans="1:55">
      <c r="A151" s="395">
        <v>42881</v>
      </c>
      <c r="B151" s="443" t="s">
        <v>1</v>
      </c>
      <c r="C151" s="377"/>
      <c r="D151" s="329"/>
      <c r="E151" s="329"/>
      <c r="F151" s="378"/>
      <c r="G151" s="329"/>
      <c r="H151" s="376"/>
      <c r="I151" s="376"/>
      <c r="J151" s="399">
        <f t="shared" si="53"/>
        <v>0</v>
      </c>
      <c r="K151" s="329"/>
      <c r="L151" s="329"/>
      <c r="M151" s="401">
        <f t="shared" si="55"/>
        <v>0</v>
      </c>
      <c r="N151" s="396">
        <f t="shared" si="59"/>
        <v>0</v>
      </c>
      <c r="O151" s="368">
        <f t="shared" si="59"/>
        <v>0</v>
      </c>
      <c r="P151" s="398">
        <f t="shared" si="59"/>
        <v>0</v>
      </c>
      <c r="Q151" s="414">
        <f t="shared" si="52"/>
        <v>7390704.48</v>
      </c>
      <c r="R151" s="402">
        <f t="shared" si="52"/>
        <v>3745318</v>
      </c>
      <c r="S151" s="415">
        <f t="shared" si="52"/>
        <v>11317748.98</v>
      </c>
      <c r="T151" s="416">
        <f>N151/'2018'!N151-1</f>
        <v>-1</v>
      </c>
      <c r="U151" s="417">
        <f>O151/'2018'!O151-1</f>
        <v>-1</v>
      </c>
      <c r="V151" s="417">
        <f>P151/'2018'!P151-1</f>
        <v>-1</v>
      </c>
      <c r="W151" s="417">
        <f>Q151/'2018'!Q151-1</f>
        <v>-0.19788164389911</v>
      </c>
      <c r="X151" s="417">
        <f>R151/'2018'!R151-1</f>
        <v>-0.184660909780212</v>
      </c>
      <c r="Y151" s="424">
        <f>S151/'2018'!S151-1</f>
        <v>-0.193485817910294</v>
      </c>
      <c r="Z151" s="425"/>
      <c r="AA151" s="426">
        <f t="shared" si="54"/>
        <v>739.070448</v>
      </c>
      <c r="AB151" s="427"/>
      <c r="AC151" s="401"/>
      <c r="AD151" s="427">
        <f t="shared" si="56"/>
        <v>7572430.98</v>
      </c>
      <c r="AE151" s="329">
        <f t="shared" ref="AE151:AF166" si="60">AE150+K151</f>
        <v>52541.2</v>
      </c>
      <c r="AF151" s="329">
        <f t="shared" si="60"/>
        <v>43161.64</v>
      </c>
      <c r="AG151" s="401">
        <f t="shared" si="58"/>
        <v>86023.66</v>
      </c>
      <c r="AH151" s="439"/>
      <c r="AI151" s="400"/>
      <c r="AJ151" s="400"/>
      <c r="AK151" s="400"/>
      <c r="AL151" s="400"/>
      <c r="AM151" s="400"/>
      <c r="AN151" s="400"/>
      <c r="AO151" s="400"/>
      <c r="AP151" s="400"/>
      <c r="AQ151" s="400"/>
      <c r="AR151" s="400"/>
      <c r="AS151" s="400"/>
      <c r="AT151" s="400"/>
      <c r="AU151" s="400"/>
      <c r="AV151" s="400"/>
      <c r="AW151" s="400"/>
      <c r="AX151" s="400"/>
      <c r="AY151" s="400"/>
      <c r="AZ151" s="400"/>
      <c r="BA151" s="400"/>
      <c r="BB151" s="400"/>
      <c r="BC151" s="400"/>
    </row>
    <row r="152" s="366" customFormat="1" ht="15" customHeight="1" spans="1:55">
      <c r="A152" s="395">
        <v>42882</v>
      </c>
      <c r="B152" s="443" t="s">
        <v>39</v>
      </c>
      <c r="C152" s="377"/>
      <c r="D152" s="329"/>
      <c r="E152" s="329"/>
      <c r="F152" s="378"/>
      <c r="G152" s="329"/>
      <c r="H152" s="376"/>
      <c r="I152" s="376"/>
      <c r="J152" s="399">
        <f t="shared" si="53"/>
        <v>0</v>
      </c>
      <c r="K152" s="329"/>
      <c r="L152" s="329"/>
      <c r="M152" s="401">
        <f t="shared" si="55"/>
        <v>0</v>
      </c>
      <c r="N152" s="396">
        <f t="shared" si="59"/>
        <v>0</v>
      </c>
      <c r="O152" s="368">
        <f t="shared" si="59"/>
        <v>0</v>
      </c>
      <c r="P152" s="398">
        <f t="shared" si="59"/>
        <v>0</v>
      </c>
      <c r="Q152" s="414">
        <f t="shared" si="52"/>
        <v>7390704.48</v>
      </c>
      <c r="R152" s="402">
        <f t="shared" si="52"/>
        <v>3745318</v>
      </c>
      <c r="S152" s="415">
        <f t="shared" si="52"/>
        <v>11317748.98</v>
      </c>
      <c r="T152" s="416">
        <f>N152/'2018'!N152-1</f>
        <v>-1</v>
      </c>
      <c r="U152" s="417">
        <f>O152/'2018'!O152-1</f>
        <v>-1</v>
      </c>
      <c r="V152" s="417">
        <f>P152/'2018'!P152-1</f>
        <v>-1</v>
      </c>
      <c r="W152" s="417">
        <f>Q152/'2018'!Q152-1</f>
        <v>-0.203891436878064</v>
      </c>
      <c r="X152" s="417">
        <f>R152/'2018'!R152-1</f>
        <v>-0.190098546582787</v>
      </c>
      <c r="Y152" s="424">
        <f>S152/'2018'!S152-1</f>
        <v>-0.199258516184575</v>
      </c>
      <c r="Z152" s="425"/>
      <c r="AA152" s="426">
        <f t="shared" si="54"/>
        <v>739.070448</v>
      </c>
      <c r="AB152" s="427"/>
      <c r="AC152" s="401"/>
      <c r="AD152" s="427">
        <f t="shared" si="56"/>
        <v>7572430.98</v>
      </c>
      <c r="AE152" s="329">
        <f t="shared" si="60"/>
        <v>52541.2</v>
      </c>
      <c r="AF152" s="329">
        <f t="shared" si="60"/>
        <v>43161.64</v>
      </c>
      <c r="AG152" s="401">
        <f t="shared" si="58"/>
        <v>86023.66</v>
      </c>
      <c r="AH152" s="439"/>
      <c r="AI152" s="400"/>
      <c r="AJ152" s="400"/>
      <c r="AK152" s="400"/>
      <c r="AL152" s="400"/>
      <c r="AM152" s="400"/>
      <c r="AN152" s="400"/>
      <c r="AO152" s="400"/>
      <c r="AP152" s="400"/>
      <c r="AQ152" s="400"/>
      <c r="AR152" s="400"/>
      <c r="AS152" s="400"/>
      <c r="AT152" s="400"/>
      <c r="AU152" s="400"/>
      <c r="AV152" s="400"/>
      <c r="AW152" s="400"/>
      <c r="AX152" s="400"/>
      <c r="AY152" s="400"/>
      <c r="AZ152" s="400"/>
      <c r="BA152" s="400"/>
      <c r="BB152" s="400"/>
      <c r="BC152" s="400"/>
    </row>
    <row r="153" s="366" customFormat="1" ht="15" customHeight="1" spans="1:55">
      <c r="A153" s="395">
        <v>42883</v>
      </c>
      <c r="B153" s="443" t="s">
        <v>34</v>
      </c>
      <c r="C153" s="377"/>
      <c r="D153" s="329"/>
      <c r="E153" s="329"/>
      <c r="F153" s="378"/>
      <c r="G153" s="329"/>
      <c r="H153" s="376"/>
      <c r="I153" s="376"/>
      <c r="J153" s="399">
        <f t="shared" si="53"/>
        <v>0</v>
      </c>
      <c r="K153" s="329"/>
      <c r="L153" s="329"/>
      <c r="M153" s="401">
        <f t="shared" si="55"/>
        <v>0</v>
      </c>
      <c r="N153" s="396">
        <f t="shared" si="59"/>
        <v>0</v>
      </c>
      <c r="O153" s="368">
        <f t="shared" si="59"/>
        <v>0</v>
      </c>
      <c r="P153" s="398">
        <f t="shared" si="59"/>
        <v>0</v>
      </c>
      <c r="Q153" s="414">
        <f t="shared" si="52"/>
        <v>7390704.48</v>
      </c>
      <c r="R153" s="402">
        <f t="shared" si="52"/>
        <v>3745318</v>
      </c>
      <c r="S153" s="415">
        <f t="shared" si="52"/>
        <v>11317748.98</v>
      </c>
      <c r="T153" s="416">
        <f>N153/'2018'!N153-1</f>
        <v>-1</v>
      </c>
      <c r="U153" s="417">
        <f>O153/'2018'!O153-1</f>
        <v>-1</v>
      </c>
      <c r="V153" s="417">
        <f>P153/'2018'!P153-1</f>
        <v>-1</v>
      </c>
      <c r="W153" s="417">
        <f>Q153/'2018'!Q153-1</f>
        <v>-0.209718985022435</v>
      </c>
      <c r="X153" s="417">
        <f>R153/'2018'!R153-1</f>
        <v>-0.196259026832798</v>
      </c>
      <c r="Y153" s="424">
        <f>S153/'2018'!S153-1</f>
        <v>-0.205171444564706</v>
      </c>
      <c r="Z153" s="425"/>
      <c r="AA153" s="426">
        <f t="shared" si="54"/>
        <v>739.070448</v>
      </c>
      <c r="AB153" s="427"/>
      <c r="AC153" s="401"/>
      <c r="AD153" s="427">
        <f t="shared" si="56"/>
        <v>7572430.98</v>
      </c>
      <c r="AE153" s="329">
        <f t="shared" si="60"/>
        <v>52541.2</v>
      </c>
      <c r="AF153" s="329">
        <f t="shared" si="60"/>
        <v>43161.64</v>
      </c>
      <c r="AG153" s="401">
        <f t="shared" si="58"/>
        <v>86023.66</v>
      </c>
      <c r="AH153" s="439"/>
      <c r="AI153" s="400"/>
      <c r="AJ153" s="400"/>
      <c r="AK153" s="400"/>
      <c r="AL153" s="400"/>
      <c r="AM153" s="400"/>
      <c r="AN153" s="400"/>
      <c r="AO153" s="400"/>
      <c r="AP153" s="400"/>
      <c r="AQ153" s="400"/>
      <c r="AR153" s="400"/>
      <c r="AS153" s="400"/>
      <c r="AT153" s="400"/>
      <c r="AU153" s="400"/>
      <c r="AV153" s="400"/>
      <c r="AW153" s="400"/>
      <c r="AX153" s="400"/>
      <c r="AY153" s="400"/>
      <c r="AZ153" s="400"/>
      <c r="BA153" s="400"/>
      <c r="BB153" s="400"/>
      <c r="BC153" s="400"/>
    </row>
    <row r="154" s="366" customFormat="1" ht="15" customHeight="1" spans="1:55">
      <c r="A154" s="395">
        <v>42884</v>
      </c>
      <c r="B154" s="443" t="s">
        <v>35</v>
      </c>
      <c r="C154" s="377"/>
      <c r="D154" s="329"/>
      <c r="E154" s="329"/>
      <c r="F154" s="378"/>
      <c r="G154" s="329"/>
      <c r="H154" s="376"/>
      <c r="I154" s="376"/>
      <c r="J154" s="399">
        <f t="shared" si="53"/>
        <v>0</v>
      </c>
      <c r="K154" s="329"/>
      <c r="L154" s="329"/>
      <c r="M154" s="401">
        <f t="shared" si="55"/>
        <v>0</v>
      </c>
      <c r="N154" s="396">
        <f t="shared" si="59"/>
        <v>0</v>
      </c>
      <c r="O154" s="368">
        <f t="shared" si="59"/>
        <v>0</v>
      </c>
      <c r="P154" s="398">
        <f t="shared" si="59"/>
        <v>0</v>
      </c>
      <c r="Q154" s="414">
        <f t="shared" si="52"/>
        <v>7390704.48</v>
      </c>
      <c r="R154" s="402">
        <f t="shared" si="52"/>
        <v>3745318</v>
      </c>
      <c r="S154" s="415">
        <f t="shared" si="52"/>
        <v>11317748.98</v>
      </c>
      <c r="T154" s="416">
        <f>N154/'2018'!N154-1</f>
        <v>-1</v>
      </c>
      <c r="U154" s="417">
        <f>O154/'2018'!O154-1</f>
        <v>-1</v>
      </c>
      <c r="V154" s="417">
        <f>P154/'2018'!P154-1</f>
        <v>-1</v>
      </c>
      <c r="W154" s="417">
        <f>Q154/'2018'!Q154-1</f>
        <v>-0.215608050311364</v>
      </c>
      <c r="X154" s="417">
        <f>R154/'2018'!R154-1</f>
        <v>-0.202542024809164</v>
      </c>
      <c r="Y154" s="424">
        <f>S154/'2018'!S154-1</f>
        <v>-0.21116634926223</v>
      </c>
      <c r="Z154" s="425"/>
      <c r="AA154" s="426">
        <f t="shared" si="54"/>
        <v>739.070448</v>
      </c>
      <c r="AB154" s="427"/>
      <c r="AC154" s="401"/>
      <c r="AD154" s="427">
        <f t="shared" si="56"/>
        <v>7572430.98</v>
      </c>
      <c r="AE154" s="329">
        <f t="shared" si="60"/>
        <v>52541.2</v>
      </c>
      <c r="AF154" s="329">
        <f t="shared" si="60"/>
        <v>43161.64</v>
      </c>
      <c r="AG154" s="401">
        <f t="shared" si="58"/>
        <v>86023.66</v>
      </c>
      <c r="AH154" s="439"/>
      <c r="AI154" s="400"/>
      <c r="AJ154" s="400"/>
      <c r="AK154" s="400"/>
      <c r="AL154" s="400"/>
      <c r="AM154" s="400"/>
      <c r="AN154" s="400"/>
      <c r="AO154" s="400"/>
      <c r="AP154" s="400"/>
      <c r="AQ154" s="400"/>
      <c r="AR154" s="400"/>
      <c r="AS154" s="400"/>
      <c r="AT154" s="400"/>
      <c r="AU154" s="400"/>
      <c r="AV154" s="400"/>
      <c r="AW154" s="400"/>
      <c r="AX154" s="400"/>
      <c r="AY154" s="400"/>
      <c r="AZ154" s="400"/>
      <c r="BA154" s="400"/>
      <c r="BB154" s="400"/>
      <c r="BC154" s="400"/>
    </row>
    <row r="155" s="366" customFormat="1" ht="15" customHeight="1" spans="1:55">
      <c r="A155" s="395">
        <v>42885</v>
      </c>
      <c r="B155" s="191" t="s">
        <v>36</v>
      </c>
      <c r="C155" s="377"/>
      <c r="D155" s="329"/>
      <c r="E155" s="329"/>
      <c r="F155" s="378"/>
      <c r="G155" s="329"/>
      <c r="H155" s="376"/>
      <c r="I155" s="376"/>
      <c r="J155" s="399">
        <f t="shared" si="53"/>
        <v>0</v>
      </c>
      <c r="K155" s="329"/>
      <c r="L155" s="329"/>
      <c r="M155" s="401">
        <f t="shared" si="55"/>
        <v>0</v>
      </c>
      <c r="N155" s="396">
        <f t="shared" si="59"/>
        <v>0</v>
      </c>
      <c r="O155" s="368">
        <f t="shared" si="59"/>
        <v>0</v>
      </c>
      <c r="P155" s="398">
        <f t="shared" si="59"/>
        <v>0</v>
      </c>
      <c r="Q155" s="414">
        <f t="shared" si="52"/>
        <v>7390704.48</v>
      </c>
      <c r="R155" s="402">
        <f t="shared" si="52"/>
        <v>3745318</v>
      </c>
      <c r="S155" s="415">
        <f t="shared" si="52"/>
        <v>11317748.98</v>
      </c>
      <c r="T155" s="416">
        <f>N155/'2018'!N155-1</f>
        <v>-1</v>
      </c>
      <c r="U155" s="417">
        <f>O155/'2018'!O155-1</f>
        <v>-1</v>
      </c>
      <c r="V155" s="417">
        <f>P155/'2018'!P155-1</f>
        <v>-1</v>
      </c>
      <c r="W155" s="417">
        <f>Q155/'2018'!Q155-1</f>
        <v>-0.221261753327483</v>
      </c>
      <c r="X155" s="417">
        <f>R155/'2018'!R155-1</f>
        <v>-0.20894916182132</v>
      </c>
      <c r="Y155" s="424">
        <f>S155/'2018'!S155-1</f>
        <v>-0.217028439028115</v>
      </c>
      <c r="Z155" s="425"/>
      <c r="AA155" s="426">
        <f t="shared" si="54"/>
        <v>739.070448</v>
      </c>
      <c r="AB155" s="427"/>
      <c r="AC155" s="401"/>
      <c r="AD155" s="427">
        <f t="shared" si="56"/>
        <v>7572430.98</v>
      </c>
      <c r="AE155" s="329">
        <f t="shared" si="60"/>
        <v>52541.2</v>
      </c>
      <c r="AF155" s="329">
        <f t="shared" si="60"/>
        <v>43161.64</v>
      </c>
      <c r="AG155" s="401">
        <f t="shared" si="58"/>
        <v>86023.66</v>
      </c>
      <c r="AH155" s="439"/>
      <c r="AI155" s="400"/>
      <c r="AJ155" s="400"/>
      <c r="AK155" s="400"/>
      <c r="AL155" s="400"/>
      <c r="AM155" s="400"/>
      <c r="AN155" s="400"/>
      <c r="AO155" s="400"/>
      <c r="AP155" s="400"/>
      <c r="AQ155" s="400"/>
      <c r="AR155" s="400"/>
      <c r="AS155" s="400"/>
      <c r="AT155" s="400"/>
      <c r="AU155" s="400"/>
      <c r="AV155" s="400"/>
      <c r="AW155" s="400"/>
      <c r="AX155" s="400"/>
      <c r="AY155" s="400"/>
      <c r="AZ155" s="400"/>
      <c r="BA155" s="400"/>
      <c r="BB155" s="400"/>
      <c r="BC155" s="400"/>
    </row>
    <row r="156" s="366" customFormat="1" ht="15" customHeight="1" spans="1:55">
      <c r="A156" s="385">
        <v>42886</v>
      </c>
      <c r="B156" s="386" t="s">
        <v>37</v>
      </c>
      <c r="C156" s="391"/>
      <c r="D156" s="392"/>
      <c r="E156" s="392"/>
      <c r="F156" s="394"/>
      <c r="G156" s="392"/>
      <c r="H156" s="389"/>
      <c r="I156" s="389"/>
      <c r="J156" s="405">
        <f t="shared" si="53"/>
        <v>0</v>
      </c>
      <c r="K156" s="392"/>
      <c r="L156" s="392"/>
      <c r="M156" s="406">
        <f t="shared" si="55"/>
        <v>0</v>
      </c>
      <c r="N156" s="407">
        <f t="shared" ref="N156" si="61">N155+C156</f>
        <v>0</v>
      </c>
      <c r="O156" s="411">
        <f t="shared" ref="O156" si="62">O155+D156</f>
        <v>0</v>
      </c>
      <c r="P156" s="409">
        <f t="shared" ref="P156" si="63">P155+E156</f>
        <v>0</v>
      </c>
      <c r="Q156" s="418">
        <f>[4]表2、统调口径电量!$I$10</f>
        <v>9556059.18</v>
      </c>
      <c r="R156" s="408">
        <f>[4]表2、统调口径电量!$I$14</f>
        <v>4767488</v>
      </c>
      <c r="S156" s="419">
        <f>[4]表2、统调口径电量!$I$3</f>
        <v>14554202.57</v>
      </c>
      <c r="T156" s="420">
        <f>N156/'2018'!N156-1</f>
        <v>-1</v>
      </c>
      <c r="U156" s="421">
        <f>O156/'2018'!O156-1</f>
        <v>-1</v>
      </c>
      <c r="V156" s="421">
        <f>P156/'2018'!P156-1</f>
        <v>-1</v>
      </c>
      <c r="W156" s="421">
        <f>Q156/'2018'!Q156-1</f>
        <v>0</v>
      </c>
      <c r="X156" s="421">
        <f>R156/'2018'!R156-1</f>
        <v>0</v>
      </c>
      <c r="Y156" s="431">
        <f>S156/'2018'!S156-1</f>
        <v>0</v>
      </c>
      <c r="Z156" s="432"/>
      <c r="AA156" s="433">
        <f>[4]表2、统调口径电量!$I$11/10000</f>
        <v>910.582143</v>
      </c>
      <c r="AB156" s="435"/>
      <c r="AC156" s="406" t="e">
        <f t="shared" ref="AC156" si="64">AA156*10000/AB156</f>
        <v>#DIV/0!</v>
      </c>
      <c r="AD156" s="435">
        <f>[4]表2、统调口径电量!$I$4</f>
        <v>9786714.57</v>
      </c>
      <c r="AE156" s="392">
        <f>[4]表2、统调口径电量!$I$13</f>
        <v>76209.22</v>
      </c>
      <c r="AF156" s="392">
        <f>[4]表2、统调口径电量!$I$15</f>
        <v>43161.64</v>
      </c>
      <c r="AG156" s="406">
        <f>[4]表2、统调口径电量!$I$16+[4]表2、统调口径电量!$I$17</f>
        <v>111284.53</v>
      </c>
      <c r="AH156" s="439"/>
      <c r="AI156" s="400"/>
      <c r="AJ156" s="400"/>
      <c r="AK156" s="400"/>
      <c r="AL156" s="400"/>
      <c r="AM156" s="400"/>
      <c r="AN156" s="400"/>
      <c r="AO156" s="400"/>
      <c r="AP156" s="400"/>
      <c r="AQ156" s="400"/>
      <c r="AR156" s="400"/>
      <c r="AS156" s="400"/>
      <c r="AT156" s="400"/>
      <c r="AU156" s="400"/>
      <c r="AV156" s="400"/>
      <c r="AW156" s="400"/>
      <c r="AX156" s="400"/>
      <c r="AY156" s="400"/>
      <c r="AZ156" s="400"/>
      <c r="BA156" s="400"/>
      <c r="BB156" s="400"/>
      <c r="BC156" s="400"/>
    </row>
    <row r="157" s="366" customFormat="1" ht="15" customHeight="1" spans="1:55">
      <c r="A157" s="395">
        <v>42887</v>
      </c>
      <c r="B157" s="443" t="s">
        <v>38</v>
      </c>
      <c r="C157" s="377"/>
      <c r="D157" s="329"/>
      <c r="E157" s="329"/>
      <c r="F157" s="378"/>
      <c r="G157" s="329"/>
      <c r="H157" s="376"/>
      <c r="I157" s="376"/>
      <c r="J157" s="399">
        <f t="shared" si="53"/>
        <v>0</v>
      </c>
      <c r="K157" s="329"/>
      <c r="L157" s="329"/>
      <c r="M157" s="401">
        <f t="shared" si="55"/>
        <v>0</v>
      </c>
      <c r="N157" s="396">
        <f>C157</f>
        <v>0</v>
      </c>
      <c r="O157" s="368">
        <f>D157</f>
        <v>0</v>
      </c>
      <c r="P157" s="398">
        <f>E157</f>
        <v>0</v>
      </c>
      <c r="Q157" s="414">
        <f>Q$156+N157</f>
        <v>9556059.18</v>
      </c>
      <c r="R157" s="402">
        <f>R$156+O157</f>
        <v>4767488</v>
      </c>
      <c r="S157" s="415">
        <f>S$156+P157</f>
        <v>14554202.57</v>
      </c>
      <c r="T157" s="416">
        <f>N157/'2018'!N157-1</f>
        <v>-1</v>
      </c>
      <c r="U157" s="417">
        <f>O157/'2018'!O157-1</f>
        <v>-1</v>
      </c>
      <c r="V157" s="417">
        <f>P157/'2018'!P157-1</f>
        <v>-1</v>
      </c>
      <c r="W157" s="417">
        <f>Q157/'2018'!Q157-1</f>
        <v>-0.00543344703981208</v>
      </c>
      <c r="X157" s="417">
        <f>R157/'2018'!R157-1</f>
        <v>-0.00810433333104477</v>
      </c>
      <c r="Y157" s="424">
        <f>S157/'2018'!S157-1</f>
        <v>-0.00632640518775551</v>
      </c>
      <c r="Z157" s="425"/>
      <c r="AA157" s="426">
        <f t="shared" si="54"/>
        <v>955.605918</v>
      </c>
      <c r="AB157" s="427"/>
      <c r="AC157" s="401"/>
      <c r="AD157" s="427">
        <f t="shared" si="56"/>
        <v>9786714.57</v>
      </c>
      <c r="AE157" s="329">
        <f t="shared" si="60"/>
        <v>76209.22</v>
      </c>
      <c r="AF157" s="329">
        <f t="shared" si="60"/>
        <v>43161.64</v>
      </c>
      <c r="AG157" s="401">
        <f t="shared" si="58"/>
        <v>111284.530000001</v>
      </c>
      <c r="AH157" s="439"/>
      <c r="AI157" s="400"/>
      <c r="AJ157" s="400"/>
      <c r="AK157" s="400"/>
      <c r="AL157" s="400"/>
      <c r="AM157" s="400"/>
      <c r="AN157" s="400"/>
      <c r="AO157" s="400"/>
      <c r="AP157" s="400"/>
      <c r="AQ157" s="400"/>
      <c r="AR157" s="400"/>
      <c r="AS157" s="400"/>
      <c r="AT157" s="400"/>
      <c r="AU157" s="400"/>
      <c r="AV157" s="400"/>
      <c r="AW157" s="400"/>
      <c r="AX157" s="400"/>
      <c r="AY157" s="400"/>
      <c r="AZ157" s="400"/>
      <c r="BA157" s="400"/>
      <c r="BB157" s="400"/>
      <c r="BC157" s="400"/>
    </row>
    <row r="158" s="366" customFormat="1" ht="15" customHeight="1" spans="1:55">
      <c r="A158" s="395">
        <v>42888</v>
      </c>
      <c r="B158" s="443" t="s">
        <v>1</v>
      </c>
      <c r="C158" s="377"/>
      <c r="D158" s="329"/>
      <c r="E158" s="329"/>
      <c r="F158" s="378"/>
      <c r="G158" s="329"/>
      <c r="H158" s="376"/>
      <c r="I158" s="376"/>
      <c r="J158" s="399">
        <f t="shared" si="53"/>
        <v>0</v>
      </c>
      <c r="K158" s="329"/>
      <c r="L158" s="329"/>
      <c r="M158" s="401">
        <f t="shared" si="55"/>
        <v>0</v>
      </c>
      <c r="N158" s="396">
        <f t="shared" ref="N158:P173" si="65">N157+C158</f>
        <v>0</v>
      </c>
      <c r="O158" s="368">
        <f t="shared" si="65"/>
        <v>0</v>
      </c>
      <c r="P158" s="398">
        <f t="shared" si="65"/>
        <v>0</v>
      </c>
      <c r="Q158" s="414">
        <f t="shared" ref="Q158:S185" si="66">Q$156+N158</f>
        <v>9556059.18</v>
      </c>
      <c r="R158" s="402">
        <f t="shared" si="66"/>
        <v>4767488</v>
      </c>
      <c r="S158" s="415">
        <f t="shared" si="66"/>
        <v>14554202.57</v>
      </c>
      <c r="T158" s="416">
        <f>N158/'2018'!N158-1</f>
        <v>-1</v>
      </c>
      <c r="U158" s="417">
        <f>O158/'2018'!O158-1</f>
        <v>-1</v>
      </c>
      <c r="V158" s="417">
        <f>P158/'2018'!P158-1</f>
        <v>-1</v>
      </c>
      <c r="W158" s="417">
        <f>Q158/'2018'!Q158-1</f>
        <v>-0.0115913878153378</v>
      </c>
      <c r="X158" s="417">
        <f>R158/'2018'!R158-1</f>
        <v>-0.0152249599530694</v>
      </c>
      <c r="Y158" s="424">
        <f>S158/'2018'!S158-1</f>
        <v>-0.012775540447216</v>
      </c>
      <c r="Z158" s="425"/>
      <c r="AA158" s="426">
        <f t="shared" si="54"/>
        <v>955.605918</v>
      </c>
      <c r="AB158" s="427"/>
      <c r="AC158" s="401"/>
      <c r="AD158" s="427">
        <f t="shared" si="56"/>
        <v>9786714.57</v>
      </c>
      <c r="AE158" s="329">
        <f t="shared" si="60"/>
        <v>76209.22</v>
      </c>
      <c r="AF158" s="329">
        <f t="shared" si="60"/>
        <v>43161.64</v>
      </c>
      <c r="AG158" s="401">
        <f t="shared" si="58"/>
        <v>111284.530000001</v>
      </c>
      <c r="AH158" s="439"/>
      <c r="AI158" s="400"/>
      <c r="AJ158" s="400"/>
      <c r="AK158" s="400"/>
      <c r="AL158" s="400"/>
      <c r="AM158" s="400"/>
      <c r="AN158" s="400"/>
      <c r="AO158" s="400"/>
      <c r="AP158" s="400"/>
      <c r="AQ158" s="400"/>
      <c r="AR158" s="400"/>
      <c r="AS158" s="400"/>
      <c r="AT158" s="400"/>
      <c r="AU158" s="400"/>
      <c r="AV158" s="400"/>
      <c r="AW158" s="400"/>
      <c r="AX158" s="400"/>
      <c r="AY158" s="400"/>
      <c r="AZ158" s="400"/>
      <c r="BA158" s="400"/>
      <c r="BB158" s="400"/>
      <c r="BC158" s="400"/>
    </row>
    <row r="159" s="366" customFormat="1" ht="15" customHeight="1" spans="1:55">
      <c r="A159" s="395">
        <v>42889</v>
      </c>
      <c r="B159" s="443" t="s">
        <v>39</v>
      </c>
      <c r="C159" s="377"/>
      <c r="D159" s="329"/>
      <c r="E159" s="329"/>
      <c r="F159" s="378"/>
      <c r="G159" s="329"/>
      <c r="H159" s="376"/>
      <c r="I159" s="376"/>
      <c r="J159" s="399">
        <f t="shared" si="53"/>
        <v>0</v>
      </c>
      <c r="K159" s="329"/>
      <c r="L159" s="329"/>
      <c r="M159" s="401">
        <f t="shared" si="55"/>
        <v>0</v>
      </c>
      <c r="N159" s="396">
        <f t="shared" si="65"/>
        <v>0</v>
      </c>
      <c r="O159" s="368">
        <f t="shared" si="65"/>
        <v>0</v>
      </c>
      <c r="P159" s="398">
        <f t="shared" si="65"/>
        <v>0</v>
      </c>
      <c r="Q159" s="414">
        <f t="shared" si="66"/>
        <v>9556059.18</v>
      </c>
      <c r="R159" s="402">
        <f t="shared" si="66"/>
        <v>4767488</v>
      </c>
      <c r="S159" s="415">
        <f t="shared" si="66"/>
        <v>14554202.57</v>
      </c>
      <c r="T159" s="416">
        <f>N159/'2018'!N159-1</f>
        <v>-1</v>
      </c>
      <c r="U159" s="417">
        <f>O159/'2018'!O159-1</f>
        <v>-1</v>
      </c>
      <c r="V159" s="417">
        <f>P159/'2018'!P159-1</f>
        <v>-1</v>
      </c>
      <c r="W159" s="417">
        <f>Q159/'2018'!Q159-1</f>
        <v>-0.0182575634808902</v>
      </c>
      <c r="X159" s="417">
        <f>R159/'2018'!R159-1</f>
        <v>-0.0205829102535315</v>
      </c>
      <c r="Y159" s="424">
        <f>S159/'2018'!S159-1</f>
        <v>-0.0189690089228947</v>
      </c>
      <c r="Z159" s="425"/>
      <c r="AA159" s="426">
        <f t="shared" si="54"/>
        <v>955.605918</v>
      </c>
      <c r="AB159" s="427"/>
      <c r="AC159" s="401"/>
      <c r="AD159" s="427">
        <f t="shared" si="56"/>
        <v>9786714.57</v>
      </c>
      <c r="AE159" s="329">
        <f t="shared" si="60"/>
        <v>76209.22</v>
      </c>
      <c r="AF159" s="329">
        <f t="shared" si="60"/>
        <v>43161.64</v>
      </c>
      <c r="AG159" s="401">
        <f t="shared" si="58"/>
        <v>111284.530000001</v>
      </c>
      <c r="AH159" s="439"/>
      <c r="AI159" s="400"/>
      <c r="AJ159" s="400"/>
      <c r="AK159" s="400"/>
      <c r="AL159" s="400"/>
      <c r="AM159" s="400"/>
      <c r="AN159" s="400"/>
      <c r="AO159" s="400"/>
      <c r="AP159" s="400"/>
      <c r="AQ159" s="400"/>
      <c r="AR159" s="400"/>
      <c r="AS159" s="400"/>
      <c r="AT159" s="400"/>
      <c r="AU159" s="400"/>
      <c r="AV159" s="400"/>
      <c r="AW159" s="400"/>
      <c r="AX159" s="400"/>
      <c r="AY159" s="400"/>
      <c r="AZ159" s="400"/>
      <c r="BA159" s="400"/>
      <c r="BB159" s="400"/>
      <c r="BC159" s="400"/>
    </row>
    <row r="160" s="366" customFormat="1" ht="15" customHeight="1" spans="1:55">
      <c r="A160" s="395">
        <v>42890</v>
      </c>
      <c r="B160" s="443" t="s">
        <v>34</v>
      </c>
      <c r="C160" s="377"/>
      <c r="D160" s="329"/>
      <c r="E160" s="329"/>
      <c r="F160" s="378"/>
      <c r="G160" s="329"/>
      <c r="H160" s="376"/>
      <c r="I160" s="376"/>
      <c r="J160" s="399">
        <f t="shared" si="53"/>
        <v>0</v>
      </c>
      <c r="K160" s="329"/>
      <c r="L160" s="329"/>
      <c r="M160" s="401">
        <f t="shared" si="55"/>
        <v>0</v>
      </c>
      <c r="N160" s="396">
        <f t="shared" si="65"/>
        <v>0</v>
      </c>
      <c r="O160" s="368">
        <f t="shared" si="65"/>
        <v>0</v>
      </c>
      <c r="P160" s="398">
        <f t="shared" si="65"/>
        <v>0</v>
      </c>
      <c r="Q160" s="414">
        <f t="shared" si="66"/>
        <v>9556059.18</v>
      </c>
      <c r="R160" s="402">
        <f t="shared" si="66"/>
        <v>4767488</v>
      </c>
      <c r="S160" s="415">
        <f t="shared" si="66"/>
        <v>14554202.57</v>
      </c>
      <c r="T160" s="416">
        <f>N160/'2018'!N160-1</f>
        <v>-1</v>
      </c>
      <c r="U160" s="417">
        <f>O160/'2018'!O160-1</f>
        <v>-1</v>
      </c>
      <c r="V160" s="417">
        <f>P160/'2018'!P160-1</f>
        <v>-1</v>
      </c>
      <c r="W160" s="417">
        <f>Q160/'2018'!Q160-1</f>
        <v>-0.0249956071508306</v>
      </c>
      <c r="X160" s="417">
        <f>R160/'2018'!R160-1</f>
        <v>-0.0268333393550405</v>
      </c>
      <c r="Y160" s="424">
        <f>S160/'2018'!S160-1</f>
        <v>-0.0255578282916685</v>
      </c>
      <c r="Z160" s="425"/>
      <c r="AA160" s="426">
        <f t="shared" si="54"/>
        <v>955.605918</v>
      </c>
      <c r="AB160" s="427"/>
      <c r="AC160" s="401"/>
      <c r="AD160" s="427">
        <f t="shared" si="56"/>
        <v>9786714.57</v>
      </c>
      <c r="AE160" s="329">
        <f t="shared" si="60"/>
        <v>76209.22</v>
      </c>
      <c r="AF160" s="329">
        <f t="shared" si="60"/>
        <v>43161.64</v>
      </c>
      <c r="AG160" s="401">
        <f t="shared" si="58"/>
        <v>111284.530000001</v>
      </c>
      <c r="AH160" s="439"/>
      <c r="AI160" s="400"/>
      <c r="AJ160" s="400"/>
      <c r="AK160" s="400"/>
      <c r="AL160" s="400"/>
      <c r="AM160" s="400"/>
      <c r="AN160" s="400"/>
      <c r="AO160" s="400"/>
      <c r="AP160" s="400"/>
      <c r="AQ160" s="400"/>
      <c r="AR160" s="400"/>
      <c r="AS160" s="400"/>
      <c r="AT160" s="400"/>
      <c r="AU160" s="400"/>
      <c r="AV160" s="400"/>
      <c r="AW160" s="400"/>
      <c r="AX160" s="400"/>
      <c r="AY160" s="400"/>
      <c r="AZ160" s="400"/>
      <c r="BA160" s="400"/>
      <c r="BB160" s="400"/>
      <c r="BC160" s="400"/>
    </row>
    <row r="161" s="366" customFormat="1" ht="15" customHeight="1" spans="1:55">
      <c r="A161" s="395">
        <v>42891</v>
      </c>
      <c r="B161" s="443" t="s">
        <v>35</v>
      </c>
      <c r="C161" s="377"/>
      <c r="D161" s="329"/>
      <c r="E161" s="329"/>
      <c r="F161" s="378"/>
      <c r="G161" s="329"/>
      <c r="H161" s="376"/>
      <c r="I161" s="376"/>
      <c r="J161" s="399">
        <f t="shared" si="53"/>
        <v>0</v>
      </c>
      <c r="K161" s="329"/>
      <c r="L161" s="329"/>
      <c r="M161" s="401">
        <f t="shared" si="55"/>
        <v>0</v>
      </c>
      <c r="N161" s="396">
        <f t="shared" si="65"/>
        <v>0</v>
      </c>
      <c r="O161" s="368">
        <f t="shared" si="65"/>
        <v>0</v>
      </c>
      <c r="P161" s="398">
        <f t="shared" si="65"/>
        <v>0</v>
      </c>
      <c r="Q161" s="414">
        <f t="shared" si="66"/>
        <v>9556059.18</v>
      </c>
      <c r="R161" s="402">
        <f t="shared" si="66"/>
        <v>4767488</v>
      </c>
      <c r="S161" s="415">
        <f t="shared" si="66"/>
        <v>14554202.57</v>
      </c>
      <c r="T161" s="416">
        <f>N161/'2018'!N161-1</f>
        <v>-1</v>
      </c>
      <c r="U161" s="417">
        <f>O161/'2018'!O161-1</f>
        <v>-1</v>
      </c>
      <c r="V161" s="417">
        <f>P161/'2018'!P161-1</f>
        <v>-1</v>
      </c>
      <c r="W161" s="417">
        <f>Q161/'2018'!Q161-1</f>
        <v>-0.0312664029704181</v>
      </c>
      <c r="X161" s="417">
        <f>R161/'2018'!R161-1</f>
        <v>-0.0340648255061827</v>
      </c>
      <c r="Y161" s="424">
        <f>S161/'2018'!S161-1</f>
        <v>-0.0321218164714943</v>
      </c>
      <c r="Z161" s="425"/>
      <c r="AA161" s="426">
        <f t="shared" si="54"/>
        <v>955.605918</v>
      </c>
      <c r="AB161" s="427"/>
      <c r="AC161" s="401"/>
      <c r="AD161" s="427">
        <f t="shared" si="56"/>
        <v>9786714.57</v>
      </c>
      <c r="AE161" s="329">
        <f t="shared" si="60"/>
        <v>76209.22</v>
      </c>
      <c r="AF161" s="329">
        <f t="shared" si="60"/>
        <v>43161.64</v>
      </c>
      <c r="AG161" s="401">
        <f t="shared" si="58"/>
        <v>111284.530000001</v>
      </c>
      <c r="AH161" s="439"/>
      <c r="AI161" s="400"/>
      <c r="AJ161" s="400"/>
      <c r="AK161" s="400"/>
      <c r="AL161" s="400"/>
      <c r="AM161" s="400"/>
      <c r="AN161" s="400"/>
      <c r="AO161" s="400"/>
      <c r="AP161" s="400"/>
      <c r="AQ161" s="400"/>
      <c r="AR161" s="400"/>
      <c r="AS161" s="400"/>
      <c r="AT161" s="400"/>
      <c r="AU161" s="400"/>
      <c r="AV161" s="400"/>
      <c r="AW161" s="400"/>
      <c r="AX161" s="400"/>
      <c r="AY161" s="400"/>
      <c r="AZ161" s="400"/>
      <c r="BA161" s="400"/>
      <c r="BB161" s="400"/>
      <c r="BC161" s="400"/>
    </row>
    <row r="162" s="366" customFormat="1" ht="15" customHeight="1" spans="1:55">
      <c r="A162" s="395">
        <v>42892</v>
      </c>
      <c r="B162" s="191" t="s">
        <v>36</v>
      </c>
      <c r="C162" s="377"/>
      <c r="D162" s="329"/>
      <c r="E162" s="329"/>
      <c r="F162" s="378"/>
      <c r="G162" s="329"/>
      <c r="H162" s="376"/>
      <c r="I162" s="376"/>
      <c r="J162" s="399">
        <f t="shared" si="53"/>
        <v>0</v>
      </c>
      <c r="K162" s="329"/>
      <c r="L162" s="329"/>
      <c r="M162" s="401">
        <f t="shared" si="55"/>
        <v>0</v>
      </c>
      <c r="N162" s="396">
        <f t="shared" si="65"/>
        <v>0</v>
      </c>
      <c r="O162" s="368">
        <f t="shared" si="65"/>
        <v>0</v>
      </c>
      <c r="P162" s="398">
        <f t="shared" si="65"/>
        <v>0</v>
      </c>
      <c r="Q162" s="414">
        <f t="shared" si="66"/>
        <v>9556059.18</v>
      </c>
      <c r="R162" s="402">
        <f t="shared" si="66"/>
        <v>4767488</v>
      </c>
      <c r="S162" s="415">
        <f t="shared" si="66"/>
        <v>14554202.57</v>
      </c>
      <c r="T162" s="416">
        <f>N162/'2018'!N162-1</f>
        <v>-1</v>
      </c>
      <c r="U162" s="417">
        <f>O162/'2018'!O162-1</f>
        <v>-1</v>
      </c>
      <c r="V162" s="417">
        <f>P162/'2018'!P162-1</f>
        <v>-1</v>
      </c>
      <c r="W162" s="417">
        <f>Q162/'2018'!Q162-1</f>
        <v>-0.0375372257819684</v>
      </c>
      <c r="X162" s="417">
        <f>R162/'2018'!R162-1</f>
        <v>-0.0406584751673293</v>
      </c>
      <c r="Y162" s="424">
        <f>S162/'2018'!S162-1</f>
        <v>-0.0385037742234756</v>
      </c>
      <c r="Z162" s="425"/>
      <c r="AA162" s="426">
        <f t="shared" si="54"/>
        <v>955.605918</v>
      </c>
      <c r="AB162" s="427"/>
      <c r="AC162" s="401"/>
      <c r="AD162" s="427">
        <f t="shared" si="56"/>
        <v>9786714.57</v>
      </c>
      <c r="AE162" s="329">
        <f t="shared" si="60"/>
        <v>76209.22</v>
      </c>
      <c r="AF162" s="329">
        <f t="shared" si="60"/>
        <v>43161.64</v>
      </c>
      <c r="AG162" s="401">
        <f t="shared" si="58"/>
        <v>111284.530000001</v>
      </c>
      <c r="AH162" s="439"/>
      <c r="AI162" s="400"/>
      <c r="AJ162" s="400"/>
      <c r="AK162" s="400"/>
      <c r="AL162" s="400"/>
      <c r="AM162" s="400"/>
      <c r="AN162" s="400"/>
      <c r="AO162" s="400"/>
      <c r="AP162" s="400"/>
      <c r="AQ162" s="400"/>
      <c r="AR162" s="400"/>
      <c r="AS162" s="400"/>
      <c r="AT162" s="400"/>
      <c r="AU162" s="400"/>
      <c r="AV162" s="400"/>
      <c r="AW162" s="400"/>
      <c r="AX162" s="400"/>
      <c r="AY162" s="400"/>
      <c r="AZ162" s="400"/>
      <c r="BA162" s="400"/>
      <c r="BB162" s="400"/>
      <c r="BC162" s="400"/>
    </row>
    <row r="163" s="366" customFormat="1" ht="15" customHeight="1" spans="1:55">
      <c r="A163" s="395">
        <v>42893</v>
      </c>
      <c r="B163" s="443" t="s">
        <v>37</v>
      </c>
      <c r="C163" s="377"/>
      <c r="D163" s="329"/>
      <c r="E163" s="329"/>
      <c r="F163" s="378"/>
      <c r="G163" s="329"/>
      <c r="H163" s="376"/>
      <c r="I163" s="376"/>
      <c r="J163" s="399">
        <f t="shared" si="53"/>
        <v>0</v>
      </c>
      <c r="K163" s="329"/>
      <c r="L163" s="329"/>
      <c r="M163" s="401">
        <f t="shared" si="55"/>
        <v>0</v>
      </c>
      <c r="N163" s="396">
        <f t="shared" si="65"/>
        <v>0</v>
      </c>
      <c r="O163" s="368">
        <f t="shared" si="65"/>
        <v>0</v>
      </c>
      <c r="P163" s="398">
        <f t="shared" si="65"/>
        <v>0</v>
      </c>
      <c r="Q163" s="414">
        <f t="shared" si="66"/>
        <v>9556059.18</v>
      </c>
      <c r="R163" s="402">
        <f t="shared" si="66"/>
        <v>4767488</v>
      </c>
      <c r="S163" s="415">
        <f t="shared" si="66"/>
        <v>14554202.57</v>
      </c>
      <c r="T163" s="416">
        <f>N163/'2018'!N163-1</f>
        <v>-1</v>
      </c>
      <c r="U163" s="417">
        <f>O163/'2018'!O163-1</f>
        <v>-1</v>
      </c>
      <c r="V163" s="417">
        <f>P163/'2018'!P163-1</f>
        <v>-1</v>
      </c>
      <c r="W163" s="417">
        <f>Q163/'2018'!Q163-1</f>
        <v>-0.0437240366454448</v>
      </c>
      <c r="X163" s="417">
        <f>R163/'2018'!R163-1</f>
        <v>-0.0475919548037046</v>
      </c>
      <c r="Y163" s="424">
        <f>S163/'2018'!S163-1</f>
        <v>-0.0449830728230424</v>
      </c>
      <c r="Z163" s="425"/>
      <c r="AA163" s="426">
        <f t="shared" si="54"/>
        <v>955.605918</v>
      </c>
      <c r="AB163" s="427"/>
      <c r="AC163" s="401"/>
      <c r="AD163" s="427">
        <f t="shared" si="56"/>
        <v>9786714.57</v>
      </c>
      <c r="AE163" s="329">
        <f t="shared" si="60"/>
        <v>76209.22</v>
      </c>
      <c r="AF163" s="329">
        <f t="shared" si="60"/>
        <v>43161.64</v>
      </c>
      <c r="AG163" s="401">
        <f t="shared" si="58"/>
        <v>111284.530000001</v>
      </c>
      <c r="AH163" s="439"/>
      <c r="AI163" s="400"/>
      <c r="AJ163" s="400"/>
      <c r="AK163" s="400"/>
      <c r="AL163" s="400"/>
      <c r="AM163" s="400"/>
      <c r="AN163" s="400"/>
      <c r="AO163" s="400"/>
      <c r="AP163" s="400"/>
      <c r="AQ163" s="400"/>
      <c r="AR163" s="400"/>
      <c r="AS163" s="400"/>
      <c r="AT163" s="400"/>
      <c r="AU163" s="400"/>
      <c r="AV163" s="400"/>
      <c r="AW163" s="400"/>
      <c r="AX163" s="400"/>
      <c r="AY163" s="400"/>
      <c r="AZ163" s="400"/>
      <c r="BA163" s="400"/>
      <c r="BB163" s="400"/>
      <c r="BC163" s="400"/>
    </row>
    <row r="164" s="366" customFormat="1" ht="15" customHeight="1" spans="1:55">
      <c r="A164" s="395">
        <v>42894</v>
      </c>
      <c r="B164" s="443" t="s">
        <v>38</v>
      </c>
      <c r="C164" s="377"/>
      <c r="D164" s="329"/>
      <c r="E164" s="329"/>
      <c r="F164" s="378"/>
      <c r="G164" s="329"/>
      <c r="H164" s="376"/>
      <c r="I164" s="376"/>
      <c r="J164" s="399">
        <f t="shared" si="53"/>
        <v>0</v>
      </c>
      <c r="K164" s="329"/>
      <c r="L164" s="329"/>
      <c r="M164" s="401">
        <f t="shared" si="55"/>
        <v>0</v>
      </c>
      <c r="N164" s="396">
        <f t="shared" si="65"/>
        <v>0</v>
      </c>
      <c r="O164" s="368">
        <f t="shared" si="65"/>
        <v>0</v>
      </c>
      <c r="P164" s="398">
        <f t="shared" si="65"/>
        <v>0</v>
      </c>
      <c r="Q164" s="414">
        <f t="shared" si="66"/>
        <v>9556059.18</v>
      </c>
      <c r="R164" s="402">
        <f t="shared" si="66"/>
        <v>4767488</v>
      </c>
      <c r="S164" s="415">
        <f t="shared" si="66"/>
        <v>14554202.57</v>
      </c>
      <c r="T164" s="416">
        <f>N164/'2018'!N164-1</f>
        <v>-1</v>
      </c>
      <c r="U164" s="417">
        <f>O164/'2018'!O164-1</f>
        <v>-1</v>
      </c>
      <c r="V164" s="417">
        <f>P164/'2018'!P164-1</f>
        <v>-1</v>
      </c>
      <c r="W164" s="417">
        <f>Q164/'2018'!Q164-1</f>
        <v>-0.0499969321930602</v>
      </c>
      <c r="X164" s="417">
        <f>R164/'2018'!R164-1</f>
        <v>-0.0544671901768264</v>
      </c>
      <c r="Y164" s="424">
        <f>S164/'2018'!S164-1</f>
        <v>-0.0515188697573908</v>
      </c>
      <c r="Z164" s="425"/>
      <c r="AA164" s="426">
        <f t="shared" si="54"/>
        <v>955.605918</v>
      </c>
      <c r="AB164" s="427"/>
      <c r="AC164" s="401"/>
      <c r="AD164" s="427">
        <f t="shared" si="56"/>
        <v>9786714.57</v>
      </c>
      <c r="AE164" s="329">
        <f t="shared" si="60"/>
        <v>76209.22</v>
      </c>
      <c r="AF164" s="329">
        <f t="shared" si="60"/>
        <v>43161.64</v>
      </c>
      <c r="AG164" s="401">
        <f t="shared" si="58"/>
        <v>111284.530000001</v>
      </c>
      <c r="AH164" s="439"/>
      <c r="AI164" s="400"/>
      <c r="AJ164" s="400"/>
      <c r="AK164" s="400"/>
      <c r="AL164" s="400"/>
      <c r="AM164" s="400"/>
      <c r="AN164" s="400"/>
      <c r="AO164" s="400"/>
      <c r="AP164" s="400"/>
      <c r="AQ164" s="400"/>
      <c r="AR164" s="400"/>
      <c r="AS164" s="400"/>
      <c r="AT164" s="400"/>
      <c r="AU164" s="400"/>
      <c r="AV164" s="400"/>
      <c r="AW164" s="400"/>
      <c r="AX164" s="400"/>
      <c r="AY164" s="400"/>
      <c r="AZ164" s="400"/>
      <c r="BA164" s="400"/>
      <c r="BB164" s="400"/>
      <c r="BC164" s="400"/>
    </row>
    <row r="165" s="366" customFormat="1" ht="15" customHeight="1" spans="1:55">
      <c r="A165" s="395">
        <v>42895</v>
      </c>
      <c r="B165" s="443" t="s">
        <v>1</v>
      </c>
      <c r="C165" s="377"/>
      <c r="D165" s="329"/>
      <c r="E165" s="329"/>
      <c r="F165" s="378"/>
      <c r="G165" s="329"/>
      <c r="H165" s="376"/>
      <c r="I165" s="376"/>
      <c r="J165" s="399">
        <f t="shared" si="53"/>
        <v>0</v>
      </c>
      <c r="K165" s="329"/>
      <c r="L165" s="329"/>
      <c r="M165" s="401">
        <f t="shared" si="55"/>
        <v>0</v>
      </c>
      <c r="N165" s="396">
        <f t="shared" si="65"/>
        <v>0</v>
      </c>
      <c r="O165" s="368">
        <f t="shared" si="65"/>
        <v>0</v>
      </c>
      <c r="P165" s="398">
        <f t="shared" si="65"/>
        <v>0</v>
      </c>
      <c r="Q165" s="414">
        <f t="shared" si="66"/>
        <v>9556059.18</v>
      </c>
      <c r="R165" s="402">
        <f t="shared" si="66"/>
        <v>4767488</v>
      </c>
      <c r="S165" s="415">
        <f t="shared" si="66"/>
        <v>14554202.57</v>
      </c>
      <c r="T165" s="416">
        <f>N165/'2018'!N165-1</f>
        <v>-1</v>
      </c>
      <c r="U165" s="417">
        <f>O165/'2018'!O165-1</f>
        <v>-1</v>
      </c>
      <c r="V165" s="417">
        <f>P165/'2018'!P165-1</f>
        <v>-1</v>
      </c>
      <c r="W165" s="417">
        <f>Q165/'2018'!Q165-1</f>
        <v>-0.0560083119277102</v>
      </c>
      <c r="X165" s="417">
        <f>R165/'2018'!R165-1</f>
        <v>-0.0613178087607671</v>
      </c>
      <c r="Y165" s="424">
        <f>S165/'2018'!S165-1</f>
        <v>-0.0578775187224219</v>
      </c>
      <c r="Z165" s="425"/>
      <c r="AA165" s="426">
        <f t="shared" si="54"/>
        <v>955.605918</v>
      </c>
      <c r="AB165" s="427"/>
      <c r="AC165" s="401"/>
      <c r="AD165" s="427">
        <f t="shared" si="56"/>
        <v>9786714.57</v>
      </c>
      <c r="AE165" s="329">
        <f t="shared" si="60"/>
        <v>76209.22</v>
      </c>
      <c r="AF165" s="329">
        <f t="shared" si="60"/>
        <v>43161.64</v>
      </c>
      <c r="AG165" s="401">
        <f t="shared" si="58"/>
        <v>111284.530000001</v>
      </c>
      <c r="AH165" s="439"/>
      <c r="AI165" s="400"/>
      <c r="AJ165" s="400"/>
      <c r="AK165" s="400"/>
      <c r="AL165" s="400"/>
      <c r="AM165" s="400"/>
      <c r="AN165" s="400"/>
      <c r="AO165" s="400"/>
      <c r="AP165" s="400"/>
      <c r="AQ165" s="400"/>
      <c r="AR165" s="400"/>
      <c r="AS165" s="400"/>
      <c r="AT165" s="400"/>
      <c r="AU165" s="400"/>
      <c r="AV165" s="400"/>
      <c r="AW165" s="400"/>
      <c r="AX165" s="400"/>
      <c r="AY165" s="400"/>
      <c r="AZ165" s="400"/>
      <c r="BA165" s="400"/>
      <c r="BB165" s="400"/>
      <c r="BC165" s="400"/>
    </row>
    <row r="166" s="366" customFormat="1" ht="15" customHeight="1" spans="1:55">
      <c r="A166" s="395">
        <v>42896</v>
      </c>
      <c r="B166" s="443" t="s">
        <v>39</v>
      </c>
      <c r="C166" s="377"/>
      <c r="D166" s="329"/>
      <c r="E166" s="329"/>
      <c r="F166" s="378"/>
      <c r="G166" s="329"/>
      <c r="H166" s="376"/>
      <c r="I166" s="376"/>
      <c r="J166" s="399">
        <f t="shared" si="53"/>
        <v>0</v>
      </c>
      <c r="K166" s="329"/>
      <c r="L166" s="329"/>
      <c r="M166" s="401">
        <f t="shared" si="55"/>
        <v>0</v>
      </c>
      <c r="N166" s="396">
        <f t="shared" si="65"/>
        <v>0</v>
      </c>
      <c r="O166" s="368">
        <f t="shared" si="65"/>
        <v>0</v>
      </c>
      <c r="P166" s="398">
        <f t="shared" si="65"/>
        <v>0</v>
      </c>
      <c r="Q166" s="414">
        <f t="shared" si="66"/>
        <v>9556059.18</v>
      </c>
      <c r="R166" s="402">
        <f t="shared" si="66"/>
        <v>4767488</v>
      </c>
      <c r="S166" s="415">
        <f t="shared" si="66"/>
        <v>14554202.57</v>
      </c>
      <c r="T166" s="416">
        <f>N166/'2018'!N166-1</f>
        <v>-1</v>
      </c>
      <c r="U166" s="417">
        <f>O166/'2018'!O166-1</f>
        <v>-1</v>
      </c>
      <c r="V166" s="417">
        <f>P166/'2018'!P166-1</f>
        <v>-1</v>
      </c>
      <c r="W166" s="417">
        <f>Q166/'2018'!Q166-1</f>
        <v>-0.0614856650022034</v>
      </c>
      <c r="X166" s="417">
        <f>R166/'2018'!R166-1</f>
        <v>-0.0677331005544534</v>
      </c>
      <c r="Y166" s="424">
        <f>S166/'2018'!S166-1</f>
        <v>-0.0637124696459521</v>
      </c>
      <c r="Z166" s="425"/>
      <c r="AA166" s="426">
        <f t="shared" si="54"/>
        <v>955.605918</v>
      </c>
      <c r="AB166" s="427"/>
      <c r="AC166" s="401"/>
      <c r="AD166" s="427">
        <f t="shared" si="56"/>
        <v>9786714.57</v>
      </c>
      <c r="AE166" s="329">
        <f t="shared" si="60"/>
        <v>76209.22</v>
      </c>
      <c r="AF166" s="329">
        <f t="shared" si="60"/>
        <v>43161.64</v>
      </c>
      <c r="AG166" s="401">
        <f t="shared" si="58"/>
        <v>111284.530000001</v>
      </c>
      <c r="AH166" s="439"/>
      <c r="AI166" s="400"/>
      <c r="AJ166" s="400"/>
      <c r="AK166" s="400"/>
      <c r="AL166" s="400"/>
      <c r="AM166" s="400"/>
      <c r="AN166" s="400"/>
      <c r="AO166" s="400"/>
      <c r="AP166" s="400"/>
      <c r="AQ166" s="400"/>
      <c r="AR166" s="400"/>
      <c r="AS166" s="400"/>
      <c r="AT166" s="400"/>
      <c r="AU166" s="400"/>
      <c r="AV166" s="400"/>
      <c r="AW166" s="400"/>
      <c r="AX166" s="400"/>
      <c r="AY166" s="400"/>
      <c r="AZ166" s="400"/>
      <c r="BA166" s="400"/>
      <c r="BB166" s="400"/>
      <c r="BC166" s="400"/>
    </row>
    <row r="167" s="366" customFormat="1" ht="15" customHeight="1" spans="1:55">
      <c r="A167" s="395">
        <v>42897</v>
      </c>
      <c r="B167" s="443" t="s">
        <v>34</v>
      </c>
      <c r="C167" s="377"/>
      <c r="D167" s="329"/>
      <c r="E167" s="329"/>
      <c r="F167" s="378"/>
      <c r="G167" s="329"/>
      <c r="H167" s="376"/>
      <c r="I167" s="376"/>
      <c r="J167" s="399">
        <f t="shared" si="53"/>
        <v>0</v>
      </c>
      <c r="K167" s="329"/>
      <c r="L167" s="329"/>
      <c r="M167" s="401">
        <f t="shared" si="55"/>
        <v>0</v>
      </c>
      <c r="N167" s="396">
        <f t="shared" si="65"/>
        <v>0</v>
      </c>
      <c r="O167" s="368">
        <f t="shared" si="65"/>
        <v>0</v>
      </c>
      <c r="P167" s="398">
        <f t="shared" si="65"/>
        <v>0</v>
      </c>
      <c r="Q167" s="414">
        <f t="shared" si="66"/>
        <v>9556059.18</v>
      </c>
      <c r="R167" s="402">
        <f t="shared" si="66"/>
        <v>4767488</v>
      </c>
      <c r="S167" s="415">
        <f t="shared" si="66"/>
        <v>14554202.57</v>
      </c>
      <c r="T167" s="416">
        <f>N167/'2018'!N167-1</f>
        <v>-1</v>
      </c>
      <c r="U167" s="417">
        <f>O167/'2018'!O167-1</f>
        <v>-1</v>
      </c>
      <c r="V167" s="417">
        <f>P167/'2018'!P167-1</f>
        <v>-1</v>
      </c>
      <c r="W167" s="417">
        <f>Q167/'2018'!Q167-1</f>
        <v>-0.066912304159302</v>
      </c>
      <c r="X167" s="417">
        <f>R167/'2018'!R167-1</f>
        <v>-0.0746227634638602</v>
      </c>
      <c r="Y167" s="424">
        <f>S167/'2018'!S167-1</f>
        <v>-0.06972277690595</v>
      </c>
      <c r="Z167" s="425"/>
      <c r="AA167" s="426">
        <f t="shared" si="54"/>
        <v>955.605918</v>
      </c>
      <c r="AB167" s="427"/>
      <c r="AC167" s="401"/>
      <c r="AD167" s="427">
        <f t="shared" si="56"/>
        <v>9786714.57</v>
      </c>
      <c r="AE167" s="329">
        <f t="shared" ref="AE167:AF182" si="67">AE166+K167</f>
        <v>76209.22</v>
      </c>
      <c r="AF167" s="329">
        <f t="shared" si="67"/>
        <v>43161.64</v>
      </c>
      <c r="AG167" s="401">
        <f t="shared" si="58"/>
        <v>111284.530000001</v>
      </c>
      <c r="AH167" s="439"/>
      <c r="AI167" s="400"/>
      <c r="AJ167" s="400"/>
      <c r="AK167" s="400"/>
      <c r="AL167" s="400"/>
      <c r="AM167" s="400"/>
      <c r="AN167" s="400"/>
      <c r="AO167" s="400"/>
      <c r="AP167" s="400"/>
      <c r="AQ167" s="400"/>
      <c r="AR167" s="400"/>
      <c r="AS167" s="400"/>
      <c r="AT167" s="400"/>
      <c r="AU167" s="400"/>
      <c r="AV167" s="400"/>
      <c r="AW167" s="400"/>
      <c r="AX167" s="400"/>
      <c r="AY167" s="400"/>
      <c r="AZ167" s="400"/>
      <c r="BA167" s="400"/>
      <c r="BB167" s="400"/>
      <c r="BC167" s="400"/>
    </row>
    <row r="168" s="366" customFormat="1" ht="15" customHeight="1" spans="1:55">
      <c r="A168" s="395">
        <v>42898</v>
      </c>
      <c r="B168" s="443" t="s">
        <v>35</v>
      </c>
      <c r="C168" s="377"/>
      <c r="D168" s="329"/>
      <c r="E168" s="329"/>
      <c r="F168" s="378"/>
      <c r="G168" s="329"/>
      <c r="H168" s="376"/>
      <c r="I168" s="376"/>
      <c r="J168" s="399">
        <f t="shared" si="53"/>
        <v>0</v>
      </c>
      <c r="K168" s="329"/>
      <c r="L168" s="329"/>
      <c r="M168" s="401">
        <f t="shared" si="55"/>
        <v>0</v>
      </c>
      <c r="N168" s="396">
        <f t="shared" si="65"/>
        <v>0</v>
      </c>
      <c r="O168" s="368">
        <f t="shared" si="65"/>
        <v>0</v>
      </c>
      <c r="P168" s="398">
        <f t="shared" si="65"/>
        <v>0</v>
      </c>
      <c r="Q168" s="414">
        <f t="shared" si="66"/>
        <v>9556059.18</v>
      </c>
      <c r="R168" s="402">
        <f t="shared" si="66"/>
        <v>4767488</v>
      </c>
      <c r="S168" s="415">
        <f t="shared" si="66"/>
        <v>14554202.57</v>
      </c>
      <c r="T168" s="416">
        <f>N168/'2018'!N168-1</f>
        <v>-1</v>
      </c>
      <c r="U168" s="417">
        <f>O168/'2018'!O168-1</f>
        <v>-1</v>
      </c>
      <c r="V168" s="417">
        <f>P168/'2018'!P168-1</f>
        <v>-1</v>
      </c>
      <c r="W168" s="417">
        <f>Q168/'2018'!Q168-1</f>
        <v>-0.0727632771214203</v>
      </c>
      <c r="X168" s="417">
        <f>R168/'2018'!R168-1</f>
        <v>-0.0814106331201674</v>
      </c>
      <c r="Y168" s="424">
        <f>S168/'2018'!S168-1</f>
        <v>-0.076016254160106</v>
      </c>
      <c r="Z168" s="425"/>
      <c r="AA168" s="426">
        <f t="shared" si="54"/>
        <v>955.605918</v>
      </c>
      <c r="AB168" s="427"/>
      <c r="AC168" s="401"/>
      <c r="AD168" s="427">
        <f t="shared" si="56"/>
        <v>9786714.57</v>
      </c>
      <c r="AE168" s="329">
        <f t="shared" si="67"/>
        <v>76209.22</v>
      </c>
      <c r="AF168" s="329">
        <f t="shared" si="67"/>
        <v>43161.64</v>
      </c>
      <c r="AG168" s="401">
        <f t="shared" si="58"/>
        <v>111284.530000001</v>
      </c>
      <c r="AH168" s="439"/>
      <c r="AI168" s="400"/>
      <c r="AJ168" s="400"/>
      <c r="AK168" s="400"/>
      <c r="AL168" s="400"/>
      <c r="AM168" s="400"/>
      <c r="AN168" s="400"/>
      <c r="AO168" s="400"/>
      <c r="AP168" s="400"/>
      <c r="AQ168" s="400"/>
      <c r="AR168" s="400"/>
      <c r="AS168" s="400"/>
      <c r="AT168" s="400"/>
      <c r="AU168" s="400"/>
      <c r="AV168" s="400"/>
      <c r="AW168" s="400"/>
      <c r="AX168" s="400"/>
      <c r="AY168" s="400"/>
      <c r="AZ168" s="400"/>
      <c r="BA168" s="400"/>
      <c r="BB168" s="400"/>
      <c r="BC168" s="400"/>
    </row>
    <row r="169" s="366" customFormat="1" ht="15" customHeight="1" spans="1:55">
      <c r="A169" s="395">
        <v>42899</v>
      </c>
      <c r="B169" s="191" t="s">
        <v>36</v>
      </c>
      <c r="C169" s="377"/>
      <c r="D169" s="329"/>
      <c r="E169" s="329"/>
      <c r="F169" s="378"/>
      <c r="G169" s="329"/>
      <c r="H169" s="376"/>
      <c r="I169" s="376"/>
      <c r="J169" s="399">
        <f t="shared" si="53"/>
        <v>0</v>
      </c>
      <c r="K169" s="329"/>
      <c r="L169" s="329"/>
      <c r="M169" s="401">
        <f t="shared" si="55"/>
        <v>0</v>
      </c>
      <c r="N169" s="396">
        <f t="shared" si="65"/>
        <v>0</v>
      </c>
      <c r="O169" s="368">
        <f t="shared" si="65"/>
        <v>0</v>
      </c>
      <c r="P169" s="398">
        <f t="shared" si="65"/>
        <v>0</v>
      </c>
      <c r="Q169" s="414">
        <f t="shared" si="66"/>
        <v>9556059.18</v>
      </c>
      <c r="R169" s="402">
        <f t="shared" si="66"/>
        <v>4767488</v>
      </c>
      <c r="S169" s="415">
        <f t="shared" si="66"/>
        <v>14554202.57</v>
      </c>
      <c r="T169" s="416">
        <f>N169/'2018'!N169-1</f>
        <v>-1</v>
      </c>
      <c r="U169" s="417">
        <f>O169/'2018'!O169-1</f>
        <v>-1</v>
      </c>
      <c r="V169" s="417">
        <f>P169/'2018'!P169-1</f>
        <v>-1</v>
      </c>
      <c r="W169" s="417">
        <f>Q169/'2018'!Q169-1</f>
        <v>-0.0787060340171827</v>
      </c>
      <c r="X169" s="417">
        <f>R169/'2018'!R169-1</f>
        <v>-0.0880945882127011</v>
      </c>
      <c r="Y169" s="424">
        <f>S169/'2018'!S169-1</f>
        <v>-0.0823376441806704</v>
      </c>
      <c r="Z169" s="425"/>
      <c r="AA169" s="426">
        <f t="shared" si="54"/>
        <v>955.605918</v>
      </c>
      <c r="AB169" s="427"/>
      <c r="AC169" s="401"/>
      <c r="AD169" s="427">
        <f t="shared" si="56"/>
        <v>9786714.57</v>
      </c>
      <c r="AE169" s="329">
        <f t="shared" si="67"/>
        <v>76209.22</v>
      </c>
      <c r="AF169" s="329">
        <f t="shared" si="67"/>
        <v>43161.64</v>
      </c>
      <c r="AG169" s="401">
        <f t="shared" si="58"/>
        <v>111284.530000001</v>
      </c>
      <c r="AH169" s="439"/>
      <c r="AI169" s="400"/>
      <c r="AJ169" s="400"/>
      <c r="AK169" s="400"/>
      <c r="AL169" s="400"/>
      <c r="AM169" s="400"/>
      <c r="AN169" s="400"/>
      <c r="AO169" s="400"/>
      <c r="AP169" s="400"/>
      <c r="AQ169" s="400"/>
      <c r="AR169" s="400"/>
      <c r="AS169" s="400"/>
      <c r="AT169" s="400"/>
      <c r="AU169" s="400"/>
      <c r="AV169" s="400"/>
      <c r="AW169" s="400"/>
      <c r="AX169" s="400"/>
      <c r="AY169" s="400"/>
      <c r="AZ169" s="400"/>
      <c r="BA169" s="400"/>
      <c r="BB169" s="400"/>
      <c r="BC169" s="400"/>
    </row>
    <row r="170" s="366" customFormat="1" ht="15" customHeight="1" spans="1:55">
      <c r="A170" s="395">
        <v>42900</v>
      </c>
      <c r="B170" s="443" t="s">
        <v>37</v>
      </c>
      <c r="C170" s="377"/>
      <c r="D170" s="329"/>
      <c r="E170" s="329"/>
      <c r="F170" s="378"/>
      <c r="G170" s="329"/>
      <c r="H170" s="376"/>
      <c r="I170" s="376"/>
      <c r="J170" s="399">
        <f t="shared" si="53"/>
        <v>0</v>
      </c>
      <c r="K170" s="329"/>
      <c r="L170" s="329"/>
      <c r="M170" s="401">
        <f t="shared" si="55"/>
        <v>0</v>
      </c>
      <c r="N170" s="396">
        <f t="shared" si="65"/>
        <v>0</v>
      </c>
      <c r="O170" s="368">
        <f t="shared" si="65"/>
        <v>0</v>
      </c>
      <c r="P170" s="398">
        <f t="shared" si="65"/>
        <v>0</v>
      </c>
      <c r="Q170" s="414">
        <f t="shared" si="66"/>
        <v>9556059.18</v>
      </c>
      <c r="R170" s="402">
        <f t="shared" si="66"/>
        <v>4767488</v>
      </c>
      <c r="S170" s="415">
        <f t="shared" si="66"/>
        <v>14554202.57</v>
      </c>
      <c r="T170" s="416">
        <f>N170/'2018'!N170-1</f>
        <v>-1</v>
      </c>
      <c r="U170" s="417">
        <f>O170/'2018'!O170-1</f>
        <v>-1</v>
      </c>
      <c r="V170" s="417">
        <f>P170/'2018'!P170-1</f>
        <v>-1</v>
      </c>
      <c r="W170" s="417">
        <f>Q170/'2018'!Q170-1</f>
        <v>-0.0849045504379264</v>
      </c>
      <c r="X170" s="417">
        <f>R170/'2018'!R170-1</f>
        <v>-0.0942110296970335</v>
      </c>
      <c r="Y170" s="424">
        <f>S170/'2018'!S170-1</f>
        <v>-0.0886118230022354</v>
      </c>
      <c r="Z170" s="425"/>
      <c r="AA170" s="426">
        <f t="shared" si="54"/>
        <v>955.605918</v>
      </c>
      <c r="AB170" s="427"/>
      <c r="AC170" s="401"/>
      <c r="AD170" s="427">
        <f t="shared" si="56"/>
        <v>9786714.57</v>
      </c>
      <c r="AE170" s="329">
        <f t="shared" si="67"/>
        <v>76209.22</v>
      </c>
      <c r="AF170" s="329">
        <f t="shared" si="67"/>
        <v>43161.64</v>
      </c>
      <c r="AG170" s="401">
        <f t="shared" si="58"/>
        <v>111284.530000001</v>
      </c>
      <c r="AH170" s="439"/>
      <c r="AI170" s="400"/>
      <c r="AJ170" s="400"/>
      <c r="AK170" s="400"/>
      <c r="AL170" s="400"/>
      <c r="AM170" s="400"/>
      <c r="AN170" s="400"/>
      <c r="AO170" s="400"/>
      <c r="AP170" s="400"/>
      <c r="AQ170" s="400"/>
      <c r="AR170" s="400"/>
      <c r="AS170" s="400"/>
      <c r="AT170" s="400"/>
      <c r="AU170" s="400"/>
      <c r="AV170" s="400"/>
      <c r="AW170" s="400"/>
      <c r="AX170" s="400"/>
      <c r="AY170" s="400"/>
      <c r="AZ170" s="400"/>
      <c r="BA170" s="400"/>
      <c r="BB170" s="400"/>
      <c r="BC170" s="400"/>
    </row>
    <row r="171" s="366" customFormat="1" ht="15" customHeight="1" spans="1:55">
      <c r="A171" s="395">
        <v>42901</v>
      </c>
      <c r="B171" s="443" t="s">
        <v>38</v>
      </c>
      <c r="C171" s="377"/>
      <c r="D171" s="329"/>
      <c r="E171" s="329"/>
      <c r="F171" s="378"/>
      <c r="G171" s="329"/>
      <c r="H171" s="376"/>
      <c r="I171" s="376"/>
      <c r="J171" s="399">
        <f t="shared" si="53"/>
        <v>0</v>
      </c>
      <c r="K171" s="329"/>
      <c r="L171" s="329"/>
      <c r="M171" s="401">
        <f t="shared" si="55"/>
        <v>0</v>
      </c>
      <c r="N171" s="396">
        <f t="shared" si="65"/>
        <v>0</v>
      </c>
      <c r="O171" s="368">
        <f t="shared" si="65"/>
        <v>0</v>
      </c>
      <c r="P171" s="398">
        <f t="shared" si="65"/>
        <v>0</v>
      </c>
      <c r="Q171" s="414">
        <f t="shared" si="66"/>
        <v>9556059.18</v>
      </c>
      <c r="R171" s="402">
        <f t="shared" si="66"/>
        <v>4767488</v>
      </c>
      <c r="S171" s="415">
        <f t="shared" si="66"/>
        <v>14554202.57</v>
      </c>
      <c r="T171" s="416">
        <f>N171/'2018'!N171-1</f>
        <v>-1</v>
      </c>
      <c r="U171" s="417">
        <f>O171/'2018'!O171-1</f>
        <v>-1</v>
      </c>
      <c r="V171" s="417">
        <f>P171/'2018'!P171-1</f>
        <v>-1</v>
      </c>
      <c r="W171" s="417">
        <f>Q171/'2018'!Q171-1</f>
        <v>-0.0910362117116809</v>
      </c>
      <c r="X171" s="417">
        <f>R171/'2018'!R171-1</f>
        <v>-0.10025411869504</v>
      </c>
      <c r="Y171" s="424">
        <f>S171/'2018'!S171-1</f>
        <v>-0.094842392626584</v>
      </c>
      <c r="Z171" s="425"/>
      <c r="AA171" s="426">
        <f t="shared" si="54"/>
        <v>955.605918</v>
      </c>
      <c r="AB171" s="427"/>
      <c r="AC171" s="401"/>
      <c r="AD171" s="427">
        <f t="shared" si="56"/>
        <v>9786714.57</v>
      </c>
      <c r="AE171" s="329">
        <f t="shared" si="67"/>
        <v>76209.22</v>
      </c>
      <c r="AF171" s="329">
        <f t="shared" si="67"/>
        <v>43161.64</v>
      </c>
      <c r="AG171" s="401">
        <f t="shared" si="58"/>
        <v>111284.530000001</v>
      </c>
      <c r="AH171" s="439"/>
      <c r="AI171" s="400"/>
      <c r="AJ171" s="400"/>
      <c r="AK171" s="400"/>
      <c r="AL171" s="400"/>
      <c r="AM171" s="400"/>
      <c r="AN171" s="400"/>
      <c r="AO171" s="400"/>
      <c r="AP171" s="400"/>
      <c r="AQ171" s="400"/>
      <c r="AR171" s="400"/>
      <c r="AS171" s="400"/>
      <c r="AT171" s="400"/>
      <c r="AU171" s="400"/>
      <c r="AV171" s="400"/>
      <c r="AW171" s="400"/>
      <c r="AX171" s="400"/>
      <c r="AY171" s="400"/>
      <c r="AZ171" s="400"/>
      <c r="BA171" s="400"/>
      <c r="BB171" s="400"/>
      <c r="BC171" s="400"/>
    </row>
    <row r="172" s="366" customFormat="1" ht="15" customHeight="1" spans="1:55">
      <c r="A172" s="395">
        <v>42902</v>
      </c>
      <c r="B172" s="443" t="s">
        <v>1</v>
      </c>
      <c r="C172" s="377"/>
      <c r="D172" s="329"/>
      <c r="E172" s="329"/>
      <c r="F172" s="378"/>
      <c r="G172" s="329"/>
      <c r="H172" s="376"/>
      <c r="I172" s="376"/>
      <c r="J172" s="399">
        <f t="shared" si="53"/>
        <v>0</v>
      </c>
      <c r="K172" s="329"/>
      <c r="L172" s="329"/>
      <c r="M172" s="401">
        <f t="shared" si="55"/>
        <v>0</v>
      </c>
      <c r="N172" s="396">
        <f t="shared" si="65"/>
        <v>0</v>
      </c>
      <c r="O172" s="368">
        <f t="shared" si="65"/>
        <v>0</v>
      </c>
      <c r="P172" s="398">
        <f t="shared" si="65"/>
        <v>0</v>
      </c>
      <c r="Q172" s="414">
        <f t="shared" si="66"/>
        <v>9556059.18</v>
      </c>
      <c r="R172" s="402">
        <f t="shared" si="66"/>
        <v>4767488</v>
      </c>
      <c r="S172" s="415">
        <f t="shared" si="66"/>
        <v>14554202.57</v>
      </c>
      <c r="T172" s="416">
        <f>N172/'2018'!N172-1</f>
        <v>-1</v>
      </c>
      <c r="U172" s="417">
        <f>O172/'2018'!O172-1</f>
        <v>-1</v>
      </c>
      <c r="V172" s="417">
        <f>P172/'2018'!P172-1</f>
        <v>-1</v>
      </c>
      <c r="W172" s="417">
        <f>Q172/'2018'!Q172-1</f>
        <v>-0.0967633953038971</v>
      </c>
      <c r="X172" s="417">
        <f>R172/'2018'!R172-1</f>
        <v>-0.106249613347706</v>
      </c>
      <c r="Y172" s="424">
        <f>S172/'2018'!S172-1</f>
        <v>-0.100755446539986</v>
      </c>
      <c r="Z172" s="425"/>
      <c r="AA172" s="426">
        <f t="shared" si="54"/>
        <v>955.605918</v>
      </c>
      <c r="AB172" s="427"/>
      <c r="AC172" s="401"/>
      <c r="AD172" s="427">
        <f t="shared" si="56"/>
        <v>9786714.57</v>
      </c>
      <c r="AE172" s="329">
        <f t="shared" si="67"/>
        <v>76209.22</v>
      </c>
      <c r="AF172" s="329">
        <f t="shared" si="67"/>
        <v>43161.64</v>
      </c>
      <c r="AG172" s="401">
        <f t="shared" si="58"/>
        <v>111284.530000001</v>
      </c>
      <c r="AH172" s="439"/>
      <c r="AI172" s="400"/>
      <c r="AJ172" s="400"/>
      <c r="AK172" s="400"/>
      <c r="AL172" s="400"/>
      <c r="AM172" s="400"/>
      <c r="AN172" s="400"/>
      <c r="AO172" s="400"/>
      <c r="AP172" s="400"/>
      <c r="AQ172" s="400"/>
      <c r="AR172" s="400"/>
      <c r="AS172" s="400"/>
      <c r="AT172" s="400"/>
      <c r="AU172" s="400"/>
      <c r="AV172" s="400"/>
      <c r="AW172" s="400"/>
      <c r="AX172" s="400"/>
      <c r="AY172" s="400"/>
      <c r="AZ172" s="400"/>
      <c r="BA172" s="400"/>
      <c r="BB172" s="400"/>
      <c r="BC172" s="400"/>
    </row>
    <row r="173" s="366" customFormat="1" ht="15" customHeight="1" spans="1:55">
      <c r="A173" s="395">
        <v>42903</v>
      </c>
      <c r="B173" s="443" t="s">
        <v>39</v>
      </c>
      <c r="C173" s="377"/>
      <c r="D173" s="329"/>
      <c r="E173" s="329"/>
      <c r="F173" s="378"/>
      <c r="G173" s="329"/>
      <c r="H173" s="376"/>
      <c r="I173" s="376"/>
      <c r="J173" s="399">
        <f t="shared" si="53"/>
        <v>0</v>
      </c>
      <c r="K173" s="329"/>
      <c r="L173" s="329"/>
      <c r="M173" s="401">
        <f t="shared" si="55"/>
        <v>0</v>
      </c>
      <c r="N173" s="396">
        <f t="shared" si="65"/>
        <v>0</v>
      </c>
      <c r="O173" s="368">
        <f t="shared" si="65"/>
        <v>0</v>
      </c>
      <c r="P173" s="398">
        <f t="shared" si="65"/>
        <v>0</v>
      </c>
      <c r="Q173" s="414">
        <f t="shared" si="66"/>
        <v>9556059.18</v>
      </c>
      <c r="R173" s="402">
        <f t="shared" si="66"/>
        <v>4767488</v>
      </c>
      <c r="S173" s="415">
        <f t="shared" si="66"/>
        <v>14554202.57</v>
      </c>
      <c r="T173" s="416">
        <f>N173/'2018'!N173-1</f>
        <v>-1</v>
      </c>
      <c r="U173" s="417">
        <f>O173/'2018'!O173-1</f>
        <v>-1</v>
      </c>
      <c r="V173" s="417">
        <f>P173/'2018'!P173-1</f>
        <v>-1</v>
      </c>
      <c r="W173" s="417">
        <f>Q173/'2018'!Q173-1</f>
        <v>-0.10196775370366</v>
      </c>
      <c r="X173" s="417">
        <f>R173/'2018'!R173-1</f>
        <v>-0.11208454578098</v>
      </c>
      <c r="Y173" s="424">
        <f>S173/'2018'!S173-1</f>
        <v>-0.106224319931887</v>
      </c>
      <c r="Z173" s="425"/>
      <c r="AA173" s="426">
        <f t="shared" si="54"/>
        <v>955.605918</v>
      </c>
      <c r="AB173" s="427"/>
      <c r="AC173" s="401"/>
      <c r="AD173" s="427">
        <f t="shared" si="56"/>
        <v>9786714.57</v>
      </c>
      <c r="AE173" s="329">
        <f t="shared" si="67"/>
        <v>76209.22</v>
      </c>
      <c r="AF173" s="329">
        <f t="shared" si="67"/>
        <v>43161.64</v>
      </c>
      <c r="AG173" s="401">
        <f t="shared" si="58"/>
        <v>111284.530000001</v>
      </c>
      <c r="AH173" s="439"/>
      <c r="AI173" s="400"/>
      <c r="AJ173" s="400"/>
      <c r="AK173" s="400"/>
      <c r="AL173" s="400"/>
      <c r="AM173" s="400"/>
      <c r="AN173" s="400"/>
      <c r="AO173" s="400"/>
      <c r="AP173" s="400"/>
      <c r="AQ173" s="400"/>
      <c r="AR173" s="400"/>
      <c r="AS173" s="400"/>
      <c r="AT173" s="400"/>
      <c r="AU173" s="400"/>
      <c r="AV173" s="400"/>
      <c r="AW173" s="400"/>
      <c r="AX173" s="400"/>
      <c r="AY173" s="400"/>
      <c r="AZ173" s="400"/>
      <c r="BA173" s="400"/>
      <c r="BB173" s="400"/>
      <c r="BC173" s="400"/>
    </row>
    <row r="174" s="366" customFormat="1" ht="15" customHeight="1" spans="1:55">
      <c r="A174" s="395">
        <v>42904</v>
      </c>
      <c r="B174" s="443" t="s">
        <v>34</v>
      </c>
      <c r="C174" s="377"/>
      <c r="D174" s="329"/>
      <c r="E174" s="329"/>
      <c r="F174" s="378"/>
      <c r="G174" s="329"/>
      <c r="H174" s="376"/>
      <c r="I174" s="376"/>
      <c r="J174" s="399">
        <f t="shared" si="53"/>
        <v>0</v>
      </c>
      <c r="K174" s="329"/>
      <c r="L174" s="329"/>
      <c r="M174" s="401">
        <f t="shared" si="55"/>
        <v>0</v>
      </c>
      <c r="N174" s="396">
        <f t="shared" ref="N174:P185" si="68">N173+C174</f>
        <v>0</v>
      </c>
      <c r="O174" s="368">
        <f t="shared" si="68"/>
        <v>0</v>
      </c>
      <c r="P174" s="398">
        <f t="shared" si="68"/>
        <v>0</v>
      </c>
      <c r="Q174" s="414">
        <f t="shared" si="66"/>
        <v>9556059.18</v>
      </c>
      <c r="R174" s="402">
        <f t="shared" si="66"/>
        <v>4767488</v>
      </c>
      <c r="S174" s="415">
        <f t="shared" si="66"/>
        <v>14554202.57</v>
      </c>
      <c r="T174" s="416">
        <f>N174/'2018'!N174-1</f>
        <v>-1</v>
      </c>
      <c r="U174" s="417">
        <f>O174/'2018'!O174-1</f>
        <v>-1</v>
      </c>
      <c r="V174" s="417">
        <f>P174/'2018'!P174-1</f>
        <v>-1</v>
      </c>
      <c r="W174" s="417">
        <f>Q174/'2018'!Q174-1</f>
        <v>-0.106568446598738</v>
      </c>
      <c r="X174" s="417">
        <f>R174/'2018'!R174-1</f>
        <v>-0.11651439357803</v>
      </c>
      <c r="Y174" s="424">
        <f>S174/'2018'!S174-1</f>
        <v>-0.110851791230269</v>
      </c>
      <c r="Z174" s="425"/>
      <c r="AA174" s="426">
        <f t="shared" si="54"/>
        <v>955.605918</v>
      </c>
      <c r="AB174" s="427"/>
      <c r="AC174" s="401"/>
      <c r="AD174" s="427">
        <f t="shared" si="56"/>
        <v>9786714.57</v>
      </c>
      <c r="AE174" s="329">
        <f t="shared" si="67"/>
        <v>76209.22</v>
      </c>
      <c r="AF174" s="329">
        <f t="shared" si="67"/>
        <v>43161.64</v>
      </c>
      <c r="AG174" s="401">
        <f t="shared" si="58"/>
        <v>111284.530000001</v>
      </c>
      <c r="AH174" s="439"/>
      <c r="AI174" s="400"/>
      <c r="AJ174" s="400"/>
      <c r="AK174" s="400"/>
      <c r="AL174" s="400"/>
      <c r="AM174" s="400"/>
      <c r="AN174" s="400"/>
      <c r="AO174" s="400"/>
      <c r="AP174" s="400"/>
      <c r="AQ174" s="400"/>
      <c r="AR174" s="400"/>
      <c r="AS174" s="400"/>
      <c r="AT174" s="400"/>
      <c r="AU174" s="400"/>
      <c r="AV174" s="400"/>
      <c r="AW174" s="400"/>
      <c r="AX174" s="400"/>
      <c r="AY174" s="400"/>
      <c r="AZ174" s="400"/>
      <c r="BA174" s="400"/>
      <c r="BB174" s="400"/>
      <c r="BC174" s="400"/>
    </row>
    <row r="175" s="366" customFormat="1" ht="15" customHeight="1" spans="1:55">
      <c r="A175" s="395">
        <v>42905</v>
      </c>
      <c r="B175" s="443" t="s">
        <v>35</v>
      </c>
      <c r="C175" s="377"/>
      <c r="D175" s="329"/>
      <c r="E175" s="329"/>
      <c r="F175" s="378"/>
      <c r="G175" s="329"/>
      <c r="H175" s="376"/>
      <c r="I175" s="376"/>
      <c r="J175" s="399">
        <f t="shared" si="53"/>
        <v>0</v>
      </c>
      <c r="K175" s="329"/>
      <c r="L175" s="329"/>
      <c r="M175" s="401">
        <f t="shared" si="55"/>
        <v>0</v>
      </c>
      <c r="N175" s="396">
        <f t="shared" si="68"/>
        <v>0</v>
      </c>
      <c r="O175" s="368">
        <f t="shared" si="68"/>
        <v>0</v>
      </c>
      <c r="P175" s="398">
        <f t="shared" si="68"/>
        <v>0</v>
      </c>
      <c r="Q175" s="414">
        <f t="shared" si="66"/>
        <v>9556059.18</v>
      </c>
      <c r="R175" s="402">
        <f t="shared" si="66"/>
        <v>4767488</v>
      </c>
      <c r="S175" s="415">
        <f t="shared" si="66"/>
        <v>14554202.57</v>
      </c>
      <c r="T175" s="416">
        <f>N175/'2018'!N175-1</f>
        <v>-1</v>
      </c>
      <c r="U175" s="417">
        <f>O175/'2018'!O175-1</f>
        <v>-1</v>
      </c>
      <c r="V175" s="417">
        <f>P175/'2018'!P175-1</f>
        <v>-1</v>
      </c>
      <c r="W175" s="417">
        <f>Q175/'2018'!Q175-1</f>
        <v>-0.112767515951178</v>
      </c>
      <c r="X175" s="417">
        <f>R175/'2018'!R175-1</f>
        <v>-0.122343506135603</v>
      </c>
      <c r="Y175" s="424">
        <f>S175/'2018'!S175-1</f>
        <v>-0.116942779508249</v>
      </c>
      <c r="Z175" s="425"/>
      <c r="AA175" s="426">
        <f t="shared" si="54"/>
        <v>955.605918</v>
      </c>
      <c r="AB175" s="427"/>
      <c r="AC175" s="401"/>
      <c r="AD175" s="427">
        <f t="shared" si="56"/>
        <v>9786714.57</v>
      </c>
      <c r="AE175" s="329">
        <f t="shared" si="67"/>
        <v>76209.22</v>
      </c>
      <c r="AF175" s="329">
        <f t="shared" si="67"/>
        <v>43161.64</v>
      </c>
      <c r="AG175" s="401">
        <f t="shared" si="58"/>
        <v>111284.530000001</v>
      </c>
      <c r="AH175" s="439"/>
      <c r="AI175" s="400"/>
      <c r="AJ175" s="400"/>
      <c r="AK175" s="400"/>
      <c r="AL175" s="400"/>
      <c r="AM175" s="400"/>
      <c r="AN175" s="400"/>
      <c r="AO175" s="400"/>
      <c r="AP175" s="400"/>
      <c r="AQ175" s="400"/>
      <c r="AR175" s="400"/>
      <c r="AS175" s="400"/>
      <c r="AT175" s="400"/>
      <c r="AU175" s="400"/>
      <c r="AV175" s="400"/>
      <c r="AW175" s="400"/>
      <c r="AX175" s="400"/>
      <c r="AY175" s="400"/>
      <c r="AZ175" s="400"/>
      <c r="BA175" s="400"/>
      <c r="BB175" s="400"/>
      <c r="BC175" s="400"/>
    </row>
    <row r="176" s="366" customFormat="1" ht="15" customHeight="1" spans="1:55">
      <c r="A176" s="395">
        <v>42906</v>
      </c>
      <c r="B176" s="191" t="s">
        <v>36</v>
      </c>
      <c r="C176" s="377"/>
      <c r="D176" s="329"/>
      <c r="E176" s="329"/>
      <c r="F176" s="378"/>
      <c r="G176" s="329"/>
      <c r="H176" s="376"/>
      <c r="I176" s="376"/>
      <c r="J176" s="399">
        <f t="shared" si="53"/>
        <v>0</v>
      </c>
      <c r="K176" s="329"/>
      <c r="L176" s="329"/>
      <c r="M176" s="401">
        <f t="shared" si="55"/>
        <v>0</v>
      </c>
      <c r="N176" s="396">
        <f t="shared" si="68"/>
        <v>0</v>
      </c>
      <c r="O176" s="368">
        <f t="shared" si="68"/>
        <v>0</v>
      </c>
      <c r="P176" s="398">
        <f t="shared" si="68"/>
        <v>0</v>
      </c>
      <c r="Q176" s="414">
        <f t="shared" si="66"/>
        <v>9556059.18</v>
      </c>
      <c r="R176" s="402">
        <f t="shared" si="66"/>
        <v>4767488</v>
      </c>
      <c r="S176" s="415">
        <f t="shared" si="66"/>
        <v>14554202.57</v>
      </c>
      <c r="T176" s="416">
        <f>N176/'2018'!N176-1</f>
        <v>-1</v>
      </c>
      <c r="U176" s="417">
        <f>O176/'2018'!O176-1</f>
        <v>-1</v>
      </c>
      <c r="V176" s="417">
        <f>P176/'2018'!P176-1</f>
        <v>-1</v>
      </c>
      <c r="W176" s="417">
        <f>Q176/'2018'!Q176-1</f>
        <v>-0.118747324823108</v>
      </c>
      <c r="X176" s="417">
        <f>R176/'2018'!R176-1</f>
        <v>-0.128470929245189</v>
      </c>
      <c r="Y176" s="424">
        <f>S176/'2018'!S176-1</f>
        <v>-0.122926096427021</v>
      </c>
      <c r="Z176" s="425"/>
      <c r="AA176" s="426">
        <f t="shared" si="54"/>
        <v>955.605918</v>
      </c>
      <c r="AB176" s="427"/>
      <c r="AC176" s="401"/>
      <c r="AD176" s="427">
        <f t="shared" si="56"/>
        <v>9786714.57</v>
      </c>
      <c r="AE176" s="329">
        <f t="shared" si="67"/>
        <v>76209.22</v>
      </c>
      <c r="AF176" s="329">
        <f t="shared" si="67"/>
        <v>43161.64</v>
      </c>
      <c r="AG176" s="401">
        <f t="shared" si="58"/>
        <v>111284.530000001</v>
      </c>
      <c r="AH176" s="439"/>
      <c r="AI176" s="400"/>
      <c r="AJ176" s="400"/>
      <c r="AK176" s="400"/>
      <c r="AL176" s="400"/>
      <c r="AM176" s="400"/>
      <c r="AN176" s="400"/>
      <c r="AO176" s="400"/>
      <c r="AP176" s="400"/>
      <c r="AQ176" s="400"/>
      <c r="AR176" s="400"/>
      <c r="AS176" s="400"/>
      <c r="AT176" s="400"/>
      <c r="AU176" s="400"/>
      <c r="AV176" s="400"/>
      <c r="AW176" s="400"/>
      <c r="AX176" s="400"/>
      <c r="AY176" s="400"/>
      <c r="AZ176" s="400"/>
      <c r="BA176" s="400"/>
      <c r="BB176" s="400"/>
      <c r="BC176" s="400"/>
    </row>
    <row r="177" s="366" customFormat="1" ht="15" customHeight="1" spans="1:55">
      <c r="A177" s="395">
        <v>42907</v>
      </c>
      <c r="B177" s="443" t="s">
        <v>37</v>
      </c>
      <c r="C177" s="377"/>
      <c r="D177" s="329"/>
      <c r="E177" s="329"/>
      <c r="F177" s="378"/>
      <c r="G177" s="329"/>
      <c r="H177" s="376"/>
      <c r="I177" s="376"/>
      <c r="J177" s="399">
        <f t="shared" si="53"/>
        <v>0</v>
      </c>
      <c r="K177" s="329"/>
      <c r="L177" s="329"/>
      <c r="M177" s="401">
        <f t="shared" si="55"/>
        <v>0</v>
      </c>
      <c r="N177" s="396">
        <f t="shared" si="68"/>
        <v>0</v>
      </c>
      <c r="O177" s="368">
        <f t="shared" si="68"/>
        <v>0</v>
      </c>
      <c r="P177" s="398">
        <f t="shared" si="68"/>
        <v>0</v>
      </c>
      <c r="Q177" s="414">
        <f t="shared" si="66"/>
        <v>9556059.18</v>
      </c>
      <c r="R177" s="402">
        <f t="shared" si="66"/>
        <v>4767488</v>
      </c>
      <c r="S177" s="415">
        <f t="shared" si="66"/>
        <v>14554202.57</v>
      </c>
      <c r="T177" s="416">
        <f>N177/'2018'!N177-1</f>
        <v>-1</v>
      </c>
      <c r="U177" s="417">
        <f>O177/'2018'!O177-1</f>
        <v>-1</v>
      </c>
      <c r="V177" s="417">
        <f>P177/'2018'!P177-1</f>
        <v>-1</v>
      </c>
      <c r="W177" s="417">
        <f>Q177/'2018'!Q177-1</f>
        <v>-0.124107497786052</v>
      </c>
      <c r="X177" s="417">
        <f>R177/'2018'!R177-1</f>
        <v>-0.134596024595505</v>
      </c>
      <c r="Y177" s="424">
        <f>S177/'2018'!S177-1</f>
        <v>-0.128502896472285</v>
      </c>
      <c r="Z177" s="425"/>
      <c r="AA177" s="426">
        <f t="shared" si="54"/>
        <v>955.605918</v>
      </c>
      <c r="AB177" s="427"/>
      <c r="AC177" s="401"/>
      <c r="AD177" s="427">
        <f t="shared" si="56"/>
        <v>9786714.57</v>
      </c>
      <c r="AE177" s="329">
        <f t="shared" si="67"/>
        <v>76209.22</v>
      </c>
      <c r="AF177" s="329">
        <f t="shared" si="67"/>
        <v>43161.64</v>
      </c>
      <c r="AG177" s="401">
        <f t="shared" si="58"/>
        <v>111284.530000001</v>
      </c>
      <c r="AH177" s="439"/>
      <c r="AI177" s="400"/>
      <c r="AJ177" s="400"/>
      <c r="AK177" s="400"/>
      <c r="AL177" s="400"/>
      <c r="AM177" s="400"/>
      <c r="AN177" s="400"/>
      <c r="AO177" s="400"/>
      <c r="AP177" s="400"/>
      <c r="AQ177" s="400"/>
      <c r="AR177" s="400"/>
      <c r="AS177" s="400"/>
      <c r="AT177" s="400"/>
      <c r="AU177" s="400"/>
      <c r="AV177" s="400"/>
      <c r="AW177" s="400"/>
      <c r="AX177" s="400"/>
      <c r="AY177" s="400"/>
      <c r="AZ177" s="400"/>
      <c r="BA177" s="400"/>
      <c r="BB177" s="400"/>
      <c r="BC177" s="400"/>
    </row>
    <row r="178" s="366" customFormat="1" ht="15" customHeight="1" spans="1:55">
      <c r="A178" s="395">
        <v>42908</v>
      </c>
      <c r="B178" s="443" t="s">
        <v>38</v>
      </c>
      <c r="C178" s="377"/>
      <c r="D178" s="329"/>
      <c r="E178" s="329"/>
      <c r="F178" s="378"/>
      <c r="G178" s="329"/>
      <c r="H178" s="376"/>
      <c r="I178" s="376"/>
      <c r="J178" s="399">
        <f t="shared" si="53"/>
        <v>0</v>
      </c>
      <c r="K178" s="329"/>
      <c r="L178" s="329"/>
      <c r="M178" s="401">
        <f t="shared" si="55"/>
        <v>0</v>
      </c>
      <c r="N178" s="396">
        <f t="shared" si="68"/>
        <v>0</v>
      </c>
      <c r="O178" s="368">
        <f t="shared" si="68"/>
        <v>0</v>
      </c>
      <c r="P178" s="398">
        <f t="shared" si="68"/>
        <v>0</v>
      </c>
      <c r="Q178" s="414">
        <f t="shared" si="66"/>
        <v>9556059.18</v>
      </c>
      <c r="R178" s="402">
        <f t="shared" si="66"/>
        <v>4767488</v>
      </c>
      <c r="S178" s="415">
        <f t="shared" si="66"/>
        <v>14554202.57</v>
      </c>
      <c r="T178" s="416">
        <f>N178/'2018'!N178-1</f>
        <v>-1</v>
      </c>
      <c r="U178" s="417">
        <f>O178/'2018'!O178-1</f>
        <v>-1</v>
      </c>
      <c r="V178" s="417">
        <f>P178/'2018'!P178-1</f>
        <v>-1</v>
      </c>
      <c r="W178" s="417">
        <f>Q178/'2018'!Q178-1</f>
        <v>-0.129572560160952</v>
      </c>
      <c r="X178" s="417">
        <f>R178/'2018'!R178-1</f>
        <v>-0.140311753405988</v>
      </c>
      <c r="Y178" s="424">
        <f>S178/'2018'!S178-1</f>
        <v>-0.133991911833854</v>
      </c>
      <c r="Z178" s="425"/>
      <c r="AA178" s="426">
        <f t="shared" si="54"/>
        <v>955.605918</v>
      </c>
      <c r="AB178" s="427"/>
      <c r="AC178" s="401"/>
      <c r="AD178" s="427">
        <f t="shared" si="56"/>
        <v>9786714.57</v>
      </c>
      <c r="AE178" s="329">
        <f t="shared" si="67"/>
        <v>76209.22</v>
      </c>
      <c r="AF178" s="329">
        <f t="shared" si="67"/>
        <v>43161.64</v>
      </c>
      <c r="AG178" s="401">
        <f t="shared" si="58"/>
        <v>111284.530000001</v>
      </c>
      <c r="AH178" s="439"/>
      <c r="AI178" s="400"/>
      <c r="AJ178" s="400"/>
      <c r="AK178" s="400"/>
      <c r="AL178" s="400"/>
      <c r="AM178" s="400"/>
      <c r="AN178" s="400"/>
      <c r="AO178" s="400"/>
      <c r="AP178" s="400"/>
      <c r="AQ178" s="400"/>
      <c r="AR178" s="400"/>
      <c r="AS178" s="400"/>
      <c r="AT178" s="400"/>
      <c r="AU178" s="400"/>
      <c r="AV178" s="400"/>
      <c r="AW178" s="400"/>
      <c r="AX178" s="400"/>
      <c r="AY178" s="400"/>
      <c r="AZ178" s="400"/>
      <c r="BA178" s="400"/>
      <c r="BB178" s="400"/>
      <c r="BC178" s="400"/>
    </row>
    <row r="179" s="366" customFormat="1" ht="15" customHeight="1" spans="1:55">
      <c r="A179" s="395">
        <v>42909</v>
      </c>
      <c r="B179" s="443" t="s">
        <v>1</v>
      </c>
      <c r="C179" s="377"/>
      <c r="D179" s="329"/>
      <c r="E179" s="329"/>
      <c r="F179" s="378"/>
      <c r="G179" s="329"/>
      <c r="H179" s="376"/>
      <c r="I179" s="376"/>
      <c r="J179" s="399">
        <f t="shared" si="53"/>
        <v>0</v>
      </c>
      <c r="K179" s="329"/>
      <c r="L179" s="329"/>
      <c r="M179" s="401">
        <f t="shared" si="55"/>
        <v>0</v>
      </c>
      <c r="N179" s="396">
        <f t="shared" si="68"/>
        <v>0</v>
      </c>
      <c r="O179" s="368">
        <f t="shared" si="68"/>
        <v>0</v>
      </c>
      <c r="P179" s="398">
        <f t="shared" si="68"/>
        <v>0</v>
      </c>
      <c r="Q179" s="414">
        <f t="shared" si="66"/>
        <v>9556059.18</v>
      </c>
      <c r="R179" s="402">
        <f t="shared" si="66"/>
        <v>4767488</v>
      </c>
      <c r="S179" s="415">
        <f t="shared" si="66"/>
        <v>14554202.57</v>
      </c>
      <c r="T179" s="416">
        <f>N179/'2018'!N179-1</f>
        <v>-1</v>
      </c>
      <c r="U179" s="417">
        <f>O179/'2018'!O179-1</f>
        <v>-1</v>
      </c>
      <c r="V179" s="417">
        <f>P179/'2018'!P179-1</f>
        <v>-1</v>
      </c>
      <c r="W179" s="417">
        <f>Q179/'2018'!Q179-1</f>
        <v>-0.134486991145605</v>
      </c>
      <c r="X179" s="417">
        <f>R179/'2018'!R179-1</f>
        <v>-0.146425577612177</v>
      </c>
      <c r="Y179" s="424">
        <f>S179/'2018'!S179-1</f>
        <v>-0.139275004536766</v>
      </c>
      <c r="Z179" s="425"/>
      <c r="AA179" s="426">
        <f t="shared" si="54"/>
        <v>955.605918</v>
      </c>
      <c r="AB179" s="427"/>
      <c r="AC179" s="401"/>
      <c r="AD179" s="427">
        <f t="shared" si="56"/>
        <v>9786714.57</v>
      </c>
      <c r="AE179" s="329">
        <f t="shared" si="67"/>
        <v>76209.22</v>
      </c>
      <c r="AF179" s="329">
        <f t="shared" si="67"/>
        <v>43161.64</v>
      </c>
      <c r="AG179" s="401">
        <f t="shared" si="58"/>
        <v>111284.530000001</v>
      </c>
      <c r="AH179" s="439"/>
      <c r="AI179" s="400"/>
      <c r="AJ179" s="400"/>
      <c r="AK179" s="400"/>
      <c r="AL179" s="400"/>
      <c r="AM179" s="400"/>
      <c r="AN179" s="400"/>
      <c r="AO179" s="400"/>
      <c r="AP179" s="400"/>
      <c r="AQ179" s="400"/>
      <c r="AR179" s="400"/>
      <c r="AS179" s="400"/>
      <c r="AT179" s="400"/>
      <c r="AU179" s="400"/>
      <c r="AV179" s="400"/>
      <c r="AW179" s="400"/>
      <c r="AX179" s="400"/>
      <c r="AY179" s="400"/>
      <c r="AZ179" s="400"/>
      <c r="BA179" s="400"/>
      <c r="BB179" s="400"/>
      <c r="BC179" s="400"/>
    </row>
    <row r="180" s="366" customFormat="1" ht="15" customHeight="1" spans="1:55">
      <c r="A180" s="395">
        <v>42910</v>
      </c>
      <c r="B180" s="443" t="s">
        <v>39</v>
      </c>
      <c r="C180" s="377"/>
      <c r="D180" s="329"/>
      <c r="E180" s="329"/>
      <c r="F180" s="378"/>
      <c r="G180" s="329"/>
      <c r="H180" s="376"/>
      <c r="I180" s="376"/>
      <c r="J180" s="399">
        <f t="shared" si="53"/>
        <v>0</v>
      </c>
      <c r="K180" s="329"/>
      <c r="L180" s="329"/>
      <c r="M180" s="401">
        <f t="shared" si="55"/>
        <v>0</v>
      </c>
      <c r="N180" s="396">
        <f t="shared" si="68"/>
        <v>0</v>
      </c>
      <c r="O180" s="368">
        <f t="shared" si="68"/>
        <v>0</v>
      </c>
      <c r="P180" s="398">
        <f t="shared" si="68"/>
        <v>0</v>
      </c>
      <c r="Q180" s="414">
        <f t="shared" si="66"/>
        <v>9556059.18</v>
      </c>
      <c r="R180" s="402">
        <f t="shared" si="66"/>
        <v>4767488</v>
      </c>
      <c r="S180" s="415">
        <f t="shared" si="66"/>
        <v>14554202.57</v>
      </c>
      <c r="T180" s="416">
        <f>N180/'2018'!N180-1</f>
        <v>-1</v>
      </c>
      <c r="U180" s="417">
        <f>O180/'2018'!O180-1</f>
        <v>-1</v>
      </c>
      <c r="V180" s="417">
        <f>P180/'2018'!P180-1</f>
        <v>-1</v>
      </c>
      <c r="W180" s="417">
        <f>Q180/'2018'!Q180-1</f>
        <v>-0.139335930523289</v>
      </c>
      <c r="X180" s="417">
        <f>R180/'2018'!R180-1</f>
        <v>-0.152343954885916</v>
      </c>
      <c r="Y180" s="424">
        <f>S180/'2018'!S180-1</f>
        <v>-0.144476428057541</v>
      </c>
      <c r="Z180" s="425"/>
      <c r="AA180" s="426">
        <f t="shared" si="54"/>
        <v>955.605918</v>
      </c>
      <c r="AB180" s="427"/>
      <c r="AC180" s="401"/>
      <c r="AD180" s="427">
        <f t="shared" si="56"/>
        <v>9786714.57</v>
      </c>
      <c r="AE180" s="329">
        <f t="shared" si="67"/>
        <v>76209.22</v>
      </c>
      <c r="AF180" s="329">
        <f t="shared" si="67"/>
        <v>43161.64</v>
      </c>
      <c r="AG180" s="401">
        <f t="shared" si="58"/>
        <v>111284.530000001</v>
      </c>
      <c r="AH180" s="439"/>
      <c r="AI180" s="400"/>
      <c r="AJ180" s="400"/>
      <c r="AK180" s="400"/>
      <c r="AL180" s="400"/>
      <c r="AM180" s="400"/>
      <c r="AN180" s="400"/>
      <c r="AO180" s="400"/>
      <c r="AP180" s="400"/>
      <c r="AQ180" s="400"/>
      <c r="AR180" s="400"/>
      <c r="AS180" s="400"/>
      <c r="AT180" s="400"/>
      <c r="AU180" s="400"/>
      <c r="AV180" s="400"/>
      <c r="AW180" s="400"/>
      <c r="AX180" s="400"/>
      <c r="AY180" s="400"/>
      <c r="AZ180" s="400"/>
      <c r="BA180" s="400"/>
      <c r="BB180" s="400"/>
      <c r="BC180" s="400"/>
    </row>
    <row r="181" s="366" customFormat="1" ht="15" customHeight="1" spans="1:55">
      <c r="A181" s="395">
        <v>42911</v>
      </c>
      <c r="B181" s="443" t="s">
        <v>34</v>
      </c>
      <c r="C181" s="377"/>
      <c r="D181" s="329"/>
      <c r="E181" s="329"/>
      <c r="F181" s="378"/>
      <c r="G181" s="329"/>
      <c r="H181" s="376"/>
      <c r="I181" s="376"/>
      <c r="J181" s="399">
        <f t="shared" si="53"/>
        <v>0</v>
      </c>
      <c r="K181" s="329"/>
      <c r="L181" s="329"/>
      <c r="M181" s="401">
        <f t="shared" si="55"/>
        <v>0</v>
      </c>
      <c r="N181" s="396">
        <f t="shared" si="68"/>
        <v>0</v>
      </c>
      <c r="O181" s="368">
        <f t="shared" si="68"/>
        <v>0</v>
      </c>
      <c r="P181" s="398">
        <f t="shared" si="68"/>
        <v>0</v>
      </c>
      <c r="Q181" s="414">
        <f t="shared" si="66"/>
        <v>9556059.18</v>
      </c>
      <c r="R181" s="402">
        <f t="shared" si="66"/>
        <v>4767488</v>
      </c>
      <c r="S181" s="415">
        <f t="shared" si="66"/>
        <v>14554202.57</v>
      </c>
      <c r="T181" s="416">
        <f>N181/'2018'!N181-1</f>
        <v>-1</v>
      </c>
      <c r="U181" s="417">
        <f>O181/'2018'!O181-1</f>
        <v>-1</v>
      </c>
      <c r="V181" s="417">
        <f>P181/'2018'!P181-1</f>
        <v>-1</v>
      </c>
      <c r="W181" s="417">
        <f>Q181/'2018'!Q181-1</f>
        <v>-0.145204797044475</v>
      </c>
      <c r="X181" s="417">
        <f>R181/'2018'!R181-1</f>
        <v>-0.158355000487246</v>
      </c>
      <c r="Y181" s="424">
        <f>S181/'2018'!S181-1</f>
        <v>-0.150368646054696</v>
      </c>
      <c r="Z181" s="425"/>
      <c r="AA181" s="426">
        <f t="shared" si="54"/>
        <v>955.605918</v>
      </c>
      <c r="AB181" s="427"/>
      <c r="AC181" s="401"/>
      <c r="AD181" s="427">
        <f t="shared" si="56"/>
        <v>9786714.57</v>
      </c>
      <c r="AE181" s="329">
        <f t="shared" si="67"/>
        <v>76209.22</v>
      </c>
      <c r="AF181" s="329">
        <f t="shared" si="67"/>
        <v>43161.64</v>
      </c>
      <c r="AG181" s="401">
        <f t="shared" si="58"/>
        <v>111284.530000001</v>
      </c>
      <c r="AH181" s="439"/>
      <c r="AI181" s="400"/>
      <c r="AJ181" s="400"/>
      <c r="AK181" s="400"/>
      <c r="AL181" s="400"/>
      <c r="AM181" s="400"/>
      <c r="AN181" s="400"/>
      <c r="AO181" s="400"/>
      <c r="AP181" s="400"/>
      <c r="AQ181" s="400"/>
      <c r="AR181" s="400"/>
      <c r="AS181" s="400"/>
      <c r="AT181" s="400"/>
      <c r="AU181" s="400"/>
      <c r="AV181" s="400"/>
      <c r="AW181" s="400"/>
      <c r="AX181" s="400"/>
      <c r="AY181" s="400"/>
      <c r="AZ181" s="400"/>
      <c r="BA181" s="400"/>
      <c r="BB181" s="400"/>
      <c r="BC181" s="400"/>
    </row>
    <row r="182" s="366" customFormat="1" ht="15" customHeight="1" spans="1:55">
      <c r="A182" s="395">
        <v>42912</v>
      </c>
      <c r="B182" s="443" t="s">
        <v>35</v>
      </c>
      <c r="C182" s="377"/>
      <c r="D182" s="329"/>
      <c r="E182" s="329"/>
      <c r="F182" s="378"/>
      <c r="G182" s="329"/>
      <c r="H182" s="376"/>
      <c r="I182" s="376"/>
      <c r="J182" s="399">
        <f t="shared" si="53"/>
        <v>0</v>
      </c>
      <c r="K182" s="329"/>
      <c r="L182" s="329"/>
      <c r="M182" s="401">
        <f t="shared" si="55"/>
        <v>0</v>
      </c>
      <c r="N182" s="396">
        <f t="shared" si="68"/>
        <v>0</v>
      </c>
      <c r="O182" s="368">
        <f t="shared" si="68"/>
        <v>0</v>
      </c>
      <c r="P182" s="398">
        <f t="shared" si="68"/>
        <v>0</v>
      </c>
      <c r="Q182" s="414">
        <f t="shared" si="66"/>
        <v>9556059.18</v>
      </c>
      <c r="R182" s="402">
        <f t="shared" si="66"/>
        <v>4767488</v>
      </c>
      <c r="S182" s="415">
        <f t="shared" si="66"/>
        <v>14554202.57</v>
      </c>
      <c r="T182" s="416">
        <f>N182/'2018'!N182-1</f>
        <v>-1</v>
      </c>
      <c r="U182" s="417">
        <f>O182/'2018'!O182-1</f>
        <v>-1</v>
      </c>
      <c r="V182" s="417">
        <f>P182/'2018'!P182-1</f>
        <v>-1</v>
      </c>
      <c r="W182" s="417">
        <f>Q182/'2018'!Q182-1</f>
        <v>-0.151339795173522</v>
      </c>
      <c r="X182" s="417">
        <f>R182/'2018'!R182-1</f>
        <v>-0.165141327438262</v>
      </c>
      <c r="Y182" s="424">
        <f>S182/'2018'!S182-1</f>
        <v>-0.156687525179841</v>
      </c>
      <c r="Z182" s="425"/>
      <c r="AA182" s="426">
        <f t="shared" si="54"/>
        <v>955.605918</v>
      </c>
      <c r="AB182" s="427"/>
      <c r="AC182" s="401"/>
      <c r="AD182" s="427">
        <f t="shared" si="56"/>
        <v>9786714.57</v>
      </c>
      <c r="AE182" s="329">
        <f t="shared" si="67"/>
        <v>76209.22</v>
      </c>
      <c r="AF182" s="329">
        <f t="shared" si="67"/>
        <v>43161.64</v>
      </c>
      <c r="AG182" s="401">
        <f t="shared" si="58"/>
        <v>111284.530000001</v>
      </c>
      <c r="AH182" s="439"/>
      <c r="AI182" s="400"/>
      <c r="AJ182" s="400"/>
      <c r="AK182" s="400"/>
      <c r="AL182" s="400"/>
      <c r="AM182" s="400"/>
      <c r="AN182" s="400"/>
      <c r="AO182" s="400"/>
      <c r="AP182" s="400"/>
      <c r="AQ182" s="400"/>
      <c r="AR182" s="400"/>
      <c r="AS182" s="400"/>
      <c r="AT182" s="400"/>
      <c r="AU182" s="400"/>
      <c r="AV182" s="400"/>
      <c r="AW182" s="400"/>
      <c r="AX182" s="400"/>
      <c r="AY182" s="400"/>
      <c r="AZ182" s="400"/>
      <c r="BA182" s="400"/>
      <c r="BB182" s="400"/>
      <c r="BC182" s="400"/>
    </row>
    <row r="183" s="366" customFormat="1" ht="15" customHeight="1" spans="1:55">
      <c r="A183" s="395">
        <v>42913</v>
      </c>
      <c r="B183" s="191" t="s">
        <v>36</v>
      </c>
      <c r="C183" s="377"/>
      <c r="D183" s="329"/>
      <c r="E183" s="329"/>
      <c r="F183" s="378"/>
      <c r="G183" s="329"/>
      <c r="H183" s="376"/>
      <c r="I183" s="376"/>
      <c r="J183" s="399">
        <f t="shared" si="53"/>
        <v>0</v>
      </c>
      <c r="K183" s="329"/>
      <c r="L183" s="329"/>
      <c r="M183" s="401">
        <f t="shared" si="55"/>
        <v>0</v>
      </c>
      <c r="N183" s="396">
        <f t="shared" si="68"/>
        <v>0</v>
      </c>
      <c r="O183" s="368">
        <f t="shared" si="68"/>
        <v>0</v>
      </c>
      <c r="P183" s="398">
        <f t="shared" si="68"/>
        <v>0</v>
      </c>
      <c r="Q183" s="414">
        <f t="shared" si="66"/>
        <v>9556059.18</v>
      </c>
      <c r="R183" s="402">
        <f t="shared" si="66"/>
        <v>4767488</v>
      </c>
      <c r="S183" s="415">
        <f t="shared" si="66"/>
        <v>14554202.57</v>
      </c>
      <c r="T183" s="416">
        <f>N183/'2018'!N183-1</f>
        <v>-1</v>
      </c>
      <c r="U183" s="417">
        <f>O183/'2018'!O183-1</f>
        <v>-1</v>
      </c>
      <c r="V183" s="417">
        <f>P183/'2018'!P183-1</f>
        <v>-1</v>
      </c>
      <c r="W183" s="417">
        <f>Q183/'2018'!Q183-1</f>
        <v>-0.157569645016663</v>
      </c>
      <c r="X183" s="417">
        <f>R183/'2018'!R183-1</f>
        <v>-0.172332377570854</v>
      </c>
      <c r="Y183" s="424">
        <f>S183/'2018'!S183-1</f>
        <v>-0.163214533197178</v>
      </c>
      <c r="Z183" s="425"/>
      <c r="AA183" s="426">
        <f t="shared" si="54"/>
        <v>955.605918</v>
      </c>
      <c r="AB183" s="427"/>
      <c r="AC183" s="401"/>
      <c r="AD183" s="427">
        <f t="shared" si="56"/>
        <v>9786714.57</v>
      </c>
      <c r="AE183" s="329">
        <f t="shared" ref="AE183:AF198" si="69">AE182+K183</f>
        <v>76209.22</v>
      </c>
      <c r="AF183" s="329">
        <f t="shared" si="69"/>
        <v>43161.64</v>
      </c>
      <c r="AG183" s="401">
        <f t="shared" si="58"/>
        <v>111284.530000001</v>
      </c>
      <c r="AH183" s="439"/>
      <c r="AI183" s="400"/>
      <c r="AJ183" s="400"/>
      <c r="AK183" s="400"/>
      <c r="AL183" s="400"/>
      <c r="AM183" s="400"/>
      <c r="AN183" s="400"/>
      <c r="AO183" s="400"/>
      <c r="AP183" s="400"/>
      <c r="AQ183" s="400"/>
      <c r="AR183" s="400"/>
      <c r="AS183" s="400"/>
      <c r="AT183" s="400"/>
      <c r="AU183" s="400"/>
      <c r="AV183" s="400"/>
      <c r="AW183" s="400"/>
      <c r="AX183" s="400"/>
      <c r="AY183" s="400"/>
      <c r="AZ183" s="400"/>
      <c r="BA183" s="400"/>
      <c r="BB183" s="400"/>
      <c r="BC183" s="400"/>
    </row>
    <row r="184" s="366" customFormat="1" ht="15" customHeight="1" spans="1:55">
      <c r="A184" s="395">
        <v>42914</v>
      </c>
      <c r="B184" s="443" t="s">
        <v>37</v>
      </c>
      <c r="C184" s="377"/>
      <c r="D184" s="329"/>
      <c r="E184" s="329"/>
      <c r="F184" s="378"/>
      <c r="G184" s="329"/>
      <c r="H184" s="376"/>
      <c r="I184" s="376"/>
      <c r="J184" s="399">
        <f t="shared" si="53"/>
        <v>0</v>
      </c>
      <c r="K184" s="329"/>
      <c r="L184" s="329"/>
      <c r="M184" s="401">
        <f t="shared" si="55"/>
        <v>0</v>
      </c>
      <c r="N184" s="396">
        <f t="shared" si="68"/>
        <v>0</v>
      </c>
      <c r="O184" s="368">
        <f t="shared" si="68"/>
        <v>0</v>
      </c>
      <c r="P184" s="398">
        <f t="shared" si="68"/>
        <v>0</v>
      </c>
      <c r="Q184" s="414">
        <f t="shared" si="66"/>
        <v>9556059.18</v>
      </c>
      <c r="R184" s="402">
        <f t="shared" si="66"/>
        <v>4767488</v>
      </c>
      <c r="S184" s="415">
        <f t="shared" si="66"/>
        <v>14554202.57</v>
      </c>
      <c r="T184" s="416">
        <f>N184/'2018'!N184-1</f>
        <v>-1</v>
      </c>
      <c r="U184" s="417">
        <f>O184/'2018'!O184-1</f>
        <v>-1</v>
      </c>
      <c r="V184" s="417">
        <f>P184/'2018'!P184-1</f>
        <v>-1</v>
      </c>
      <c r="W184" s="417">
        <f>Q184/'2018'!Q184-1</f>
        <v>-0.163913644825391</v>
      </c>
      <c r="X184" s="417">
        <f>R184/'2018'!R184-1</f>
        <v>-0.179459359169485</v>
      </c>
      <c r="Y184" s="424">
        <f>S184/'2018'!S184-1</f>
        <v>-0.169774904152563</v>
      </c>
      <c r="Z184" s="425"/>
      <c r="AA184" s="426">
        <f t="shared" si="54"/>
        <v>955.605918</v>
      </c>
      <c r="AB184" s="427"/>
      <c r="AC184" s="401"/>
      <c r="AD184" s="427">
        <f t="shared" si="56"/>
        <v>9786714.57</v>
      </c>
      <c r="AE184" s="329">
        <f t="shared" si="69"/>
        <v>76209.22</v>
      </c>
      <c r="AF184" s="329">
        <f t="shared" si="69"/>
        <v>43161.64</v>
      </c>
      <c r="AG184" s="401">
        <f t="shared" si="58"/>
        <v>111284.530000001</v>
      </c>
      <c r="AH184" s="439"/>
      <c r="AI184" s="400"/>
      <c r="AJ184" s="400"/>
      <c r="AK184" s="400"/>
      <c r="AL184" s="400"/>
      <c r="AM184" s="400"/>
      <c r="AN184" s="400"/>
      <c r="AO184" s="400"/>
      <c r="AP184" s="400"/>
      <c r="AQ184" s="400"/>
      <c r="AR184" s="400"/>
      <c r="AS184" s="400"/>
      <c r="AT184" s="400"/>
      <c r="AU184" s="400"/>
      <c r="AV184" s="400"/>
      <c r="AW184" s="400"/>
      <c r="AX184" s="400"/>
      <c r="AY184" s="400"/>
      <c r="AZ184" s="400"/>
      <c r="BA184" s="400"/>
      <c r="BB184" s="400"/>
      <c r="BC184" s="400"/>
    </row>
    <row r="185" s="366" customFormat="1" ht="15" customHeight="1" spans="1:55">
      <c r="A185" s="395">
        <v>42915</v>
      </c>
      <c r="B185" s="443" t="s">
        <v>38</v>
      </c>
      <c r="C185" s="377"/>
      <c r="D185" s="329"/>
      <c r="E185" s="329"/>
      <c r="F185" s="378"/>
      <c r="G185" s="329"/>
      <c r="H185" s="376"/>
      <c r="I185" s="376"/>
      <c r="J185" s="399">
        <f t="shared" si="53"/>
        <v>0</v>
      </c>
      <c r="K185" s="329"/>
      <c r="L185" s="329"/>
      <c r="M185" s="401">
        <f t="shared" si="55"/>
        <v>0</v>
      </c>
      <c r="N185" s="396">
        <f t="shared" si="68"/>
        <v>0</v>
      </c>
      <c r="O185" s="368">
        <f t="shared" si="68"/>
        <v>0</v>
      </c>
      <c r="P185" s="398">
        <f t="shared" si="68"/>
        <v>0</v>
      </c>
      <c r="Q185" s="414">
        <f t="shared" si="66"/>
        <v>9556059.18</v>
      </c>
      <c r="R185" s="402">
        <f t="shared" si="66"/>
        <v>4767488</v>
      </c>
      <c r="S185" s="415">
        <f t="shared" si="66"/>
        <v>14554202.57</v>
      </c>
      <c r="T185" s="416">
        <f>N185/'2018'!N185-1</f>
        <v>-1</v>
      </c>
      <c r="U185" s="417">
        <f>O185/'2018'!O185-1</f>
        <v>-1</v>
      </c>
      <c r="V185" s="417">
        <f>P185/'2018'!P185-1</f>
        <v>-1</v>
      </c>
      <c r="W185" s="417">
        <f>Q185/'2018'!Q185-1</f>
        <v>-0.169642340112117</v>
      </c>
      <c r="X185" s="417">
        <f>R185/'2018'!R185-1</f>
        <v>-0.186264693783849</v>
      </c>
      <c r="Y185" s="424">
        <f>S185/'2018'!S185-1</f>
        <v>-0.175814629148669</v>
      </c>
      <c r="Z185" s="425"/>
      <c r="AA185" s="426">
        <f t="shared" si="54"/>
        <v>955.605918</v>
      </c>
      <c r="AB185" s="427"/>
      <c r="AC185" s="401"/>
      <c r="AD185" s="427">
        <f t="shared" si="56"/>
        <v>9786714.57</v>
      </c>
      <c r="AE185" s="329">
        <f t="shared" si="69"/>
        <v>76209.22</v>
      </c>
      <c r="AF185" s="329">
        <f t="shared" si="69"/>
        <v>43161.64</v>
      </c>
      <c r="AG185" s="401">
        <f t="shared" si="58"/>
        <v>111284.530000001</v>
      </c>
      <c r="AH185" s="439"/>
      <c r="AI185" s="400"/>
      <c r="AJ185" s="400"/>
      <c r="AK185" s="400"/>
      <c r="AL185" s="400"/>
      <c r="AM185" s="400"/>
      <c r="AN185" s="400"/>
      <c r="AO185" s="400"/>
      <c r="AP185" s="400"/>
      <c r="AQ185" s="400"/>
      <c r="AR185" s="400"/>
      <c r="AS185" s="400"/>
      <c r="AT185" s="400"/>
      <c r="AU185" s="400"/>
      <c r="AV185" s="400"/>
      <c r="AW185" s="400"/>
      <c r="AX185" s="400"/>
      <c r="AY185" s="400"/>
      <c r="AZ185" s="400"/>
      <c r="BA185" s="400"/>
      <c r="BB185" s="400"/>
      <c r="BC185" s="400"/>
    </row>
    <row r="186" s="366" customFormat="1" ht="15" customHeight="1" spans="1:55">
      <c r="A186" s="385">
        <v>42916</v>
      </c>
      <c r="B186" s="386" t="s">
        <v>1</v>
      </c>
      <c r="C186" s="391"/>
      <c r="D186" s="392"/>
      <c r="E186" s="392"/>
      <c r="F186" s="394"/>
      <c r="G186" s="392"/>
      <c r="H186" s="389"/>
      <c r="I186" s="389"/>
      <c r="J186" s="405">
        <f t="shared" si="53"/>
        <v>0</v>
      </c>
      <c r="K186" s="392"/>
      <c r="L186" s="392"/>
      <c r="M186" s="406">
        <f t="shared" si="55"/>
        <v>0</v>
      </c>
      <c r="N186" s="407">
        <f t="shared" ref="N186" si="70">N185+C186</f>
        <v>0</v>
      </c>
      <c r="O186" s="411">
        <f t="shared" ref="O186" si="71">O185+D186</f>
        <v>0</v>
      </c>
      <c r="P186" s="412">
        <f t="shared" ref="P186" si="72">P185+E186</f>
        <v>0</v>
      </c>
      <c r="Q186" s="418">
        <f>[5]表2、统调口径电量!$I$10</f>
        <v>11578322</v>
      </c>
      <c r="R186" s="408">
        <f>[5]表2、统调口径电量!$I$14</f>
        <v>5905291</v>
      </c>
      <c r="S186" s="419">
        <f>[5]表2、统调口径电量!$I$3</f>
        <v>17776680.74</v>
      </c>
      <c r="T186" s="420">
        <f>N186/'2018'!N186-1</f>
        <v>-1</v>
      </c>
      <c r="U186" s="421">
        <f>O186/'2018'!O186-1</f>
        <v>-1</v>
      </c>
      <c r="V186" s="421">
        <f>P186/'2018'!P186-1</f>
        <v>-1</v>
      </c>
      <c r="W186" s="421">
        <f>Q186/'2018'!Q186-1</f>
        <v>0</v>
      </c>
      <c r="X186" s="421">
        <f>R186/'2018'!R186-1</f>
        <v>0</v>
      </c>
      <c r="Y186" s="431">
        <f>S186/'2018'!S186-1</f>
        <v>0</v>
      </c>
      <c r="Z186" s="432"/>
      <c r="AA186" s="433">
        <f t="shared" si="54"/>
        <v>1157.8322</v>
      </c>
      <c r="AB186" s="435"/>
      <c r="AC186" s="406"/>
      <c r="AD186" s="435">
        <f t="shared" si="56"/>
        <v>11871389.74</v>
      </c>
      <c r="AE186" s="392">
        <f t="shared" si="69"/>
        <v>76209.22</v>
      </c>
      <c r="AF186" s="392">
        <f t="shared" si="69"/>
        <v>43161.64</v>
      </c>
      <c r="AG186" s="406">
        <f t="shared" si="58"/>
        <v>173696.879999998</v>
      </c>
      <c r="AH186" s="439"/>
      <c r="AI186" s="400"/>
      <c r="AJ186" s="400"/>
      <c r="AK186" s="400"/>
      <c r="AL186" s="400"/>
      <c r="AM186" s="400"/>
      <c r="AN186" s="400"/>
      <c r="AO186" s="400"/>
      <c r="AP186" s="400"/>
      <c r="AQ186" s="400"/>
      <c r="AR186" s="400"/>
      <c r="AS186" s="400"/>
      <c r="AT186" s="400"/>
      <c r="AU186" s="400"/>
      <c r="AV186" s="400"/>
      <c r="AW186" s="400"/>
      <c r="AX186" s="400"/>
      <c r="AY186" s="400"/>
      <c r="AZ186" s="400"/>
      <c r="BA186" s="400"/>
      <c r="BB186" s="400"/>
      <c r="BC186" s="400"/>
    </row>
    <row r="187" s="366" customFormat="1" ht="15" customHeight="1" spans="1:55">
      <c r="A187" s="395">
        <v>42917</v>
      </c>
      <c r="B187" s="443" t="s">
        <v>39</v>
      </c>
      <c r="C187" s="377"/>
      <c r="D187" s="329"/>
      <c r="E187" s="329"/>
      <c r="F187" s="378"/>
      <c r="G187" s="329"/>
      <c r="H187" s="376"/>
      <c r="I187" s="376"/>
      <c r="J187" s="399">
        <f t="shared" si="53"/>
        <v>0</v>
      </c>
      <c r="K187" s="329"/>
      <c r="L187" s="329"/>
      <c r="M187" s="401">
        <f t="shared" si="55"/>
        <v>0</v>
      </c>
      <c r="N187" s="396">
        <f>C187</f>
        <v>0</v>
      </c>
      <c r="O187" s="368">
        <f>D187</f>
        <v>0</v>
      </c>
      <c r="P187" s="398">
        <f>E187</f>
        <v>0</v>
      </c>
      <c r="Q187" s="414">
        <f t="shared" ref="Q187:S202" si="73">Q$186+N187</f>
        <v>11578322</v>
      </c>
      <c r="R187" s="402">
        <f t="shared" si="73"/>
        <v>5905291</v>
      </c>
      <c r="S187" s="415">
        <f t="shared" si="73"/>
        <v>17776680.74</v>
      </c>
      <c r="T187" s="416">
        <f>N187/'2018'!N187-1</f>
        <v>-1</v>
      </c>
      <c r="U187" s="417">
        <f>O187/'2018'!O187-1</f>
        <v>-1</v>
      </c>
      <c r="V187" s="417">
        <f>P187/'2018'!P187-1</f>
        <v>-1</v>
      </c>
      <c r="W187" s="417">
        <f>Q187/'2018'!Q187-1</f>
        <v>-0.00470760725056107</v>
      </c>
      <c r="X187" s="417">
        <f>R187/'2018'!R187-1</f>
        <v>-0.00859533191448858</v>
      </c>
      <c r="Y187" s="424">
        <f>S187/'2018'!S187-1</f>
        <v>-0.00597549353492954</v>
      </c>
      <c r="Z187" s="425"/>
      <c r="AA187" s="426">
        <f t="shared" si="54"/>
        <v>1157.8322</v>
      </c>
      <c r="AB187" s="427"/>
      <c r="AC187" s="401"/>
      <c r="AD187" s="427">
        <f t="shared" si="56"/>
        <v>11871389.74</v>
      </c>
      <c r="AE187" s="329">
        <f t="shared" si="69"/>
        <v>76209.22</v>
      </c>
      <c r="AF187" s="329">
        <f t="shared" si="69"/>
        <v>43161.64</v>
      </c>
      <c r="AG187" s="401">
        <f t="shared" si="58"/>
        <v>173696.879999998</v>
      </c>
      <c r="AH187" s="439"/>
      <c r="AI187" s="400"/>
      <c r="AJ187" s="400"/>
      <c r="AK187" s="400"/>
      <c r="AL187" s="400"/>
      <c r="AM187" s="400"/>
      <c r="AN187" s="400"/>
      <c r="AO187" s="400"/>
      <c r="AP187" s="400"/>
      <c r="AQ187" s="400"/>
      <c r="AR187" s="400"/>
      <c r="AS187" s="400"/>
      <c r="AT187" s="400"/>
      <c r="AU187" s="400"/>
      <c r="AV187" s="400"/>
      <c r="AW187" s="400"/>
      <c r="AX187" s="400"/>
      <c r="AY187" s="400"/>
      <c r="AZ187" s="400"/>
      <c r="BA187" s="400"/>
      <c r="BB187" s="400"/>
      <c r="BC187" s="400"/>
    </row>
    <row r="188" s="366" customFormat="1" ht="15" customHeight="1" spans="1:55">
      <c r="A188" s="395">
        <v>42918</v>
      </c>
      <c r="B188" s="443" t="s">
        <v>34</v>
      </c>
      <c r="C188" s="377"/>
      <c r="D188" s="329"/>
      <c r="E188" s="329"/>
      <c r="F188" s="378"/>
      <c r="G188" s="329"/>
      <c r="H188" s="376"/>
      <c r="I188" s="376"/>
      <c r="J188" s="399">
        <f t="shared" si="53"/>
        <v>0</v>
      </c>
      <c r="K188" s="329"/>
      <c r="L188" s="329"/>
      <c r="M188" s="401">
        <f t="shared" si="55"/>
        <v>0</v>
      </c>
      <c r="N188" s="396">
        <f t="shared" ref="N188:P203" si="74">C188+N187</f>
        <v>0</v>
      </c>
      <c r="O188" s="368">
        <f t="shared" si="74"/>
        <v>0</v>
      </c>
      <c r="P188" s="398">
        <f t="shared" si="74"/>
        <v>0</v>
      </c>
      <c r="Q188" s="414">
        <f t="shared" si="73"/>
        <v>11578322</v>
      </c>
      <c r="R188" s="402">
        <f t="shared" si="73"/>
        <v>5905291</v>
      </c>
      <c r="S188" s="415">
        <f t="shared" si="73"/>
        <v>17776680.74</v>
      </c>
      <c r="T188" s="416">
        <f>N188/'2018'!N188-1</f>
        <v>-1</v>
      </c>
      <c r="U188" s="417">
        <f>O188/'2018'!O188-1</f>
        <v>-1</v>
      </c>
      <c r="V188" s="417">
        <f>P188/'2018'!P188-1</f>
        <v>-1</v>
      </c>
      <c r="W188" s="417">
        <f>Q188/'2018'!Q188-1</f>
        <v>-0.010697718968895</v>
      </c>
      <c r="X188" s="417">
        <f>R188/'2018'!R188-1</f>
        <v>-0.0166729415549522</v>
      </c>
      <c r="Y188" s="424">
        <f>S188/'2018'!S188-1</f>
        <v>-0.0126325538775024</v>
      </c>
      <c r="Z188" s="425"/>
      <c r="AA188" s="426">
        <f t="shared" si="54"/>
        <v>1157.8322</v>
      </c>
      <c r="AB188" s="427"/>
      <c r="AC188" s="401"/>
      <c r="AD188" s="427">
        <f t="shared" si="56"/>
        <v>11871389.74</v>
      </c>
      <c r="AE188" s="329">
        <f t="shared" si="69"/>
        <v>76209.22</v>
      </c>
      <c r="AF188" s="329">
        <f t="shared" si="69"/>
        <v>43161.64</v>
      </c>
      <c r="AG188" s="401">
        <f t="shared" si="58"/>
        <v>173696.879999998</v>
      </c>
      <c r="AH188" s="439"/>
      <c r="AI188" s="400"/>
      <c r="AJ188" s="400"/>
      <c r="AK188" s="400"/>
      <c r="AL188" s="400"/>
      <c r="AM188" s="400"/>
      <c r="AN188" s="400"/>
      <c r="AO188" s="400"/>
      <c r="AP188" s="400"/>
      <c r="AQ188" s="400"/>
      <c r="AR188" s="400"/>
      <c r="AS188" s="400"/>
      <c r="AT188" s="400"/>
      <c r="AU188" s="400"/>
      <c r="AV188" s="400"/>
      <c r="AW188" s="400"/>
      <c r="AX188" s="400"/>
      <c r="AY188" s="400"/>
      <c r="AZ188" s="400"/>
      <c r="BA188" s="400"/>
      <c r="BB188" s="400"/>
      <c r="BC188" s="400"/>
    </row>
    <row r="189" s="366" customFormat="1" ht="15" customHeight="1" spans="1:55">
      <c r="A189" s="395">
        <v>42919</v>
      </c>
      <c r="B189" s="443" t="s">
        <v>35</v>
      </c>
      <c r="C189" s="377"/>
      <c r="D189" s="329"/>
      <c r="E189" s="329"/>
      <c r="F189" s="378"/>
      <c r="G189" s="329"/>
      <c r="H189" s="376"/>
      <c r="I189" s="376"/>
      <c r="J189" s="399">
        <f t="shared" si="53"/>
        <v>0</v>
      </c>
      <c r="K189" s="329"/>
      <c r="L189" s="329"/>
      <c r="M189" s="401">
        <f t="shared" si="55"/>
        <v>0</v>
      </c>
      <c r="N189" s="396">
        <f t="shared" si="74"/>
        <v>0</v>
      </c>
      <c r="O189" s="368">
        <f t="shared" si="74"/>
        <v>0</v>
      </c>
      <c r="P189" s="398">
        <f t="shared" si="74"/>
        <v>0</v>
      </c>
      <c r="Q189" s="414">
        <f t="shared" si="73"/>
        <v>11578322</v>
      </c>
      <c r="R189" s="402">
        <f t="shared" si="73"/>
        <v>5905291</v>
      </c>
      <c r="S189" s="415">
        <f t="shared" si="73"/>
        <v>17776680.74</v>
      </c>
      <c r="T189" s="416">
        <f>N189/'2018'!N189-1</f>
        <v>-1</v>
      </c>
      <c r="U189" s="417">
        <f>O189/'2018'!O189-1</f>
        <v>-1</v>
      </c>
      <c r="V189" s="417">
        <f>P189/'2018'!P189-1</f>
        <v>-1</v>
      </c>
      <c r="W189" s="417">
        <f>Q189/'2018'!Q189-1</f>
        <v>-0.0167238077088646</v>
      </c>
      <c r="X189" s="417">
        <f>R189/'2018'!R189-1</f>
        <v>-0.0249282437040795</v>
      </c>
      <c r="Y189" s="424">
        <f>S189/'2018'!S189-1</f>
        <v>-0.0193608141770309</v>
      </c>
      <c r="Z189" s="425"/>
      <c r="AA189" s="426">
        <f t="shared" si="54"/>
        <v>1157.8322</v>
      </c>
      <c r="AB189" s="427"/>
      <c r="AC189" s="401"/>
      <c r="AD189" s="427">
        <f t="shared" si="56"/>
        <v>11871389.74</v>
      </c>
      <c r="AE189" s="329">
        <f t="shared" si="69"/>
        <v>76209.22</v>
      </c>
      <c r="AF189" s="329">
        <f t="shared" si="69"/>
        <v>43161.64</v>
      </c>
      <c r="AG189" s="401">
        <f t="shared" si="58"/>
        <v>173696.879999998</v>
      </c>
      <c r="AH189" s="439"/>
      <c r="AI189" s="400"/>
      <c r="AJ189" s="400"/>
      <c r="AK189" s="400"/>
      <c r="AL189" s="400"/>
      <c r="AM189" s="400"/>
      <c r="AN189" s="400"/>
      <c r="AO189" s="400"/>
      <c r="AP189" s="400"/>
      <c r="AQ189" s="400"/>
      <c r="AR189" s="400"/>
      <c r="AS189" s="400"/>
      <c r="AT189" s="400"/>
      <c r="AU189" s="400"/>
      <c r="AV189" s="400"/>
      <c r="AW189" s="400"/>
      <c r="AX189" s="400"/>
      <c r="AY189" s="400"/>
      <c r="AZ189" s="400"/>
      <c r="BA189" s="400"/>
      <c r="BB189" s="400"/>
      <c r="BC189" s="400"/>
    </row>
    <row r="190" s="366" customFormat="1" ht="15" customHeight="1" spans="1:55">
      <c r="A190" s="395">
        <v>42920</v>
      </c>
      <c r="B190" s="191" t="s">
        <v>36</v>
      </c>
      <c r="C190" s="377"/>
      <c r="D190" s="329"/>
      <c r="E190" s="329"/>
      <c r="F190" s="378"/>
      <c r="G190" s="329"/>
      <c r="H190" s="376"/>
      <c r="I190" s="376"/>
      <c r="J190" s="399">
        <f t="shared" si="53"/>
        <v>0</v>
      </c>
      <c r="K190" s="329"/>
      <c r="L190" s="329"/>
      <c r="M190" s="401">
        <f t="shared" si="55"/>
        <v>0</v>
      </c>
      <c r="N190" s="396">
        <f t="shared" si="74"/>
        <v>0</v>
      </c>
      <c r="O190" s="368">
        <f t="shared" si="74"/>
        <v>0</v>
      </c>
      <c r="P190" s="398">
        <f t="shared" si="74"/>
        <v>0</v>
      </c>
      <c r="Q190" s="414">
        <f t="shared" si="73"/>
        <v>11578322</v>
      </c>
      <c r="R190" s="402">
        <f t="shared" si="73"/>
        <v>5905291</v>
      </c>
      <c r="S190" s="415">
        <f t="shared" si="73"/>
        <v>17776680.74</v>
      </c>
      <c r="T190" s="416">
        <f>N190/'2018'!N190-1</f>
        <v>-1</v>
      </c>
      <c r="U190" s="417">
        <f>O190/'2018'!O190-1</f>
        <v>-1</v>
      </c>
      <c r="V190" s="417">
        <f>P190/'2018'!P190-1</f>
        <v>-1</v>
      </c>
      <c r="W190" s="417">
        <f>Q190/'2018'!Q190-1</f>
        <v>-0.0230709330510009</v>
      </c>
      <c r="X190" s="417">
        <f>R190/'2018'!R190-1</f>
        <v>-0.0324573667326901</v>
      </c>
      <c r="Y190" s="424">
        <f>S190/'2018'!S190-1</f>
        <v>-0.0260913802463857</v>
      </c>
      <c r="Z190" s="425"/>
      <c r="AA190" s="426">
        <f t="shared" si="54"/>
        <v>1157.8322</v>
      </c>
      <c r="AB190" s="427"/>
      <c r="AC190" s="401"/>
      <c r="AD190" s="427">
        <f t="shared" si="56"/>
        <v>11871389.74</v>
      </c>
      <c r="AE190" s="329">
        <f t="shared" si="69"/>
        <v>76209.22</v>
      </c>
      <c r="AF190" s="329">
        <f t="shared" si="69"/>
        <v>43161.64</v>
      </c>
      <c r="AG190" s="401">
        <f t="shared" si="58"/>
        <v>173696.879999998</v>
      </c>
      <c r="AH190" s="439"/>
      <c r="AI190" s="400"/>
      <c r="AJ190" s="400"/>
      <c r="AK190" s="400"/>
      <c r="AL190" s="400"/>
      <c r="AM190" s="400"/>
      <c r="AN190" s="400"/>
      <c r="AO190" s="400"/>
      <c r="AP190" s="400"/>
      <c r="AQ190" s="400"/>
      <c r="AR190" s="400"/>
      <c r="AS190" s="400"/>
      <c r="AT190" s="400"/>
      <c r="AU190" s="400"/>
      <c r="AV190" s="400"/>
      <c r="AW190" s="400"/>
      <c r="AX190" s="400"/>
      <c r="AY190" s="400"/>
      <c r="AZ190" s="400"/>
      <c r="BA190" s="400"/>
      <c r="BB190" s="400"/>
      <c r="BC190" s="400"/>
    </row>
    <row r="191" s="366" customFormat="1" ht="15" customHeight="1" spans="1:55">
      <c r="A191" s="395">
        <v>42921</v>
      </c>
      <c r="B191" s="443" t="s">
        <v>37</v>
      </c>
      <c r="C191" s="377"/>
      <c r="D191" s="329"/>
      <c r="E191" s="329"/>
      <c r="F191" s="378"/>
      <c r="G191" s="329"/>
      <c r="H191" s="376"/>
      <c r="I191" s="376"/>
      <c r="J191" s="399">
        <f t="shared" si="53"/>
        <v>0</v>
      </c>
      <c r="K191" s="329"/>
      <c r="L191" s="329"/>
      <c r="M191" s="401">
        <f t="shared" si="55"/>
        <v>0</v>
      </c>
      <c r="N191" s="396">
        <f t="shared" si="74"/>
        <v>0</v>
      </c>
      <c r="O191" s="368">
        <f t="shared" si="74"/>
        <v>0</v>
      </c>
      <c r="P191" s="398">
        <f t="shared" si="74"/>
        <v>0</v>
      </c>
      <c r="Q191" s="414">
        <f t="shared" si="73"/>
        <v>11578322</v>
      </c>
      <c r="R191" s="402">
        <f t="shared" si="73"/>
        <v>5905291</v>
      </c>
      <c r="S191" s="415">
        <f t="shared" si="73"/>
        <v>17776680.74</v>
      </c>
      <c r="T191" s="416">
        <f>N191/'2018'!N191-1</f>
        <v>-1</v>
      </c>
      <c r="U191" s="417">
        <f>O191/'2018'!O191-1</f>
        <v>-1</v>
      </c>
      <c r="V191" s="417">
        <f>P191/'2018'!P191-1</f>
        <v>-1</v>
      </c>
      <c r="W191" s="417">
        <f>Q191/'2018'!Q191-1</f>
        <v>-0.0293374553067935</v>
      </c>
      <c r="X191" s="417">
        <f>R191/'2018'!R191-1</f>
        <v>-0.039750890646106</v>
      </c>
      <c r="Y191" s="424">
        <f>S191/'2018'!S191-1</f>
        <v>-0.032670603955024</v>
      </c>
      <c r="Z191" s="425"/>
      <c r="AA191" s="426">
        <f t="shared" si="54"/>
        <v>1157.8322</v>
      </c>
      <c r="AB191" s="427"/>
      <c r="AC191" s="401"/>
      <c r="AD191" s="427">
        <f t="shared" si="56"/>
        <v>11871389.74</v>
      </c>
      <c r="AE191" s="329">
        <f t="shared" si="69"/>
        <v>76209.22</v>
      </c>
      <c r="AF191" s="329">
        <f t="shared" si="69"/>
        <v>43161.64</v>
      </c>
      <c r="AG191" s="401">
        <f t="shared" si="58"/>
        <v>173696.879999998</v>
      </c>
      <c r="AH191" s="439"/>
      <c r="AI191" s="400"/>
      <c r="AJ191" s="400"/>
      <c r="AK191" s="400"/>
      <c r="AL191" s="400"/>
      <c r="AM191" s="400"/>
      <c r="AN191" s="400"/>
      <c r="AO191" s="400"/>
      <c r="AP191" s="400"/>
      <c r="AQ191" s="400"/>
      <c r="AR191" s="400"/>
      <c r="AS191" s="400"/>
      <c r="AT191" s="400"/>
      <c r="AU191" s="400"/>
      <c r="AV191" s="400"/>
      <c r="AW191" s="400"/>
      <c r="AX191" s="400"/>
      <c r="AY191" s="400"/>
      <c r="AZ191" s="400"/>
      <c r="BA191" s="400"/>
      <c r="BB191" s="400"/>
      <c r="BC191" s="400"/>
    </row>
    <row r="192" s="366" customFormat="1" ht="15" customHeight="1" spans="1:55">
      <c r="A192" s="395">
        <v>42922</v>
      </c>
      <c r="B192" s="443" t="s">
        <v>38</v>
      </c>
      <c r="C192" s="377"/>
      <c r="D192" s="329"/>
      <c r="E192" s="329"/>
      <c r="F192" s="378"/>
      <c r="G192" s="329"/>
      <c r="H192" s="376"/>
      <c r="I192" s="376"/>
      <c r="J192" s="399">
        <f t="shared" si="53"/>
        <v>0</v>
      </c>
      <c r="K192" s="329"/>
      <c r="L192" s="329"/>
      <c r="M192" s="401">
        <f t="shared" si="55"/>
        <v>0</v>
      </c>
      <c r="N192" s="396">
        <f t="shared" si="74"/>
        <v>0</v>
      </c>
      <c r="O192" s="368">
        <f t="shared" si="74"/>
        <v>0</v>
      </c>
      <c r="P192" s="398">
        <f t="shared" si="74"/>
        <v>0</v>
      </c>
      <c r="Q192" s="414">
        <f t="shared" si="73"/>
        <v>11578322</v>
      </c>
      <c r="R192" s="402">
        <f t="shared" si="73"/>
        <v>5905291</v>
      </c>
      <c r="S192" s="415">
        <f t="shared" si="73"/>
        <v>17776680.74</v>
      </c>
      <c r="T192" s="416">
        <f>N192/'2018'!N192-1</f>
        <v>-1</v>
      </c>
      <c r="U192" s="417">
        <f>O192/'2018'!O192-1</f>
        <v>-1</v>
      </c>
      <c r="V192" s="417">
        <f>P192/'2018'!P192-1</f>
        <v>-1</v>
      </c>
      <c r="W192" s="417">
        <f>Q192/'2018'!Q192-1</f>
        <v>-0.0352007764842854</v>
      </c>
      <c r="X192" s="417">
        <f>R192/'2018'!R192-1</f>
        <v>-0.0471616416668509</v>
      </c>
      <c r="Y192" s="424">
        <f>S192/'2018'!S192-1</f>
        <v>-0.0390512643566938</v>
      </c>
      <c r="Z192" s="425"/>
      <c r="AA192" s="426">
        <f t="shared" si="54"/>
        <v>1157.8322</v>
      </c>
      <c r="AB192" s="427"/>
      <c r="AC192" s="401"/>
      <c r="AD192" s="427">
        <f t="shared" si="56"/>
        <v>11871389.74</v>
      </c>
      <c r="AE192" s="329">
        <f t="shared" si="69"/>
        <v>76209.22</v>
      </c>
      <c r="AF192" s="329">
        <f t="shared" si="69"/>
        <v>43161.64</v>
      </c>
      <c r="AG192" s="401">
        <f t="shared" si="58"/>
        <v>173696.879999998</v>
      </c>
      <c r="AH192" s="439"/>
      <c r="AI192" s="400"/>
      <c r="AJ192" s="400"/>
      <c r="AK192" s="400"/>
      <c r="AL192" s="400"/>
      <c r="AM192" s="400"/>
      <c r="AN192" s="400"/>
      <c r="AO192" s="400"/>
      <c r="AP192" s="400"/>
      <c r="AQ192" s="400"/>
      <c r="AR192" s="400"/>
      <c r="AS192" s="400"/>
      <c r="AT192" s="400"/>
      <c r="AU192" s="400"/>
      <c r="AV192" s="400"/>
      <c r="AW192" s="400"/>
      <c r="AX192" s="400"/>
      <c r="AY192" s="400"/>
      <c r="AZ192" s="400"/>
      <c r="BA192" s="400"/>
      <c r="BB192" s="400"/>
      <c r="BC192" s="400"/>
    </row>
    <row r="193" s="366" customFormat="1" ht="15" customHeight="1" spans="1:55">
      <c r="A193" s="395">
        <v>42923</v>
      </c>
      <c r="B193" s="443" t="s">
        <v>1</v>
      </c>
      <c r="C193" s="377"/>
      <c r="D193" s="329"/>
      <c r="E193" s="329"/>
      <c r="F193" s="378"/>
      <c r="G193" s="329"/>
      <c r="H193" s="376"/>
      <c r="I193" s="376"/>
      <c r="J193" s="399">
        <f t="shared" si="53"/>
        <v>0</v>
      </c>
      <c r="K193" s="329"/>
      <c r="L193" s="329"/>
      <c r="M193" s="401">
        <f t="shared" si="55"/>
        <v>0</v>
      </c>
      <c r="N193" s="396">
        <f t="shared" si="74"/>
        <v>0</v>
      </c>
      <c r="O193" s="368">
        <f t="shared" si="74"/>
        <v>0</v>
      </c>
      <c r="P193" s="398">
        <f t="shared" si="74"/>
        <v>0</v>
      </c>
      <c r="Q193" s="414">
        <f t="shared" si="73"/>
        <v>11578322</v>
      </c>
      <c r="R193" s="402">
        <f t="shared" si="73"/>
        <v>5905291</v>
      </c>
      <c r="S193" s="415">
        <f t="shared" si="73"/>
        <v>17776680.74</v>
      </c>
      <c r="T193" s="416">
        <f>N193/'2018'!N193-1</f>
        <v>-1</v>
      </c>
      <c r="U193" s="417">
        <f>O193/'2018'!O193-1</f>
        <v>-1</v>
      </c>
      <c r="V193" s="417">
        <f>P193/'2018'!P193-1</f>
        <v>-1</v>
      </c>
      <c r="W193" s="417">
        <f>Q193/'2018'!Q193-1</f>
        <v>-0.0406518480858354</v>
      </c>
      <c r="X193" s="417">
        <f>R193/'2018'!R193-1</f>
        <v>-0.0546108622660717</v>
      </c>
      <c r="Y193" s="424">
        <f>S193/'2018'!S193-1</f>
        <v>-0.0452624204188412</v>
      </c>
      <c r="Z193" s="425"/>
      <c r="AA193" s="426">
        <f t="shared" si="54"/>
        <v>1157.8322</v>
      </c>
      <c r="AB193" s="427"/>
      <c r="AC193" s="401"/>
      <c r="AD193" s="427">
        <f t="shared" si="56"/>
        <v>11871389.74</v>
      </c>
      <c r="AE193" s="329">
        <f t="shared" si="69"/>
        <v>76209.22</v>
      </c>
      <c r="AF193" s="329">
        <f t="shared" si="69"/>
        <v>43161.64</v>
      </c>
      <c r="AG193" s="401">
        <f t="shared" si="58"/>
        <v>173696.879999998</v>
      </c>
      <c r="AH193" s="439"/>
      <c r="AI193" s="400"/>
      <c r="AJ193" s="400"/>
      <c r="AK193" s="400"/>
      <c r="AL193" s="400"/>
      <c r="AM193" s="400"/>
      <c r="AN193" s="400"/>
      <c r="AO193" s="400"/>
      <c r="AP193" s="400"/>
      <c r="AQ193" s="400"/>
      <c r="AR193" s="400"/>
      <c r="AS193" s="400"/>
      <c r="AT193" s="400"/>
      <c r="AU193" s="400"/>
      <c r="AV193" s="400"/>
      <c r="AW193" s="400"/>
      <c r="AX193" s="400"/>
      <c r="AY193" s="400"/>
      <c r="AZ193" s="400"/>
      <c r="BA193" s="400"/>
      <c r="BB193" s="400"/>
      <c r="BC193" s="400"/>
    </row>
    <row r="194" s="366" customFormat="1" ht="15" customHeight="1" spans="1:55">
      <c r="A194" s="395">
        <v>42924</v>
      </c>
      <c r="B194" s="443" t="s">
        <v>39</v>
      </c>
      <c r="C194" s="377"/>
      <c r="D194" s="329"/>
      <c r="E194" s="329"/>
      <c r="F194" s="378"/>
      <c r="G194" s="329"/>
      <c r="H194" s="376"/>
      <c r="I194" s="376"/>
      <c r="J194" s="399">
        <f t="shared" si="53"/>
        <v>0</v>
      </c>
      <c r="K194" s="329"/>
      <c r="L194" s="329"/>
      <c r="M194" s="401">
        <f t="shared" si="55"/>
        <v>0</v>
      </c>
      <c r="N194" s="396">
        <f t="shared" si="74"/>
        <v>0</v>
      </c>
      <c r="O194" s="368">
        <f t="shared" si="74"/>
        <v>0</v>
      </c>
      <c r="P194" s="398">
        <f t="shared" si="74"/>
        <v>0</v>
      </c>
      <c r="Q194" s="414">
        <f t="shared" si="73"/>
        <v>11578322</v>
      </c>
      <c r="R194" s="402">
        <f t="shared" si="73"/>
        <v>5905291</v>
      </c>
      <c r="S194" s="415">
        <f t="shared" si="73"/>
        <v>17776680.74</v>
      </c>
      <c r="T194" s="416">
        <f>N194/'2018'!N194-1</f>
        <v>-1</v>
      </c>
      <c r="U194" s="417">
        <f>O194/'2018'!O194-1</f>
        <v>-1</v>
      </c>
      <c r="V194" s="417">
        <f>P194/'2018'!P194-1</f>
        <v>-1</v>
      </c>
      <c r="W194" s="417">
        <f>Q194/'2018'!Q194-1</f>
        <v>-0.0458328663444993</v>
      </c>
      <c r="X194" s="417">
        <f>R194/'2018'!R194-1</f>
        <v>-0.0619069594177597</v>
      </c>
      <c r="Y194" s="424">
        <f>S194/'2018'!S194-1</f>
        <v>-0.0512775621613096</v>
      </c>
      <c r="Z194" s="425"/>
      <c r="AA194" s="426">
        <f t="shared" si="54"/>
        <v>1157.8322</v>
      </c>
      <c r="AB194" s="427"/>
      <c r="AC194" s="401"/>
      <c r="AD194" s="427">
        <f t="shared" si="56"/>
        <v>11871389.74</v>
      </c>
      <c r="AE194" s="329">
        <f t="shared" si="69"/>
        <v>76209.22</v>
      </c>
      <c r="AF194" s="329">
        <f t="shared" si="69"/>
        <v>43161.64</v>
      </c>
      <c r="AG194" s="401">
        <f t="shared" si="58"/>
        <v>173696.879999998</v>
      </c>
      <c r="AH194" s="439"/>
      <c r="AI194" s="400"/>
      <c r="AJ194" s="400"/>
      <c r="AK194" s="400"/>
      <c r="AL194" s="400"/>
      <c r="AM194" s="400"/>
      <c r="AN194" s="400"/>
      <c r="AO194" s="400"/>
      <c r="AP194" s="400"/>
      <c r="AQ194" s="400"/>
      <c r="AR194" s="400"/>
      <c r="AS194" s="400"/>
      <c r="AT194" s="400"/>
      <c r="AU194" s="400"/>
      <c r="AV194" s="400"/>
      <c r="AW194" s="400"/>
      <c r="AX194" s="400"/>
      <c r="AY194" s="400"/>
      <c r="AZ194" s="400"/>
      <c r="BA194" s="400"/>
      <c r="BB194" s="400"/>
      <c r="BC194" s="400"/>
    </row>
    <row r="195" s="366" customFormat="1" ht="15" customHeight="1" spans="1:55">
      <c r="A195" s="395">
        <v>42925</v>
      </c>
      <c r="B195" s="443" t="s">
        <v>34</v>
      </c>
      <c r="C195" s="377"/>
      <c r="D195" s="329"/>
      <c r="E195" s="329"/>
      <c r="F195" s="378"/>
      <c r="G195" s="329"/>
      <c r="H195" s="376"/>
      <c r="I195" s="376"/>
      <c r="J195" s="399">
        <f t="shared" si="53"/>
        <v>0</v>
      </c>
      <c r="K195" s="329"/>
      <c r="L195" s="329"/>
      <c r="M195" s="401">
        <f t="shared" si="55"/>
        <v>0</v>
      </c>
      <c r="N195" s="396">
        <f t="shared" si="74"/>
        <v>0</v>
      </c>
      <c r="O195" s="368">
        <f t="shared" si="74"/>
        <v>0</v>
      </c>
      <c r="P195" s="398">
        <f t="shared" si="74"/>
        <v>0</v>
      </c>
      <c r="Q195" s="414">
        <f t="shared" si="73"/>
        <v>11578322</v>
      </c>
      <c r="R195" s="402">
        <f t="shared" si="73"/>
        <v>5905291</v>
      </c>
      <c r="S195" s="415">
        <f t="shared" si="73"/>
        <v>17776680.74</v>
      </c>
      <c r="T195" s="416">
        <f>N195/'2018'!N195-1</f>
        <v>-1</v>
      </c>
      <c r="U195" s="417">
        <f>O195/'2018'!O195-1</f>
        <v>-1</v>
      </c>
      <c r="V195" s="417">
        <f>P195/'2018'!P195-1</f>
        <v>-1</v>
      </c>
      <c r="W195" s="417">
        <f>Q195/'2018'!Q195-1</f>
        <v>-0.051679258308981</v>
      </c>
      <c r="X195" s="417">
        <f>R195/'2018'!R195-1</f>
        <v>-0.0690932106267902</v>
      </c>
      <c r="Y195" s="424">
        <f>S195/'2018'!S195-1</f>
        <v>-0.0577104287467833</v>
      </c>
      <c r="Z195" s="425"/>
      <c r="AA195" s="426">
        <f t="shared" si="54"/>
        <v>1157.8322</v>
      </c>
      <c r="AB195" s="427"/>
      <c r="AC195" s="401"/>
      <c r="AD195" s="427">
        <f t="shared" si="56"/>
        <v>11871389.74</v>
      </c>
      <c r="AE195" s="329">
        <f t="shared" si="69"/>
        <v>76209.22</v>
      </c>
      <c r="AF195" s="329">
        <f t="shared" si="69"/>
        <v>43161.64</v>
      </c>
      <c r="AG195" s="401">
        <f t="shared" si="58"/>
        <v>173696.879999998</v>
      </c>
      <c r="AH195" s="439"/>
      <c r="AI195" s="400"/>
      <c r="AJ195" s="400"/>
      <c r="AK195" s="400"/>
      <c r="AL195" s="400"/>
      <c r="AM195" s="400"/>
      <c r="AN195" s="400"/>
      <c r="AO195" s="400"/>
      <c r="AP195" s="400"/>
      <c r="AQ195" s="400"/>
      <c r="AR195" s="400"/>
      <c r="AS195" s="400"/>
      <c r="AT195" s="400"/>
      <c r="AU195" s="400"/>
      <c r="AV195" s="400"/>
      <c r="AW195" s="400"/>
      <c r="AX195" s="400"/>
      <c r="AY195" s="400"/>
      <c r="AZ195" s="400"/>
      <c r="BA195" s="400"/>
      <c r="BB195" s="400"/>
      <c r="BC195" s="400"/>
    </row>
    <row r="196" s="366" customFormat="1" ht="15" customHeight="1" spans="1:55">
      <c r="A196" s="395">
        <v>42926</v>
      </c>
      <c r="B196" s="443" t="s">
        <v>35</v>
      </c>
      <c r="C196" s="377"/>
      <c r="D196" s="329"/>
      <c r="E196" s="329"/>
      <c r="F196" s="378"/>
      <c r="G196" s="329"/>
      <c r="H196" s="376"/>
      <c r="I196" s="376"/>
      <c r="J196" s="399">
        <f t="shared" si="53"/>
        <v>0</v>
      </c>
      <c r="K196" s="329"/>
      <c r="L196" s="329"/>
      <c r="M196" s="401">
        <f t="shared" si="55"/>
        <v>0</v>
      </c>
      <c r="N196" s="396">
        <f t="shared" si="74"/>
        <v>0</v>
      </c>
      <c r="O196" s="368">
        <f t="shared" si="74"/>
        <v>0</v>
      </c>
      <c r="P196" s="398">
        <f t="shared" si="74"/>
        <v>0</v>
      </c>
      <c r="Q196" s="414">
        <f t="shared" si="73"/>
        <v>11578322</v>
      </c>
      <c r="R196" s="402">
        <f t="shared" si="73"/>
        <v>5905291</v>
      </c>
      <c r="S196" s="415">
        <f t="shared" si="73"/>
        <v>17776680.74</v>
      </c>
      <c r="T196" s="416">
        <f>N196/'2018'!N196-1</f>
        <v>-1</v>
      </c>
      <c r="U196" s="417">
        <f>O196/'2018'!O196-1</f>
        <v>-1</v>
      </c>
      <c r="V196" s="417">
        <f>P196/'2018'!P196-1</f>
        <v>-1</v>
      </c>
      <c r="W196" s="417">
        <f>Q196/'2018'!Q196-1</f>
        <v>-0.0574284304991656</v>
      </c>
      <c r="X196" s="417">
        <f>R196/'2018'!R196-1</f>
        <v>-0.0763649769227749</v>
      </c>
      <c r="Y196" s="424">
        <f>S196/'2018'!S196-1</f>
        <v>-0.0640997618308289</v>
      </c>
      <c r="Z196" s="425"/>
      <c r="AA196" s="426">
        <f t="shared" si="54"/>
        <v>1157.8322</v>
      </c>
      <c r="AB196" s="427"/>
      <c r="AC196" s="401"/>
      <c r="AD196" s="427">
        <f t="shared" si="56"/>
        <v>11871389.74</v>
      </c>
      <c r="AE196" s="329">
        <f t="shared" si="69"/>
        <v>76209.22</v>
      </c>
      <c r="AF196" s="329">
        <f t="shared" si="69"/>
        <v>43161.64</v>
      </c>
      <c r="AG196" s="401">
        <f t="shared" si="58"/>
        <v>173696.879999998</v>
      </c>
      <c r="AH196" s="439"/>
      <c r="AI196" s="400"/>
      <c r="AJ196" s="400"/>
      <c r="AK196" s="400"/>
      <c r="AL196" s="400"/>
      <c r="AM196" s="400"/>
      <c r="AN196" s="400"/>
      <c r="AO196" s="400"/>
      <c r="AP196" s="400"/>
      <c r="AQ196" s="400"/>
      <c r="AR196" s="400"/>
      <c r="AS196" s="400"/>
      <c r="AT196" s="400"/>
      <c r="AU196" s="400"/>
      <c r="AV196" s="400"/>
      <c r="AW196" s="400"/>
      <c r="AX196" s="400"/>
      <c r="AY196" s="400"/>
      <c r="AZ196" s="400"/>
      <c r="BA196" s="400"/>
      <c r="BB196" s="400"/>
      <c r="BC196" s="400"/>
    </row>
    <row r="197" s="366" customFormat="1" ht="15" customHeight="1" spans="1:55">
      <c r="A197" s="395">
        <v>42927</v>
      </c>
      <c r="B197" s="191" t="s">
        <v>36</v>
      </c>
      <c r="C197" s="377"/>
      <c r="D197" s="329"/>
      <c r="E197" s="329"/>
      <c r="F197" s="378"/>
      <c r="G197" s="329"/>
      <c r="H197" s="376"/>
      <c r="I197" s="376"/>
      <c r="J197" s="399">
        <f t="shared" ref="J197:J260" si="75">E197-D197</f>
        <v>0</v>
      </c>
      <c r="K197" s="329"/>
      <c r="L197" s="329"/>
      <c r="M197" s="401">
        <f t="shared" si="55"/>
        <v>0</v>
      </c>
      <c r="N197" s="396">
        <f t="shared" si="74"/>
        <v>0</v>
      </c>
      <c r="O197" s="368">
        <f t="shared" si="74"/>
        <v>0</v>
      </c>
      <c r="P197" s="398">
        <f t="shared" si="74"/>
        <v>0</v>
      </c>
      <c r="Q197" s="414">
        <f t="shared" si="73"/>
        <v>11578322</v>
      </c>
      <c r="R197" s="402">
        <f t="shared" si="73"/>
        <v>5905291</v>
      </c>
      <c r="S197" s="415">
        <f t="shared" si="73"/>
        <v>17776680.74</v>
      </c>
      <c r="T197" s="416">
        <f>N197/'2018'!N197-1</f>
        <v>-1</v>
      </c>
      <c r="U197" s="417">
        <f>O197/'2018'!O197-1</f>
        <v>-1</v>
      </c>
      <c r="V197" s="417">
        <f>P197/'2018'!P197-1</f>
        <v>-1</v>
      </c>
      <c r="W197" s="417">
        <f>Q197/'2018'!Q197-1</f>
        <v>-0.063267793836946</v>
      </c>
      <c r="X197" s="417">
        <f>R197/'2018'!R197-1</f>
        <v>-0.0819015408524354</v>
      </c>
      <c r="Y197" s="424">
        <f>S197/'2018'!S197-1</f>
        <v>-0.069930335772417</v>
      </c>
      <c r="Z197" s="425"/>
      <c r="AA197" s="426">
        <f t="shared" ref="AA197:AA260" si="76">Q197/10000-Z197</f>
        <v>1157.8322</v>
      </c>
      <c r="AB197" s="427"/>
      <c r="AC197" s="401"/>
      <c r="AD197" s="427">
        <f t="shared" si="56"/>
        <v>11871389.74</v>
      </c>
      <c r="AE197" s="329">
        <f t="shared" si="69"/>
        <v>76209.22</v>
      </c>
      <c r="AF197" s="329">
        <f t="shared" si="69"/>
        <v>43161.64</v>
      </c>
      <c r="AG197" s="401">
        <f t="shared" si="58"/>
        <v>173696.879999998</v>
      </c>
      <c r="AH197" s="439"/>
      <c r="AI197" s="400"/>
      <c r="AJ197" s="400"/>
      <c r="AK197" s="400"/>
      <c r="AL197" s="400"/>
      <c r="AM197" s="400"/>
      <c r="AN197" s="400"/>
      <c r="AO197" s="400"/>
      <c r="AP197" s="400"/>
      <c r="AQ197" s="400"/>
      <c r="AR197" s="400"/>
      <c r="AS197" s="400"/>
      <c r="AT197" s="400"/>
      <c r="AU197" s="400"/>
      <c r="AV197" s="400"/>
      <c r="AW197" s="400"/>
      <c r="AX197" s="400"/>
      <c r="AY197" s="400"/>
      <c r="AZ197" s="400"/>
      <c r="BA197" s="400"/>
      <c r="BB197" s="400"/>
      <c r="BC197" s="400"/>
    </row>
    <row r="198" s="366" customFormat="1" ht="15" customHeight="1" spans="1:55">
      <c r="A198" s="395">
        <v>42928</v>
      </c>
      <c r="B198" s="443" t="s">
        <v>37</v>
      </c>
      <c r="C198" s="377"/>
      <c r="D198" s="329"/>
      <c r="E198" s="329"/>
      <c r="F198" s="378"/>
      <c r="G198" s="329"/>
      <c r="H198" s="376"/>
      <c r="I198" s="376"/>
      <c r="J198" s="399">
        <f t="shared" si="75"/>
        <v>0</v>
      </c>
      <c r="K198" s="329"/>
      <c r="L198" s="329"/>
      <c r="M198" s="401">
        <f t="shared" ref="M198:M261" si="77">J198-K198-L198-C198</f>
        <v>0</v>
      </c>
      <c r="N198" s="396">
        <f t="shared" si="74"/>
        <v>0</v>
      </c>
      <c r="O198" s="368">
        <f t="shared" si="74"/>
        <v>0</v>
      </c>
      <c r="P198" s="398">
        <f t="shared" si="74"/>
        <v>0</v>
      </c>
      <c r="Q198" s="414">
        <f t="shared" si="73"/>
        <v>11578322</v>
      </c>
      <c r="R198" s="402">
        <f t="shared" si="73"/>
        <v>5905291</v>
      </c>
      <c r="S198" s="415">
        <f t="shared" si="73"/>
        <v>17776680.74</v>
      </c>
      <c r="T198" s="416">
        <f>N198/'2018'!N198-1</f>
        <v>-1</v>
      </c>
      <c r="U198" s="417">
        <f>O198/'2018'!O198-1</f>
        <v>-1</v>
      </c>
      <c r="V198" s="417">
        <f>P198/'2018'!P198-1</f>
        <v>-1</v>
      </c>
      <c r="W198" s="417">
        <f>Q198/'2018'!Q198-1</f>
        <v>-0.0688975725745931</v>
      </c>
      <c r="X198" s="417">
        <f>R198/'2018'!R198-1</f>
        <v>-0.0885187577609073</v>
      </c>
      <c r="Y198" s="424">
        <f>S198/'2018'!S198-1</f>
        <v>-0.0759643028863584</v>
      </c>
      <c r="Z198" s="425"/>
      <c r="AA198" s="426">
        <f t="shared" si="76"/>
        <v>1157.8322</v>
      </c>
      <c r="AB198" s="427"/>
      <c r="AC198" s="401"/>
      <c r="AD198" s="427">
        <f t="shared" ref="AD198:AD261" si="78">S198-R198</f>
        <v>11871389.74</v>
      </c>
      <c r="AE198" s="329">
        <f t="shared" si="69"/>
        <v>76209.22</v>
      </c>
      <c r="AF198" s="329">
        <f t="shared" si="69"/>
        <v>43161.64</v>
      </c>
      <c r="AG198" s="401">
        <f t="shared" si="58"/>
        <v>173696.879999998</v>
      </c>
      <c r="AH198" s="439"/>
      <c r="AI198" s="400"/>
      <c r="AJ198" s="400"/>
      <c r="AK198" s="400"/>
      <c r="AL198" s="400"/>
      <c r="AM198" s="400"/>
      <c r="AN198" s="400"/>
      <c r="AO198" s="400"/>
      <c r="AP198" s="400"/>
      <c r="AQ198" s="400"/>
      <c r="AR198" s="400"/>
      <c r="AS198" s="400"/>
      <c r="AT198" s="400"/>
      <c r="AU198" s="400"/>
      <c r="AV198" s="400"/>
      <c r="AW198" s="400"/>
      <c r="AX198" s="400"/>
      <c r="AY198" s="400"/>
      <c r="AZ198" s="400"/>
      <c r="BA198" s="400"/>
      <c r="BB198" s="400"/>
      <c r="BC198" s="400"/>
    </row>
    <row r="199" s="366" customFormat="1" ht="15" customHeight="1" spans="1:55">
      <c r="A199" s="395">
        <v>42929</v>
      </c>
      <c r="B199" s="443" t="s">
        <v>38</v>
      </c>
      <c r="C199" s="377"/>
      <c r="D199" s="329"/>
      <c r="E199" s="329"/>
      <c r="F199" s="378"/>
      <c r="G199" s="329"/>
      <c r="H199" s="376"/>
      <c r="I199" s="376"/>
      <c r="J199" s="399">
        <f t="shared" si="75"/>
        <v>0</v>
      </c>
      <c r="K199" s="329"/>
      <c r="L199" s="329"/>
      <c r="M199" s="401">
        <f t="shared" si="77"/>
        <v>0</v>
      </c>
      <c r="N199" s="396">
        <f t="shared" si="74"/>
        <v>0</v>
      </c>
      <c r="O199" s="368">
        <f t="shared" si="74"/>
        <v>0</v>
      </c>
      <c r="P199" s="398">
        <f t="shared" si="74"/>
        <v>0</v>
      </c>
      <c r="Q199" s="414">
        <f t="shared" si="73"/>
        <v>11578322</v>
      </c>
      <c r="R199" s="402">
        <f t="shared" si="73"/>
        <v>5905291</v>
      </c>
      <c r="S199" s="415">
        <f t="shared" si="73"/>
        <v>17776680.74</v>
      </c>
      <c r="T199" s="416">
        <f>N199/'2018'!N199-1</f>
        <v>-1</v>
      </c>
      <c r="U199" s="417">
        <f>O199/'2018'!O199-1</f>
        <v>-1</v>
      </c>
      <c r="V199" s="417">
        <f>P199/'2018'!P199-1</f>
        <v>-1</v>
      </c>
      <c r="W199" s="417">
        <f>Q199/'2018'!Q199-1</f>
        <v>-0.0745074335097486</v>
      </c>
      <c r="X199" s="417">
        <f>R199/'2018'!R199-1</f>
        <v>-0.0956564552092521</v>
      </c>
      <c r="Y199" s="424">
        <f>S199/'2018'!S199-1</f>
        <v>-0.0821552180136225</v>
      </c>
      <c r="Z199" s="425"/>
      <c r="AA199" s="426">
        <f t="shared" si="76"/>
        <v>1157.8322</v>
      </c>
      <c r="AB199" s="427"/>
      <c r="AC199" s="401"/>
      <c r="AD199" s="427">
        <f t="shared" si="78"/>
        <v>11871389.74</v>
      </c>
      <c r="AE199" s="329">
        <f t="shared" ref="AE199:AF214" si="79">AE198+K199</f>
        <v>76209.22</v>
      </c>
      <c r="AF199" s="329">
        <f t="shared" si="79"/>
        <v>43161.64</v>
      </c>
      <c r="AG199" s="401">
        <f t="shared" ref="AG199:AG262" si="80">AD199-Q199-AE199-AF199</f>
        <v>173696.879999998</v>
      </c>
      <c r="AH199" s="439"/>
      <c r="AI199" s="400"/>
      <c r="AJ199" s="400"/>
      <c r="AK199" s="400"/>
      <c r="AL199" s="400"/>
      <c r="AM199" s="400"/>
      <c r="AN199" s="400"/>
      <c r="AO199" s="400"/>
      <c r="AP199" s="400"/>
      <c r="AQ199" s="400"/>
      <c r="AR199" s="400"/>
      <c r="AS199" s="400"/>
      <c r="AT199" s="400"/>
      <c r="AU199" s="400"/>
      <c r="AV199" s="400"/>
      <c r="AW199" s="400"/>
      <c r="AX199" s="400"/>
      <c r="AY199" s="400"/>
      <c r="AZ199" s="400"/>
      <c r="BA199" s="400"/>
      <c r="BB199" s="400"/>
      <c r="BC199" s="400"/>
    </row>
    <row r="200" s="366" customFormat="1" ht="15" customHeight="1" spans="1:55">
      <c r="A200" s="395">
        <v>42930</v>
      </c>
      <c r="B200" s="443" t="s">
        <v>1</v>
      </c>
      <c r="C200" s="377"/>
      <c r="D200" s="329"/>
      <c r="E200" s="329"/>
      <c r="F200" s="378"/>
      <c r="G200" s="329"/>
      <c r="H200" s="376"/>
      <c r="I200" s="376"/>
      <c r="J200" s="399">
        <f t="shared" si="75"/>
        <v>0</v>
      </c>
      <c r="K200" s="329"/>
      <c r="L200" s="329"/>
      <c r="M200" s="401">
        <f t="shared" si="77"/>
        <v>0</v>
      </c>
      <c r="N200" s="396">
        <f t="shared" si="74"/>
        <v>0</v>
      </c>
      <c r="O200" s="368">
        <f t="shared" si="74"/>
        <v>0</v>
      </c>
      <c r="P200" s="398">
        <f t="shared" si="74"/>
        <v>0</v>
      </c>
      <c r="Q200" s="414">
        <f t="shared" si="73"/>
        <v>11578322</v>
      </c>
      <c r="R200" s="402">
        <f t="shared" si="73"/>
        <v>5905291</v>
      </c>
      <c r="S200" s="415">
        <f t="shared" si="73"/>
        <v>17776680.74</v>
      </c>
      <c r="T200" s="416">
        <f>N200/'2018'!N200-1</f>
        <v>-1</v>
      </c>
      <c r="U200" s="417">
        <f>O200/'2018'!O200-1</f>
        <v>-1</v>
      </c>
      <c r="V200" s="417">
        <f>P200/'2018'!P200-1</f>
        <v>-1</v>
      </c>
      <c r="W200" s="417">
        <f>Q200/'2018'!Q200-1</f>
        <v>-0.0798921903313011</v>
      </c>
      <c r="X200" s="417">
        <f>R200/'2018'!R200-1</f>
        <v>-0.102742540063116</v>
      </c>
      <c r="Y200" s="424">
        <f>S200/'2018'!S200-1</f>
        <v>-0.0881773988643855</v>
      </c>
      <c r="Z200" s="425"/>
      <c r="AA200" s="426">
        <f t="shared" si="76"/>
        <v>1157.8322</v>
      </c>
      <c r="AB200" s="427"/>
      <c r="AC200" s="401"/>
      <c r="AD200" s="427">
        <f t="shared" si="78"/>
        <v>11871389.74</v>
      </c>
      <c r="AE200" s="329">
        <f t="shared" si="79"/>
        <v>76209.22</v>
      </c>
      <c r="AF200" s="329">
        <f t="shared" si="79"/>
        <v>43161.64</v>
      </c>
      <c r="AG200" s="401">
        <f t="shared" si="80"/>
        <v>173696.879999998</v>
      </c>
      <c r="AH200" s="439"/>
      <c r="AI200" s="400"/>
      <c r="AJ200" s="400"/>
      <c r="AK200" s="400"/>
      <c r="AL200" s="400"/>
      <c r="AM200" s="400"/>
      <c r="AN200" s="400"/>
      <c r="AO200" s="400"/>
      <c r="AP200" s="400"/>
      <c r="AQ200" s="400"/>
      <c r="AR200" s="400"/>
      <c r="AS200" s="400"/>
      <c r="AT200" s="400"/>
      <c r="AU200" s="400"/>
      <c r="AV200" s="400"/>
      <c r="AW200" s="400"/>
      <c r="AX200" s="400"/>
      <c r="AY200" s="400"/>
      <c r="AZ200" s="400"/>
      <c r="BA200" s="400"/>
      <c r="BB200" s="400"/>
      <c r="BC200" s="400"/>
    </row>
    <row r="201" s="366" customFormat="1" ht="15" customHeight="1" spans="1:55">
      <c r="A201" s="395">
        <v>42931</v>
      </c>
      <c r="B201" s="443" t="s">
        <v>39</v>
      </c>
      <c r="C201" s="377"/>
      <c r="D201" s="329"/>
      <c r="E201" s="329"/>
      <c r="F201" s="378"/>
      <c r="G201" s="329"/>
      <c r="H201" s="376"/>
      <c r="I201" s="376"/>
      <c r="J201" s="399">
        <f t="shared" si="75"/>
        <v>0</v>
      </c>
      <c r="K201" s="329"/>
      <c r="L201" s="329"/>
      <c r="M201" s="401">
        <f t="shared" si="77"/>
        <v>0</v>
      </c>
      <c r="N201" s="396">
        <f t="shared" si="74"/>
        <v>0</v>
      </c>
      <c r="O201" s="368">
        <f t="shared" si="74"/>
        <v>0</v>
      </c>
      <c r="P201" s="398">
        <f t="shared" si="74"/>
        <v>0</v>
      </c>
      <c r="Q201" s="414">
        <f t="shared" si="73"/>
        <v>11578322</v>
      </c>
      <c r="R201" s="402">
        <f t="shared" si="73"/>
        <v>5905291</v>
      </c>
      <c r="S201" s="415">
        <f t="shared" si="73"/>
        <v>17776680.74</v>
      </c>
      <c r="T201" s="416">
        <f>N201/'2018'!N201-1</f>
        <v>-1</v>
      </c>
      <c r="U201" s="417">
        <f>O201/'2018'!O201-1</f>
        <v>-1</v>
      </c>
      <c r="V201" s="417">
        <f>P201/'2018'!P201-1</f>
        <v>-1</v>
      </c>
      <c r="W201" s="417">
        <f>Q201/'2018'!Q201-1</f>
        <v>-0.0846674117931845</v>
      </c>
      <c r="X201" s="417">
        <f>R201/'2018'!R201-1</f>
        <v>-0.109901745833023</v>
      </c>
      <c r="Y201" s="424">
        <f>S201/'2018'!S201-1</f>
        <v>-0.0938248858388224</v>
      </c>
      <c r="Z201" s="425"/>
      <c r="AA201" s="426">
        <f t="shared" si="76"/>
        <v>1157.8322</v>
      </c>
      <c r="AB201" s="427"/>
      <c r="AC201" s="401"/>
      <c r="AD201" s="427">
        <f t="shared" si="78"/>
        <v>11871389.74</v>
      </c>
      <c r="AE201" s="329">
        <f t="shared" si="79"/>
        <v>76209.22</v>
      </c>
      <c r="AF201" s="329">
        <f t="shared" si="79"/>
        <v>43161.64</v>
      </c>
      <c r="AG201" s="401">
        <f t="shared" si="80"/>
        <v>173696.879999998</v>
      </c>
      <c r="AH201" s="439"/>
      <c r="AI201" s="400"/>
      <c r="AJ201" s="400"/>
      <c r="AK201" s="400"/>
      <c r="AL201" s="400"/>
      <c r="AM201" s="400"/>
      <c r="AN201" s="400"/>
      <c r="AO201" s="400"/>
      <c r="AP201" s="400"/>
      <c r="AQ201" s="400"/>
      <c r="AR201" s="400"/>
      <c r="AS201" s="400"/>
      <c r="AT201" s="400"/>
      <c r="AU201" s="400"/>
      <c r="AV201" s="400"/>
      <c r="AW201" s="400"/>
      <c r="AX201" s="400"/>
      <c r="AY201" s="400"/>
      <c r="AZ201" s="400"/>
      <c r="BA201" s="400"/>
      <c r="BB201" s="400"/>
      <c r="BC201" s="400"/>
    </row>
    <row r="202" s="366" customFormat="1" ht="15" customHeight="1" spans="1:55">
      <c r="A202" s="395">
        <v>42932</v>
      </c>
      <c r="B202" s="443" t="s">
        <v>34</v>
      </c>
      <c r="C202" s="377"/>
      <c r="D202" s="329"/>
      <c r="E202" s="329"/>
      <c r="F202" s="378"/>
      <c r="G202" s="329"/>
      <c r="H202" s="376"/>
      <c r="I202" s="376"/>
      <c r="J202" s="399">
        <f t="shared" si="75"/>
        <v>0</v>
      </c>
      <c r="K202" s="329"/>
      <c r="L202" s="329"/>
      <c r="M202" s="401">
        <f t="shared" si="77"/>
        <v>0</v>
      </c>
      <c r="N202" s="396">
        <f t="shared" si="74"/>
        <v>0</v>
      </c>
      <c r="O202" s="368">
        <f t="shared" si="74"/>
        <v>0</v>
      </c>
      <c r="P202" s="398">
        <f t="shared" si="74"/>
        <v>0</v>
      </c>
      <c r="Q202" s="414">
        <f t="shared" si="73"/>
        <v>11578322</v>
      </c>
      <c r="R202" s="402">
        <f t="shared" si="73"/>
        <v>5905291</v>
      </c>
      <c r="S202" s="415">
        <f t="shared" si="73"/>
        <v>17776680.74</v>
      </c>
      <c r="T202" s="416">
        <f>N202/'2018'!N202-1</f>
        <v>-1</v>
      </c>
      <c r="U202" s="417">
        <f>O202/'2018'!O202-1</f>
        <v>-1</v>
      </c>
      <c r="V202" s="417">
        <f>P202/'2018'!P202-1</f>
        <v>-1</v>
      </c>
      <c r="W202" s="417">
        <f>Q202/'2018'!Q202-1</f>
        <v>-0.0901181548285382</v>
      </c>
      <c r="X202" s="417">
        <f>R202/'2018'!R202-1</f>
        <v>-0.116759797425642</v>
      </c>
      <c r="Y202" s="424">
        <f>S202/'2018'!S202-1</f>
        <v>-0.0998066362891601</v>
      </c>
      <c r="Z202" s="425"/>
      <c r="AA202" s="426">
        <f t="shared" si="76"/>
        <v>1157.8322</v>
      </c>
      <c r="AB202" s="427"/>
      <c r="AC202" s="401"/>
      <c r="AD202" s="427">
        <f t="shared" si="78"/>
        <v>11871389.74</v>
      </c>
      <c r="AE202" s="329">
        <f t="shared" si="79"/>
        <v>76209.22</v>
      </c>
      <c r="AF202" s="329">
        <f t="shared" si="79"/>
        <v>43161.64</v>
      </c>
      <c r="AG202" s="401">
        <f t="shared" si="80"/>
        <v>173696.879999998</v>
      </c>
      <c r="AH202" s="439"/>
      <c r="AI202" s="400"/>
      <c r="AJ202" s="400"/>
      <c r="AK202" s="400"/>
      <c r="AL202" s="400"/>
      <c r="AM202" s="400"/>
      <c r="AN202" s="400"/>
      <c r="AO202" s="400"/>
      <c r="AP202" s="400"/>
      <c r="AQ202" s="400"/>
      <c r="AR202" s="400"/>
      <c r="AS202" s="400"/>
      <c r="AT202" s="400"/>
      <c r="AU202" s="400"/>
      <c r="AV202" s="400"/>
      <c r="AW202" s="400"/>
      <c r="AX202" s="400"/>
      <c r="AY202" s="400"/>
      <c r="AZ202" s="400"/>
      <c r="BA202" s="400"/>
      <c r="BB202" s="400"/>
      <c r="BC202" s="400"/>
    </row>
    <row r="203" s="366" customFormat="1" ht="15" customHeight="1" spans="1:55">
      <c r="A203" s="395">
        <v>42933</v>
      </c>
      <c r="B203" s="443" t="s">
        <v>35</v>
      </c>
      <c r="C203" s="377"/>
      <c r="D203" s="329"/>
      <c r="E203" s="329"/>
      <c r="F203" s="378"/>
      <c r="G203" s="329"/>
      <c r="H203" s="376"/>
      <c r="I203" s="376"/>
      <c r="J203" s="399">
        <f t="shared" si="75"/>
        <v>0</v>
      </c>
      <c r="K203" s="329"/>
      <c r="L203" s="329"/>
      <c r="M203" s="401">
        <f t="shared" si="77"/>
        <v>0</v>
      </c>
      <c r="N203" s="396">
        <f t="shared" si="74"/>
        <v>0</v>
      </c>
      <c r="O203" s="368">
        <f t="shared" si="74"/>
        <v>0</v>
      </c>
      <c r="P203" s="398">
        <f t="shared" si="74"/>
        <v>0</v>
      </c>
      <c r="Q203" s="414">
        <f t="shared" ref="Q203:S216" si="81">Q$186+N203</f>
        <v>11578322</v>
      </c>
      <c r="R203" s="402">
        <f t="shared" si="81"/>
        <v>5905291</v>
      </c>
      <c r="S203" s="415">
        <f t="shared" si="81"/>
        <v>17776680.74</v>
      </c>
      <c r="T203" s="416">
        <f>N203/'2018'!N203-1</f>
        <v>-1</v>
      </c>
      <c r="U203" s="417">
        <f>O203/'2018'!O203-1</f>
        <v>-1</v>
      </c>
      <c r="V203" s="417">
        <f>P203/'2018'!P203-1</f>
        <v>-1</v>
      </c>
      <c r="W203" s="417">
        <f>Q203/'2018'!Q203-1</f>
        <v>-0.0958457304887755</v>
      </c>
      <c r="X203" s="417">
        <f>R203/'2018'!R203-1</f>
        <v>-0.123535221981039</v>
      </c>
      <c r="Y203" s="424">
        <f>S203/'2018'!S203-1</f>
        <v>-0.105929874389959</v>
      </c>
      <c r="Z203" s="425"/>
      <c r="AA203" s="426">
        <f t="shared" si="76"/>
        <v>1157.8322</v>
      </c>
      <c r="AB203" s="427"/>
      <c r="AC203" s="401"/>
      <c r="AD203" s="427">
        <f t="shared" si="78"/>
        <v>11871389.74</v>
      </c>
      <c r="AE203" s="329">
        <f t="shared" si="79"/>
        <v>76209.22</v>
      </c>
      <c r="AF203" s="329">
        <f t="shared" si="79"/>
        <v>43161.64</v>
      </c>
      <c r="AG203" s="401">
        <f t="shared" si="80"/>
        <v>173696.879999998</v>
      </c>
      <c r="AH203" s="439"/>
      <c r="AI203" s="400"/>
      <c r="AJ203" s="400"/>
      <c r="AK203" s="400"/>
      <c r="AL203" s="400"/>
      <c r="AM203" s="400"/>
      <c r="AN203" s="400"/>
      <c r="AO203" s="400"/>
      <c r="AP203" s="400"/>
      <c r="AQ203" s="400"/>
      <c r="AR203" s="400"/>
      <c r="AS203" s="400"/>
      <c r="AT203" s="400"/>
      <c r="AU203" s="400"/>
      <c r="AV203" s="400"/>
      <c r="AW203" s="400"/>
      <c r="AX203" s="400"/>
      <c r="AY203" s="400"/>
      <c r="AZ203" s="400"/>
      <c r="BA203" s="400"/>
      <c r="BB203" s="400"/>
      <c r="BC203" s="400"/>
    </row>
    <row r="204" s="366" customFormat="1" ht="15" customHeight="1" spans="1:55">
      <c r="A204" s="395">
        <v>42934</v>
      </c>
      <c r="B204" s="191" t="s">
        <v>36</v>
      </c>
      <c r="C204" s="377"/>
      <c r="D204" s="329"/>
      <c r="E204" s="329"/>
      <c r="F204" s="378"/>
      <c r="G204" s="329"/>
      <c r="H204" s="376"/>
      <c r="I204" s="376"/>
      <c r="J204" s="399">
        <f t="shared" si="75"/>
        <v>0</v>
      </c>
      <c r="K204" s="329"/>
      <c r="L204" s="329"/>
      <c r="M204" s="401">
        <f t="shared" si="77"/>
        <v>0</v>
      </c>
      <c r="N204" s="396">
        <f t="shared" ref="N204:P216" si="82">C204+N203</f>
        <v>0</v>
      </c>
      <c r="O204" s="368">
        <f t="shared" si="82"/>
        <v>0</v>
      </c>
      <c r="P204" s="398">
        <f t="shared" si="82"/>
        <v>0</v>
      </c>
      <c r="Q204" s="414">
        <f t="shared" si="81"/>
        <v>11578322</v>
      </c>
      <c r="R204" s="402">
        <f t="shared" si="81"/>
        <v>5905291</v>
      </c>
      <c r="S204" s="415">
        <f t="shared" si="81"/>
        <v>17776680.74</v>
      </c>
      <c r="T204" s="416">
        <f>N204/'2018'!N204-1</f>
        <v>-1</v>
      </c>
      <c r="U204" s="417">
        <f>O204/'2018'!O204-1</f>
        <v>-1</v>
      </c>
      <c r="V204" s="417">
        <f>P204/'2018'!P204-1</f>
        <v>-1</v>
      </c>
      <c r="W204" s="417">
        <f>Q204/'2018'!Q204-1</f>
        <v>-0.101395863307315</v>
      </c>
      <c r="X204" s="417">
        <f>R204/'2018'!R204-1</f>
        <v>-0.130308684702729</v>
      </c>
      <c r="Y204" s="424">
        <f>S204/'2018'!S204-1</f>
        <v>-0.111946994074023</v>
      </c>
      <c r="Z204" s="425"/>
      <c r="AA204" s="426">
        <f t="shared" si="76"/>
        <v>1157.8322</v>
      </c>
      <c r="AB204" s="427"/>
      <c r="AC204" s="401"/>
      <c r="AD204" s="427">
        <f t="shared" si="78"/>
        <v>11871389.74</v>
      </c>
      <c r="AE204" s="329">
        <f t="shared" si="79"/>
        <v>76209.22</v>
      </c>
      <c r="AF204" s="329">
        <f t="shared" si="79"/>
        <v>43161.64</v>
      </c>
      <c r="AG204" s="401">
        <f t="shared" si="80"/>
        <v>173696.879999998</v>
      </c>
      <c r="AH204" s="439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</row>
    <row r="205" s="366" customFormat="1" ht="15" customHeight="1" spans="1:55">
      <c r="A205" s="395">
        <v>42935</v>
      </c>
      <c r="B205" s="443" t="s">
        <v>37</v>
      </c>
      <c r="C205" s="377"/>
      <c r="D205" s="329"/>
      <c r="E205" s="329"/>
      <c r="F205" s="378"/>
      <c r="G205" s="329"/>
      <c r="H205" s="376"/>
      <c r="I205" s="376"/>
      <c r="J205" s="399">
        <f t="shared" si="75"/>
        <v>0</v>
      </c>
      <c r="K205" s="329"/>
      <c r="L205" s="329"/>
      <c r="M205" s="401">
        <f t="shared" si="77"/>
        <v>0</v>
      </c>
      <c r="N205" s="396">
        <f t="shared" si="82"/>
        <v>0</v>
      </c>
      <c r="O205" s="368">
        <f t="shared" si="82"/>
        <v>0</v>
      </c>
      <c r="P205" s="398">
        <f t="shared" si="82"/>
        <v>0</v>
      </c>
      <c r="Q205" s="414">
        <f t="shared" si="81"/>
        <v>11578322</v>
      </c>
      <c r="R205" s="402">
        <f t="shared" si="81"/>
        <v>5905291</v>
      </c>
      <c r="S205" s="415">
        <f t="shared" si="81"/>
        <v>17776680.74</v>
      </c>
      <c r="T205" s="416">
        <f>N205/'2018'!N205-1</f>
        <v>-1</v>
      </c>
      <c r="U205" s="417">
        <f>O205/'2018'!O205-1</f>
        <v>-1</v>
      </c>
      <c r="V205" s="417">
        <f>P205/'2018'!P205-1</f>
        <v>-1</v>
      </c>
      <c r="W205" s="417">
        <f>Q205/'2018'!Q205-1</f>
        <v>-0.106693532495993</v>
      </c>
      <c r="X205" s="417">
        <f>R205/'2018'!R205-1</f>
        <v>-0.137500856249291</v>
      </c>
      <c r="Y205" s="424">
        <f>S205/'2018'!S205-1</f>
        <v>-0.117936231984573</v>
      </c>
      <c r="Z205" s="425"/>
      <c r="AA205" s="426">
        <f t="shared" si="76"/>
        <v>1157.8322</v>
      </c>
      <c r="AB205" s="427"/>
      <c r="AC205" s="401"/>
      <c r="AD205" s="427">
        <f t="shared" si="78"/>
        <v>11871389.74</v>
      </c>
      <c r="AE205" s="329">
        <f t="shared" si="79"/>
        <v>76209.22</v>
      </c>
      <c r="AF205" s="329">
        <f t="shared" si="79"/>
        <v>43161.64</v>
      </c>
      <c r="AG205" s="401">
        <f t="shared" si="80"/>
        <v>173696.879999998</v>
      </c>
      <c r="AH205" s="439"/>
      <c r="AI205" s="400"/>
      <c r="AJ205" s="400"/>
      <c r="AK205" s="400"/>
      <c r="AL205" s="400"/>
      <c r="AM205" s="400"/>
      <c r="AN205" s="400"/>
      <c r="AO205" s="400"/>
      <c r="AP205" s="400"/>
      <c r="AQ205" s="400"/>
      <c r="AR205" s="400"/>
      <c r="AS205" s="400"/>
      <c r="AT205" s="400"/>
      <c r="AU205" s="400"/>
      <c r="AV205" s="400"/>
      <c r="AW205" s="400"/>
      <c r="AX205" s="400"/>
      <c r="AY205" s="400"/>
      <c r="AZ205" s="400"/>
      <c r="BA205" s="400"/>
      <c r="BB205" s="400"/>
      <c r="BC205" s="400"/>
    </row>
    <row r="206" s="366" customFormat="1" ht="15" customHeight="1" spans="1:55">
      <c r="A206" s="395">
        <v>42936</v>
      </c>
      <c r="B206" s="443" t="s">
        <v>38</v>
      </c>
      <c r="C206" s="377"/>
      <c r="D206" s="329"/>
      <c r="E206" s="329"/>
      <c r="F206" s="378"/>
      <c r="G206" s="329"/>
      <c r="H206" s="376"/>
      <c r="I206" s="376"/>
      <c r="J206" s="399">
        <f t="shared" si="75"/>
        <v>0</v>
      </c>
      <c r="K206" s="329"/>
      <c r="L206" s="329"/>
      <c r="M206" s="401">
        <f t="shared" si="77"/>
        <v>0</v>
      </c>
      <c r="N206" s="396">
        <f t="shared" si="82"/>
        <v>0</v>
      </c>
      <c r="O206" s="368">
        <f t="shared" si="82"/>
        <v>0</v>
      </c>
      <c r="P206" s="398">
        <f t="shared" si="82"/>
        <v>0</v>
      </c>
      <c r="Q206" s="414">
        <f t="shared" si="81"/>
        <v>11578322</v>
      </c>
      <c r="R206" s="402">
        <f t="shared" si="81"/>
        <v>5905291</v>
      </c>
      <c r="S206" s="415">
        <f t="shared" si="81"/>
        <v>17776680.74</v>
      </c>
      <c r="T206" s="416">
        <f>N206/'2018'!N206-1</f>
        <v>-1</v>
      </c>
      <c r="U206" s="417">
        <f>O206/'2018'!O206-1</f>
        <v>-1</v>
      </c>
      <c r="V206" s="417">
        <f>P206/'2018'!P206-1</f>
        <v>-1</v>
      </c>
      <c r="W206" s="417">
        <f>Q206/'2018'!Q206-1</f>
        <v>-0.112011380172651</v>
      </c>
      <c r="X206" s="417">
        <f>R206/'2018'!R206-1</f>
        <v>-0.144500444750925</v>
      </c>
      <c r="Y206" s="424">
        <f>S206/'2018'!S206-1</f>
        <v>-0.12384647773014</v>
      </c>
      <c r="Z206" s="425"/>
      <c r="AA206" s="426">
        <f t="shared" si="76"/>
        <v>1157.8322</v>
      </c>
      <c r="AB206" s="427"/>
      <c r="AC206" s="401"/>
      <c r="AD206" s="427">
        <f t="shared" si="78"/>
        <v>11871389.74</v>
      </c>
      <c r="AE206" s="329">
        <f t="shared" si="79"/>
        <v>76209.22</v>
      </c>
      <c r="AF206" s="329">
        <f t="shared" si="79"/>
        <v>43161.64</v>
      </c>
      <c r="AG206" s="401">
        <f t="shared" si="80"/>
        <v>173696.879999998</v>
      </c>
      <c r="AH206" s="439"/>
      <c r="AI206" s="400"/>
      <c r="AJ206" s="400"/>
      <c r="AK206" s="400"/>
      <c r="AL206" s="400"/>
      <c r="AM206" s="400"/>
      <c r="AN206" s="400"/>
      <c r="AO206" s="400"/>
      <c r="AP206" s="400"/>
      <c r="AQ206" s="400"/>
      <c r="AR206" s="400"/>
      <c r="AS206" s="400"/>
      <c r="AT206" s="400"/>
      <c r="AU206" s="400"/>
      <c r="AV206" s="400"/>
      <c r="AW206" s="400"/>
      <c r="AX206" s="400"/>
      <c r="AY206" s="400"/>
      <c r="AZ206" s="400"/>
      <c r="BA206" s="400"/>
      <c r="BB206" s="400"/>
      <c r="BC206" s="400"/>
    </row>
    <row r="207" s="366" customFormat="1" ht="15" customHeight="1" spans="1:55">
      <c r="A207" s="395">
        <v>42937</v>
      </c>
      <c r="B207" s="443" t="s">
        <v>1</v>
      </c>
      <c r="C207" s="377"/>
      <c r="D207" s="329"/>
      <c r="E207" s="329"/>
      <c r="F207" s="378"/>
      <c r="G207" s="329"/>
      <c r="H207" s="376"/>
      <c r="I207" s="376"/>
      <c r="J207" s="399">
        <f t="shared" si="75"/>
        <v>0</v>
      </c>
      <c r="K207" s="329"/>
      <c r="L207" s="329"/>
      <c r="M207" s="401">
        <f t="shared" si="77"/>
        <v>0</v>
      </c>
      <c r="N207" s="396">
        <f t="shared" si="82"/>
        <v>0</v>
      </c>
      <c r="O207" s="368">
        <f t="shared" si="82"/>
        <v>0</v>
      </c>
      <c r="P207" s="398">
        <f t="shared" si="82"/>
        <v>0</v>
      </c>
      <c r="Q207" s="414">
        <f t="shared" si="81"/>
        <v>11578322</v>
      </c>
      <c r="R207" s="402">
        <f t="shared" si="81"/>
        <v>5905291</v>
      </c>
      <c r="S207" s="415">
        <f t="shared" si="81"/>
        <v>17776680.74</v>
      </c>
      <c r="T207" s="416">
        <f>N207/'2018'!N207-1</f>
        <v>-1</v>
      </c>
      <c r="U207" s="417">
        <f>O207/'2018'!O207-1</f>
        <v>-1</v>
      </c>
      <c r="V207" s="417">
        <f>P207/'2018'!P207-1</f>
        <v>-1</v>
      </c>
      <c r="W207" s="417">
        <f>Q207/'2018'!Q207-1</f>
        <v>-0.116994313320874</v>
      </c>
      <c r="X207" s="417">
        <f>R207/'2018'!R207-1</f>
        <v>-0.151124944800685</v>
      </c>
      <c r="Y207" s="424">
        <f>S207/'2018'!S207-1</f>
        <v>-0.129400782874781</v>
      </c>
      <c r="Z207" s="425"/>
      <c r="AA207" s="426">
        <f t="shared" si="76"/>
        <v>1157.8322</v>
      </c>
      <c r="AB207" s="427"/>
      <c r="AC207" s="401"/>
      <c r="AD207" s="427">
        <f t="shared" si="78"/>
        <v>11871389.74</v>
      </c>
      <c r="AE207" s="329">
        <f t="shared" si="79"/>
        <v>76209.22</v>
      </c>
      <c r="AF207" s="329">
        <f t="shared" si="79"/>
        <v>43161.64</v>
      </c>
      <c r="AG207" s="401">
        <f t="shared" si="80"/>
        <v>173696.879999998</v>
      </c>
      <c r="AH207" s="439"/>
      <c r="AI207" s="400"/>
      <c r="AJ207" s="400"/>
      <c r="AK207" s="400"/>
      <c r="AL207" s="400"/>
      <c r="AM207" s="400"/>
      <c r="AN207" s="400"/>
      <c r="AO207" s="400"/>
      <c r="AP207" s="400"/>
      <c r="AQ207" s="400"/>
      <c r="AR207" s="400"/>
      <c r="AS207" s="400"/>
      <c r="AT207" s="400"/>
      <c r="AU207" s="400"/>
      <c r="AV207" s="400"/>
      <c r="AW207" s="400"/>
      <c r="AX207" s="400"/>
      <c r="AY207" s="400"/>
      <c r="AZ207" s="400"/>
      <c r="BA207" s="400"/>
      <c r="BB207" s="400"/>
      <c r="BC207" s="400"/>
    </row>
    <row r="208" s="366" customFormat="1" ht="15" customHeight="1" spans="1:55">
      <c r="A208" s="395">
        <v>42938</v>
      </c>
      <c r="B208" s="443" t="s">
        <v>39</v>
      </c>
      <c r="C208" s="377"/>
      <c r="D208" s="329"/>
      <c r="E208" s="329"/>
      <c r="F208" s="378"/>
      <c r="G208" s="329"/>
      <c r="H208" s="376"/>
      <c r="I208" s="376"/>
      <c r="J208" s="399">
        <f t="shared" si="75"/>
        <v>0</v>
      </c>
      <c r="K208" s="329"/>
      <c r="L208" s="329"/>
      <c r="M208" s="401">
        <f t="shared" si="77"/>
        <v>0</v>
      </c>
      <c r="N208" s="396">
        <f t="shared" si="82"/>
        <v>0</v>
      </c>
      <c r="O208" s="368">
        <f t="shared" si="82"/>
        <v>0</v>
      </c>
      <c r="P208" s="398">
        <f t="shared" si="82"/>
        <v>0</v>
      </c>
      <c r="Q208" s="414">
        <f t="shared" si="81"/>
        <v>11578322</v>
      </c>
      <c r="R208" s="402">
        <f t="shared" si="81"/>
        <v>5905291</v>
      </c>
      <c r="S208" s="415">
        <f t="shared" si="81"/>
        <v>17776680.74</v>
      </c>
      <c r="T208" s="416">
        <f>N208/'2018'!N208-1</f>
        <v>-1</v>
      </c>
      <c r="U208" s="417">
        <f>O208/'2018'!O208-1</f>
        <v>-1</v>
      </c>
      <c r="V208" s="417">
        <f>P208/'2018'!P208-1</f>
        <v>-1</v>
      </c>
      <c r="W208" s="417">
        <f>Q208/'2018'!Q208-1</f>
        <v>-0.121609008529897</v>
      </c>
      <c r="X208" s="417">
        <f>R208/'2018'!R208-1</f>
        <v>-0.156787766728585</v>
      </c>
      <c r="Y208" s="424">
        <f>S208/'2018'!S208-1</f>
        <v>-0.134369227875145</v>
      </c>
      <c r="Z208" s="425"/>
      <c r="AA208" s="426">
        <f t="shared" si="76"/>
        <v>1157.8322</v>
      </c>
      <c r="AB208" s="427"/>
      <c r="AC208" s="401"/>
      <c r="AD208" s="427">
        <f t="shared" si="78"/>
        <v>11871389.74</v>
      </c>
      <c r="AE208" s="329">
        <f t="shared" si="79"/>
        <v>76209.22</v>
      </c>
      <c r="AF208" s="329">
        <f t="shared" si="79"/>
        <v>43161.64</v>
      </c>
      <c r="AG208" s="401">
        <f t="shared" si="80"/>
        <v>173696.879999998</v>
      </c>
      <c r="AH208" s="439"/>
      <c r="AI208" s="400"/>
      <c r="AJ208" s="400"/>
      <c r="AK208" s="400"/>
      <c r="AL208" s="400"/>
      <c r="AM208" s="400"/>
      <c r="AN208" s="400"/>
      <c r="AO208" s="400"/>
      <c r="AP208" s="400"/>
      <c r="AQ208" s="400"/>
      <c r="AR208" s="400"/>
      <c r="AS208" s="400"/>
      <c r="AT208" s="400"/>
      <c r="AU208" s="400"/>
      <c r="AV208" s="400"/>
      <c r="AW208" s="400"/>
      <c r="AX208" s="400"/>
      <c r="AY208" s="400"/>
      <c r="AZ208" s="400"/>
      <c r="BA208" s="400"/>
      <c r="BB208" s="400"/>
      <c r="BC208" s="400"/>
    </row>
    <row r="209" s="366" customFormat="1" ht="15" customHeight="1" spans="1:55">
      <c r="A209" s="395">
        <v>42939</v>
      </c>
      <c r="B209" s="443" t="s">
        <v>34</v>
      </c>
      <c r="C209" s="377"/>
      <c r="D209" s="329"/>
      <c r="E209" s="329"/>
      <c r="F209" s="378"/>
      <c r="G209" s="329"/>
      <c r="H209" s="376"/>
      <c r="I209" s="376"/>
      <c r="J209" s="399">
        <f t="shared" si="75"/>
        <v>0</v>
      </c>
      <c r="K209" s="329"/>
      <c r="L209" s="329"/>
      <c r="M209" s="401">
        <f t="shared" si="77"/>
        <v>0</v>
      </c>
      <c r="N209" s="396">
        <f t="shared" si="82"/>
        <v>0</v>
      </c>
      <c r="O209" s="368">
        <f t="shared" si="82"/>
        <v>0</v>
      </c>
      <c r="P209" s="398">
        <f t="shared" si="82"/>
        <v>0</v>
      </c>
      <c r="Q209" s="414">
        <f t="shared" si="81"/>
        <v>11578322</v>
      </c>
      <c r="R209" s="402">
        <f t="shared" si="81"/>
        <v>5905291</v>
      </c>
      <c r="S209" s="415">
        <f t="shared" si="81"/>
        <v>17776680.74</v>
      </c>
      <c r="T209" s="416">
        <f>N209/'2018'!N209-1</f>
        <v>-1</v>
      </c>
      <c r="U209" s="417">
        <f>O209/'2018'!O209-1</f>
        <v>-1</v>
      </c>
      <c r="V209" s="417">
        <f>P209/'2018'!P209-1</f>
        <v>-1</v>
      </c>
      <c r="W209" s="417">
        <f>Q209/'2018'!Q209-1</f>
        <v>-0.126554296704528</v>
      </c>
      <c r="X209" s="417">
        <f>R209/'2018'!R209-1</f>
        <v>-0.163115432368817</v>
      </c>
      <c r="Y209" s="424">
        <f>S209/'2018'!S209-1</f>
        <v>-0.13976689603431</v>
      </c>
      <c r="Z209" s="425"/>
      <c r="AA209" s="426">
        <f t="shared" si="76"/>
        <v>1157.8322</v>
      </c>
      <c r="AB209" s="427"/>
      <c r="AC209" s="449"/>
      <c r="AD209" s="427">
        <f t="shared" si="78"/>
        <v>11871389.74</v>
      </c>
      <c r="AE209" s="329">
        <f t="shared" si="79"/>
        <v>76209.22</v>
      </c>
      <c r="AF209" s="329">
        <f t="shared" si="79"/>
        <v>43161.64</v>
      </c>
      <c r="AG209" s="401">
        <f t="shared" si="80"/>
        <v>173696.879999998</v>
      </c>
      <c r="AH209" s="439"/>
      <c r="AI209" s="400"/>
      <c r="AJ209" s="400"/>
      <c r="AK209" s="400"/>
      <c r="AL209" s="400"/>
      <c r="AM209" s="400"/>
      <c r="AN209" s="400"/>
      <c r="AO209" s="400"/>
      <c r="AP209" s="400"/>
      <c r="AQ209" s="400"/>
      <c r="AR209" s="400"/>
      <c r="AS209" s="400"/>
      <c r="AT209" s="400"/>
      <c r="AU209" s="400"/>
      <c r="AV209" s="400"/>
      <c r="AW209" s="400"/>
      <c r="AX209" s="400"/>
      <c r="AY209" s="400"/>
      <c r="AZ209" s="400"/>
      <c r="BA209" s="400"/>
      <c r="BB209" s="400"/>
      <c r="BC209" s="400"/>
    </row>
    <row r="210" s="366" customFormat="1" ht="15" customHeight="1" spans="1:55">
      <c r="A210" s="395">
        <v>42940</v>
      </c>
      <c r="B210" s="443" t="s">
        <v>35</v>
      </c>
      <c r="C210" s="377"/>
      <c r="D210" s="329"/>
      <c r="E210" s="329"/>
      <c r="F210" s="378"/>
      <c r="G210" s="329"/>
      <c r="H210" s="376"/>
      <c r="I210" s="376"/>
      <c r="J210" s="399">
        <f t="shared" si="75"/>
        <v>0</v>
      </c>
      <c r="K210" s="329"/>
      <c r="L210" s="329"/>
      <c r="M210" s="401">
        <f t="shared" si="77"/>
        <v>0</v>
      </c>
      <c r="N210" s="396">
        <f t="shared" si="82"/>
        <v>0</v>
      </c>
      <c r="O210" s="368">
        <f t="shared" si="82"/>
        <v>0</v>
      </c>
      <c r="P210" s="398">
        <f t="shared" si="82"/>
        <v>0</v>
      </c>
      <c r="Q210" s="414">
        <f t="shared" si="81"/>
        <v>11578322</v>
      </c>
      <c r="R210" s="402">
        <f t="shared" si="81"/>
        <v>5905291</v>
      </c>
      <c r="S210" s="415">
        <f t="shared" si="81"/>
        <v>17776680.74</v>
      </c>
      <c r="T210" s="416">
        <f>N210/'2018'!N210-1</f>
        <v>-1</v>
      </c>
      <c r="U210" s="417">
        <f>O210/'2018'!O210-1</f>
        <v>-1</v>
      </c>
      <c r="V210" s="417">
        <f>P210/'2018'!P210-1</f>
        <v>-1</v>
      </c>
      <c r="W210" s="417">
        <f>Q210/'2018'!Q210-1</f>
        <v>-0.13159984141525</v>
      </c>
      <c r="X210" s="417">
        <f>R210/'2018'!R210-1</f>
        <v>-0.169586190244968</v>
      </c>
      <c r="Y210" s="424">
        <f>S210/'2018'!S210-1</f>
        <v>-0.145280869380544</v>
      </c>
      <c r="Z210" s="425"/>
      <c r="AA210" s="426">
        <f t="shared" si="76"/>
        <v>1157.8322</v>
      </c>
      <c r="AB210" s="427"/>
      <c r="AC210" s="401"/>
      <c r="AD210" s="427">
        <f t="shared" si="78"/>
        <v>11871389.74</v>
      </c>
      <c r="AE210" s="329">
        <f t="shared" si="79"/>
        <v>76209.22</v>
      </c>
      <c r="AF210" s="329">
        <f t="shared" si="79"/>
        <v>43161.64</v>
      </c>
      <c r="AG210" s="401">
        <f t="shared" si="80"/>
        <v>173696.879999998</v>
      </c>
      <c r="AH210" s="439"/>
      <c r="AI210" s="400"/>
      <c r="AJ210" s="400"/>
      <c r="AK210" s="400"/>
      <c r="AL210" s="400"/>
      <c r="AM210" s="400"/>
      <c r="AN210" s="400"/>
      <c r="AO210" s="400"/>
      <c r="AP210" s="400"/>
      <c r="AQ210" s="400"/>
      <c r="AR210" s="400"/>
      <c r="AS210" s="400"/>
      <c r="AT210" s="400"/>
      <c r="AU210" s="400"/>
      <c r="AV210" s="400"/>
      <c r="AW210" s="400"/>
      <c r="AX210" s="400"/>
      <c r="AY210" s="400"/>
      <c r="AZ210" s="400"/>
      <c r="BA210" s="400"/>
      <c r="BB210" s="400"/>
      <c r="BC210" s="400"/>
    </row>
    <row r="211" s="366" customFormat="1" ht="15" customHeight="1" spans="1:55">
      <c r="A211" s="395">
        <v>42941</v>
      </c>
      <c r="B211" s="191" t="s">
        <v>36</v>
      </c>
      <c r="C211" s="377"/>
      <c r="D211" s="329"/>
      <c r="E211" s="329"/>
      <c r="F211" s="378"/>
      <c r="G211" s="329"/>
      <c r="H211" s="376"/>
      <c r="I211" s="376"/>
      <c r="J211" s="399">
        <f t="shared" si="75"/>
        <v>0</v>
      </c>
      <c r="K211" s="329"/>
      <c r="L211" s="329"/>
      <c r="M211" s="401">
        <f t="shared" si="77"/>
        <v>0</v>
      </c>
      <c r="N211" s="396">
        <f t="shared" si="82"/>
        <v>0</v>
      </c>
      <c r="O211" s="368">
        <f t="shared" si="82"/>
        <v>0</v>
      </c>
      <c r="P211" s="398">
        <f t="shared" si="82"/>
        <v>0</v>
      </c>
      <c r="Q211" s="414">
        <f t="shared" si="81"/>
        <v>11578322</v>
      </c>
      <c r="R211" s="402">
        <f t="shared" si="81"/>
        <v>5905291</v>
      </c>
      <c r="S211" s="415">
        <f t="shared" si="81"/>
        <v>17776680.74</v>
      </c>
      <c r="T211" s="416">
        <f>N211/'2018'!N211-1</f>
        <v>-1</v>
      </c>
      <c r="U211" s="417">
        <f>O211/'2018'!O211-1</f>
        <v>-1</v>
      </c>
      <c r="V211" s="417">
        <f>P211/'2018'!P211-1</f>
        <v>-1</v>
      </c>
      <c r="W211" s="417">
        <f>Q211/'2018'!Q211-1</f>
        <v>-0.136913613478503</v>
      </c>
      <c r="X211" s="417">
        <f>R211/'2018'!R211-1</f>
        <v>-0.176065268599951</v>
      </c>
      <c r="Y211" s="424">
        <f>S211/'2018'!S211-1</f>
        <v>-0.150980711497093</v>
      </c>
      <c r="Z211" s="425"/>
      <c r="AA211" s="426">
        <f t="shared" si="76"/>
        <v>1157.8322</v>
      </c>
      <c r="AB211" s="427"/>
      <c r="AC211" s="401"/>
      <c r="AD211" s="427">
        <f t="shared" si="78"/>
        <v>11871389.74</v>
      </c>
      <c r="AE211" s="329">
        <f t="shared" si="79"/>
        <v>76209.22</v>
      </c>
      <c r="AF211" s="329">
        <f t="shared" si="79"/>
        <v>43161.64</v>
      </c>
      <c r="AG211" s="401">
        <f t="shared" si="80"/>
        <v>173696.879999998</v>
      </c>
      <c r="AH211" s="439"/>
      <c r="AI211" s="400"/>
      <c r="AJ211" s="400"/>
      <c r="AK211" s="400"/>
      <c r="AL211" s="400"/>
      <c r="AM211" s="400"/>
      <c r="AN211" s="400"/>
      <c r="AO211" s="400"/>
      <c r="AP211" s="400"/>
      <c r="AQ211" s="400"/>
      <c r="AR211" s="400"/>
      <c r="AS211" s="400"/>
      <c r="AT211" s="400"/>
      <c r="AU211" s="400"/>
      <c r="AV211" s="400"/>
      <c r="AW211" s="400"/>
      <c r="AX211" s="400"/>
      <c r="AY211" s="400"/>
      <c r="AZ211" s="400"/>
      <c r="BA211" s="400"/>
      <c r="BB211" s="400"/>
      <c r="BC211" s="400"/>
    </row>
    <row r="212" s="366" customFormat="1" ht="15" customHeight="1" spans="1:55">
      <c r="A212" s="395">
        <v>42942</v>
      </c>
      <c r="B212" s="443" t="s">
        <v>37</v>
      </c>
      <c r="C212" s="377"/>
      <c r="D212" s="329"/>
      <c r="E212" s="329"/>
      <c r="F212" s="378"/>
      <c r="G212" s="329"/>
      <c r="H212" s="376"/>
      <c r="I212" s="376"/>
      <c r="J212" s="399">
        <f t="shared" si="75"/>
        <v>0</v>
      </c>
      <c r="K212" s="329"/>
      <c r="L212" s="329"/>
      <c r="M212" s="401">
        <f t="shared" si="77"/>
        <v>0</v>
      </c>
      <c r="N212" s="396">
        <f t="shared" si="82"/>
        <v>0</v>
      </c>
      <c r="O212" s="368">
        <f t="shared" si="82"/>
        <v>0</v>
      </c>
      <c r="P212" s="398">
        <f t="shared" si="82"/>
        <v>0</v>
      </c>
      <c r="Q212" s="414">
        <f t="shared" si="81"/>
        <v>11578322</v>
      </c>
      <c r="R212" s="402">
        <f t="shared" si="81"/>
        <v>5905291</v>
      </c>
      <c r="S212" s="415">
        <f t="shared" si="81"/>
        <v>17776680.74</v>
      </c>
      <c r="T212" s="416">
        <f>N212/'2018'!N212-1</f>
        <v>-1</v>
      </c>
      <c r="U212" s="417">
        <f>O212/'2018'!O212-1</f>
        <v>-1</v>
      </c>
      <c r="V212" s="417">
        <f>P212/'2018'!P212-1</f>
        <v>-1</v>
      </c>
      <c r="W212" s="417">
        <f>Q212/'2018'!Q212-1</f>
        <v>-0.142035871951267</v>
      </c>
      <c r="X212" s="417">
        <f>R212/'2018'!R212-1</f>
        <v>-0.182756528111167</v>
      </c>
      <c r="Y212" s="424">
        <f>S212/'2018'!S212-1</f>
        <v>-0.156627723744637</v>
      </c>
      <c r="Z212" s="425"/>
      <c r="AA212" s="426">
        <f t="shared" si="76"/>
        <v>1157.8322</v>
      </c>
      <c r="AB212" s="427"/>
      <c r="AC212" s="401"/>
      <c r="AD212" s="427">
        <f t="shared" si="78"/>
        <v>11871389.74</v>
      </c>
      <c r="AE212" s="329">
        <f t="shared" si="79"/>
        <v>76209.22</v>
      </c>
      <c r="AF212" s="329">
        <f t="shared" si="79"/>
        <v>43161.64</v>
      </c>
      <c r="AG212" s="401">
        <f t="shared" si="80"/>
        <v>173696.879999998</v>
      </c>
      <c r="AH212" s="439"/>
      <c r="AI212" s="400"/>
      <c r="AJ212" s="400"/>
      <c r="AK212" s="400"/>
      <c r="AL212" s="400"/>
      <c r="AM212" s="400"/>
      <c r="AN212" s="400"/>
      <c r="AO212" s="400"/>
      <c r="AP212" s="400"/>
      <c r="AQ212" s="400"/>
      <c r="AR212" s="400"/>
      <c r="AS212" s="400"/>
      <c r="AT212" s="400"/>
      <c r="AU212" s="400"/>
      <c r="AV212" s="400"/>
      <c r="AW212" s="400"/>
      <c r="AX212" s="400"/>
      <c r="AY212" s="400"/>
      <c r="AZ212" s="400"/>
      <c r="BA212" s="400"/>
      <c r="BB212" s="400"/>
      <c r="BC212" s="400"/>
    </row>
    <row r="213" s="366" customFormat="1" ht="15" customHeight="1" spans="1:55">
      <c r="A213" s="395">
        <v>42943</v>
      </c>
      <c r="B213" s="443" t="s">
        <v>38</v>
      </c>
      <c r="C213" s="377"/>
      <c r="D213" s="329"/>
      <c r="E213" s="329"/>
      <c r="F213" s="378"/>
      <c r="G213" s="329"/>
      <c r="H213" s="376"/>
      <c r="I213" s="376"/>
      <c r="J213" s="399">
        <f t="shared" si="75"/>
        <v>0</v>
      </c>
      <c r="K213" s="329"/>
      <c r="L213" s="329"/>
      <c r="M213" s="401">
        <f t="shared" si="77"/>
        <v>0</v>
      </c>
      <c r="N213" s="396">
        <f t="shared" si="82"/>
        <v>0</v>
      </c>
      <c r="O213" s="368">
        <f t="shared" si="82"/>
        <v>0</v>
      </c>
      <c r="P213" s="398">
        <f t="shared" si="82"/>
        <v>0</v>
      </c>
      <c r="Q213" s="414">
        <f t="shared" si="81"/>
        <v>11578322</v>
      </c>
      <c r="R213" s="402">
        <f t="shared" si="81"/>
        <v>5905291</v>
      </c>
      <c r="S213" s="415">
        <f t="shared" si="81"/>
        <v>17776680.74</v>
      </c>
      <c r="T213" s="416">
        <f>N213/'2018'!N213-1</f>
        <v>-1</v>
      </c>
      <c r="U213" s="417">
        <f>O213/'2018'!O213-1</f>
        <v>-1</v>
      </c>
      <c r="V213" s="417">
        <f>P213/'2018'!P213-1</f>
        <v>-1</v>
      </c>
      <c r="W213" s="417">
        <f>Q213/'2018'!Q213-1</f>
        <v>-0.146885907010497</v>
      </c>
      <c r="X213" s="417">
        <f>R213/'2018'!R213-1</f>
        <v>-0.189081941806554</v>
      </c>
      <c r="Y213" s="424">
        <f>S213/'2018'!S213-1</f>
        <v>-0.162106681855937</v>
      </c>
      <c r="Z213" s="425"/>
      <c r="AA213" s="426">
        <f t="shared" si="76"/>
        <v>1157.8322</v>
      </c>
      <c r="AB213" s="427"/>
      <c r="AC213" s="401"/>
      <c r="AD213" s="427">
        <f t="shared" si="78"/>
        <v>11871389.74</v>
      </c>
      <c r="AE213" s="329">
        <f t="shared" si="79"/>
        <v>76209.22</v>
      </c>
      <c r="AF213" s="329">
        <f t="shared" si="79"/>
        <v>43161.64</v>
      </c>
      <c r="AG213" s="401">
        <f t="shared" si="80"/>
        <v>173696.879999998</v>
      </c>
      <c r="AH213" s="439"/>
      <c r="AI213" s="400"/>
      <c r="AJ213" s="400"/>
      <c r="AK213" s="400"/>
      <c r="AL213" s="400"/>
      <c r="AM213" s="400"/>
      <c r="AN213" s="400"/>
      <c r="AO213" s="400"/>
      <c r="AP213" s="400"/>
      <c r="AQ213" s="400"/>
      <c r="AR213" s="400"/>
      <c r="AS213" s="400"/>
      <c r="AT213" s="400"/>
      <c r="AU213" s="400"/>
      <c r="AV213" s="400"/>
      <c r="AW213" s="400"/>
      <c r="AX213" s="400"/>
      <c r="AY213" s="400"/>
      <c r="AZ213" s="400"/>
      <c r="BA213" s="400"/>
      <c r="BB213" s="400"/>
      <c r="BC213" s="400"/>
    </row>
    <row r="214" s="366" customFormat="1" ht="15" customHeight="1" spans="1:55">
      <c r="A214" s="395">
        <v>42944</v>
      </c>
      <c r="B214" s="443" t="s">
        <v>1</v>
      </c>
      <c r="C214" s="377"/>
      <c r="D214" s="329"/>
      <c r="E214" s="329"/>
      <c r="F214" s="378"/>
      <c r="G214" s="329"/>
      <c r="H214" s="376"/>
      <c r="I214" s="376"/>
      <c r="J214" s="399">
        <f t="shared" si="75"/>
        <v>0</v>
      </c>
      <c r="K214" s="329"/>
      <c r="L214" s="329"/>
      <c r="M214" s="401">
        <f t="shared" si="77"/>
        <v>0</v>
      </c>
      <c r="N214" s="396">
        <f t="shared" si="82"/>
        <v>0</v>
      </c>
      <c r="O214" s="368">
        <f t="shared" si="82"/>
        <v>0</v>
      </c>
      <c r="P214" s="398">
        <f t="shared" si="82"/>
        <v>0</v>
      </c>
      <c r="Q214" s="414">
        <f t="shared" si="81"/>
        <v>11578322</v>
      </c>
      <c r="R214" s="402">
        <f t="shared" si="81"/>
        <v>5905291</v>
      </c>
      <c r="S214" s="415">
        <f t="shared" si="81"/>
        <v>17776680.74</v>
      </c>
      <c r="T214" s="416">
        <f>N214/'2018'!N214-1</f>
        <v>-1</v>
      </c>
      <c r="U214" s="417">
        <f>O214/'2018'!O214-1</f>
        <v>-1</v>
      </c>
      <c r="V214" s="417">
        <f>P214/'2018'!P214-1</f>
        <v>-1</v>
      </c>
      <c r="W214" s="417">
        <f>Q214/'2018'!Q214-1</f>
        <v>-0.151790918246874</v>
      </c>
      <c r="X214" s="417">
        <f>R214/'2018'!R214-1</f>
        <v>-0.195249658594167</v>
      </c>
      <c r="Y214" s="424">
        <f>S214/'2018'!S214-1</f>
        <v>-0.167567811337316</v>
      </c>
      <c r="Z214" s="425"/>
      <c r="AA214" s="426">
        <f t="shared" si="76"/>
        <v>1157.8322</v>
      </c>
      <c r="AB214" s="427"/>
      <c r="AC214" s="401"/>
      <c r="AD214" s="427">
        <f t="shared" si="78"/>
        <v>11871389.74</v>
      </c>
      <c r="AE214" s="329">
        <f t="shared" si="79"/>
        <v>76209.22</v>
      </c>
      <c r="AF214" s="329">
        <f t="shared" si="79"/>
        <v>43161.64</v>
      </c>
      <c r="AG214" s="401">
        <f t="shared" si="80"/>
        <v>173696.879999998</v>
      </c>
      <c r="AH214" s="439"/>
      <c r="AI214" s="400"/>
      <c r="AJ214" s="400"/>
      <c r="AK214" s="400"/>
      <c r="AL214" s="400"/>
      <c r="AM214" s="400"/>
      <c r="AN214" s="400"/>
      <c r="AO214" s="400"/>
      <c r="AP214" s="400"/>
      <c r="AQ214" s="400"/>
      <c r="AR214" s="400"/>
      <c r="AS214" s="400"/>
      <c r="AT214" s="400"/>
      <c r="AU214" s="400"/>
      <c r="AV214" s="400"/>
      <c r="AW214" s="400"/>
      <c r="AX214" s="400"/>
      <c r="AY214" s="400"/>
      <c r="AZ214" s="400"/>
      <c r="BA214" s="400"/>
      <c r="BB214" s="400"/>
      <c r="BC214" s="400"/>
    </row>
    <row r="215" s="366" customFormat="1" ht="15" customHeight="1" spans="1:55">
      <c r="A215" s="395">
        <v>42945</v>
      </c>
      <c r="B215" s="443" t="s">
        <v>39</v>
      </c>
      <c r="C215" s="377"/>
      <c r="D215" s="329"/>
      <c r="E215" s="329"/>
      <c r="F215" s="378"/>
      <c r="G215" s="329"/>
      <c r="H215" s="376"/>
      <c r="I215" s="376"/>
      <c r="J215" s="399">
        <f t="shared" si="75"/>
        <v>0</v>
      </c>
      <c r="K215" s="329"/>
      <c r="L215" s="329"/>
      <c r="M215" s="401">
        <f t="shared" si="77"/>
        <v>0</v>
      </c>
      <c r="N215" s="396">
        <f t="shared" si="82"/>
        <v>0</v>
      </c>
      <c r="O215" s="368">
        <f t="shared" si="82"/>
        <v>0</v>
      </c>
      <c r="P215" s="398">
        <f t="shared" si="82"/>
        <v>0</v>
      </c>
      <c r="Q215" s="414">
        <f t="shared" si="81"/>
        <v>11578322</v>
      </c>
      <c r="R215" s="402">
        <f t="shared" si="81"/>
        <v>5905291</v>
      </c>
      <c r="S215" s="415">
        <f t="shared" si="81"/>
        <v>17776680.74</v>
      </c>
      <c r="T215" s="416">
        <f>N215/'2018'!N215-1</f>
        <v>-1</v>
      </c>
      <c r="U215" s="417">
        <f>O215/'2018'!O215-1</f>
        <v>-1</v>
      </c>
      <c r="V215" s="417">
        <f>P215/'2018'!P215-1</f>
        <v>-1</v>
      </c>
      <c r="W215" s="417">
        <f>Q215/'2018'!Q215-1</f>
        <v>-0.156412926792697</v>
      </c>
      <c r="X215" s="417">
        <f>R215/'2018'!R215-1</f>
        <v>-0.201172142640223</v>
      </c>
      <c r="Y215" s="424">
        <f>S215/'2018'!S215-1</f>
        <v>-0.172820288361469</v>
      </c>
      <c r="Z215" s="425"/>
      <c r="AA215" s="426">
        <f t="shared" si="76"/>
        <v>1157.8322</v>
      </c>
      <c r="AB215" s="427"/>
      <c r="AC215" s="401"/>
      <c r="AD215" s="427">
        <f t="shared" si="78"/>
        <v>11871389.74</v>
      </c>
      <c r="AE215" s="329">
        <f t="shared" ref="AE215:AF230" si="83">AE214+K215</f>
        <v>76209.22</v>
      </c>
      <c r="AF215" s="329">
        <f t="shared" si="83"/>
        <v>43161.64</v>
      </c>
      <c r="AG215" s="401">
        <f t="shared" si="80"/>
        <v>173696.879999998</v>
      </c>
      <c r="AH215" s="439"/>
      <c r="AI215" s="400"/>
      <c r="AJ215" s="400"/>
      <c r="AK215" s="400"/>
      <c r="AL215" s="400"/>
      <c r="AM215" s="400"/>
      <c r="AN215" s="400"/>
      <c r="AO215" s="400"/>
      <c r="AP215" s="400"/>
      <c r="AQ215" s="400"/>
      <c r="AR215" s="400"/>
      <c r="AS215" s="400"/>
      <c r="AT215" s="400"/>
      <c r="AU215" s="400"/>
      <c r="AV215" s="400"/>
      <c r="AW215" s="400"/>
      <c r="AX215" s="400"/>
      <c r="AY215" s="400"/>
      <c r="AZ215" s="400"/>
      <c r="BA215" s="400"/>
      <c r="BB215" s="400"/>
      <c r="BC215" s="400"/>
    </row>
    <row r="216" s="366" customFormat="1" ht="15" customHeight="1" spans="1:55">
      <c r="A216" s="395">
        <v>42946</v>
      </c>
      <c r="B216" s="443" t="s">
        <v>34</v>
      </c>
      <c r="C216" s="377"/>
      <c r="D216" s="329"/>
      <c r="E216" s="329"/>
      <c r="F216" s="378"/>
      <c r="G216" s="329"/>
      <c r="H216" s="376"/>
      <c r="I216" s="376"/>
      <c r="J216" s="399">
        <f t="shared" si="75"/>
        <v>0</v>
      </c>
      <c r="K216" s="329"/>
      <c r="L216" s="329"/>
      <c r="M216" s="401">
        <f t="shared" si="77"/>
        <v>0</v>
      </c>
      <c r="N216" s="396">
        <f t="shared" si="82"/>
        <v>0</v>
      </c>
      <c r="O216" s="368">
        <f t="shared" si="82"/>
        <v>0</v>
      </c>
      <c r="P216" s="398">
        <f t="shared" si="82"/>
        <v>0</v>
      </c>
      <c r="Q216" s="414">
        <f t="shared" si="81"/>
        <v>11578322</v>
      </c>
      <c r="R216" s="402">
        <f t="shared" si="81"/>
        <v>5905291</v>
      </c>
      <c r="S216" s="415">
        <f t="shared" si="81"/>
        <v>17776680.74</v>
      </c>
      <c r="T216" s="416">
        <f>N216/'2018'!N216-1</f>
        <v>-1</v>
      </c>
      <c r="U216" s="417">
        <f>O216/'2018'!O216-1</f>
        <v>-1</v>
      </c>
      <c r="V216" s="417">
        <f>P216/'2018'!P216-1</f>
        <v>-1</v>
      </c>
      <c r="W216" s="417">
        <f>Q216/'2018'!Q216-1</f>
        <v>-0.161263748701962</v>
      </c>
      <c r="X216" s="417">
        <f>R216/'2018'!R216-1</f>
        <v>-0.207471996487013</v>
      </c>
      <c r="Y216" s="424">
        <f>S216/'2018'!S216-1</f>
        <v>-0.17824495388847</v>
      </c>
      <c r="Z216" s="425"/>
      <c r="AA216" s="426">
        <f t="shared" si="76"/>
        <v>1157.8322</v>
      </c>
      <c r="AB216" s="427"/>
      <c r="AC216" s="401"/>
      <c r="AD216" s="427">
        <f t="shared" si="78"/>
        <v>11871389.74</v>
      </c>
      <c r="AE216" s="329">
        <f t="shared" si="83"/>
        <v>76209.22</v>
      </c>
      <c r="AF216" s="329">
        <f t="shared" si="83"/>
        <v>43161.64</v>
      </c>
      <c r="AG216" s="401">
        <f t="shared" si="80"/>
        <v>173696.879999998</v>
      </c>
      <c r="AH216" s="439"/>
      <c r="AI216" s="400"/>
      <c r="AJ216" s="400"/>
      <c r="AK216" s="400"/>
      <c r="AL216" s="400"/>
      <c r="AM216" s="400"/>
      <c r="AN216" s="400"/>
      <c r="AO216" s="400"/>
      <c r="AP216" s="400"/>
      <c r="AQ216" s="400"/>
      <c r="AR216" s="400"/>
      <c r="AS216" s="400"/>
      <c r="AT216" s="400"/>
      <c r="AU216" s="400"/>
      <c r="AV216" s="400"/>
      <c r="AW216" s="400"/>
      <c r="AX216" s="400"/>
      <c r="AY216" s="400"/>
      <c r="AZ216" s="400"/>
      <c r="BA216" s="400"/>
      <c r="BB216" s="400"/>
      <c r="BC216" s="400"/>
    </row>
    <row r="217" s="366" customFormat="1" ht="15" customHeight="1" spans="1:55">
      <c r="A217" s="385">
        <v>42947</v>
      </c>
      <c r="B217" s="386" t="s">
        <v>35</v>
      </c>
      <c r="C217" s="391"/>
      <c r="D217" s="392"/>
      <c r="E217" s="392"/>
      <c r="F217" s="394"/>
      <c r="G217" s="392"/>
      <c r="H217" s="389"/>
      <c r="I217" s="389"/>
      <c r="J217" s="405">
        <f t="shared" si="75"/>
        <v>0</v>
      </c>
      <c r="K217" s="392"/>
      <c r="L217" s="392"/>
      <c r="M217" s="406">
        <f t="shared" si="77"/>
        <v>0</v>
      </c>
      <c r="N217" s="407">
        <f t="shared" ref="N217" si="84">C217+N216</f>
        <v>0</v>
      </c>
      <c r="O217" s="411">
        <f t="shared" ref="O217" si="85">D217+O216</f>
        <v>0</v>
      </c>
      <c r="P217" s="412">
        <f t="shared" ref="P217" si="86">E217+P216</f>
        <v>0</v>
      </c>
      <c r="Q217" s="418">
        <f>[6]表2、统调口径电量!$I$10</f>
        <v>13879287.72</v>
      </c>
      <c r="R217" s="408">
        <f>[6]表2、统调口径电量!$I$14</f>
        <v>7519553</v>
      </c>
      <c r="S217" s="419">
        <f>[6]表2、统调口径电量!$I$3</f>
        <v>21771111.72</v>
      </c>
      <c r="T217" s="420">
        <f>N217/'2018'!N217-1</f>
        <v>-1</v>
      </c>
      <c r="U217" s="421">
        <f>O217/'2018'!O217-1</f>
        <v>-1</v>
      </c>
      <c r="V217" s="421">
        <f>P217/'2018'!P217-1</f>
        <v>-1</v>
      </c>
      <c r="W217" s="421">
        <f>Q217/'2018'!Q217-1</f>
        <v>0</v>
      </c>
      <c r="X217" s="421">
        <f>R217/'2018'!R217-1</f>
        <v>0</v>
      </c>
      <c r="Y217" s="431">
        <f>S217/'2018'!S217-1</f>
        <v>0</v>
      </c>
      <c r="Z217" s="432"/>
      <c r="AA217" s="433">
        <f>[6]表2、统调口径电量!$I$11/10000</f>
        <v>1318.498703</v>
      </c>
      <c r="AB217" s="435"/>
      <c r="AC217" s="406"/>
      <c r="AD217" s="450">
        <f t="shared" si="78"/>
        <v>14251558.72</v>
      </c>
      <c r="AE217" s="392">
        <f t="shared" si="83"/>
        <v>76209.22</v>
      </c>
      <c r="AF217" s="392">
        <f t="shared" si="83"/>
        <v>43161.64</v>
      </c>
      <c r="AG217" s="406">
        <f t="shared" si="80"/>
        <v>252900.139999998</v>
      </c>
      <c r="AH217" s="439"/>
      <c r="AI217" s="400"/>
      <c r="AJ217" s="400"/>
      <c r="AK217" s="400"/>
      <c r="AL217" s="400"/>
      <c r="AM217" s="400"/>
      <c r="AN217" s="400"/>
      <c r="AO217" s="400"/>
      <c r="AP217" s="400"/>
      <c r="AQ217" s="400"/>
      <c r="AR217" s="400"/>
      <c r="AS217" s="400"/>
      <c r="AT217" s="400"/>
      <c r="AU217" s="400"/>
      <c r="AV217" s="400"/>
      <c r="AW217" s="400"/>
      <c r="AX217" s="400"/>
      <c r="AY217" s="400"/>
      <c r="AZ217" s="400"/>
      <c r="BA217" s="400"/>
      <c r="BB217" s="400"/>
      <c r="BC217" s="400"/>
    </row>
    <row r="218" s="366" customFormat="1" ht="15" customHeight="1" spans="1:55">
      <c r="A218" s="395">
        <v>42948</v>
      </c>
      <c r="B218" s="191" t="s">
        <v>36</v>
      </c>
      <c r="C218" s="377"/>
      <c r="D218" s="329"/>
      <c r="E218" s="329"/>
      <c r="F218" s="378"/>
      <c r="G218" s="329"/>
      <c r="H218" s="376"/>
      <c r="I218" s="376"/>
      <c r="J218" s="399">
        <f t="shared" si="75"/>
        <v>0</v>
      </c>
      <c r="K218" s="329"/>
      <c r="L218" s="329"/>
      <c r="M218" s="401">
        <f t="shared" si="77"/>
        <v>0</v>
      </c>
      <c r="N218" s="396">
        <f>C218</f>
        <v>0</v>
      </c>
      <c r="O218" s="368">
        <f>D218</f>
        <v>0</v>
      </c>
      <c r="P218" s="398">
        <f>E218</f>
        <v>0</v>
      </c>
      <c r="Q218" s="414">
        <f>Q$217+N218</f>
        <v>13879287.72</v>
      </c>
      <c r="R218" s="402">
        <f>R$217+O218</f>
        <v>7519553</v>
      </c>
      <c r="S218" s="415">
        <f>S$217+P218</f>
        <v>21771111.72</v>
      </c>
      <c r="T218" s="416">
        <f>N218/'2018'!N218-1</f>
        <v>-1</v>
      </c>
      <c r="U218" s="417">
        <f>O218/'2018'!O218-1</f>
        <v>-1</v>
      </c>
      <c r="V218" s="417">
        <f>P218/'2018'!P218-1</f>
        <v>-1</v>
      </c>
      <c r="W218" s="417">
        <f>Q218/'2018'!Q218-1</f>
        <v>-0.00501810604406305</v>
      </c>
      <c r="X218" s="417">
        <f>R218/'2018'!R218-1</f>
        <v>-0.00783134135718266</v>
      </c>
      <c r="Y218" s="424">
        <f>S218/'2018'!S218-1</f>
        <v>-0.00606592964833153</v>
      </c>
      <c r="Z218" s="425"/>
      <c r="AA218" s="426">
        <f t="shared" si="76"/>
        <v>1387.928772</v>
      </c>
      <c r="AB218" s="427"/>
      <c r="AC218" s="401"/>
      <c r="AD218" s="427">
        <f t="shared" si="78"/>
        <v>14251558.72</v>
      </c>
      <c r="AE218" s="329">
        <f t="shared" si="83"/>
        <v>76209.22</v>
      </c>
      <c r="AF218" s="329">
        <f t="shared" si="83"/>
        <v>43161.64</v>
      </c>
      <c r="AG218" s="401">
        <f t="shared" si="80"/>
        <v>252900.139999998</v>
      </c>
      <c r="AH218" s="439"/>
      <c r="AI218" s="400"/>
      <c r="AJ218" s="400"/>
      <c r="AK218" s="400"/>
      <c r="AL218" s="400"/>
      <c r="AM218" s="400"/>
      <c r="AN218" s="400"/>
      <c r="AO218" s="400"/>
      <c r="AP218" s="400"/>
      <c r="AQ218" s="400"/>
      <c r="AR218" s="400"/>
      <c r="AS218" s="400"/>
      <c r="AT218" s="400"/>
      <c r="AU218" s="400"/>
      <c r="AV218" s="400"/>
      <c r="AW218" s="400"/>
      <c r="AX218" s="400"/>
      <c r="AY218" s="400"/>
      <c r="AZ218" s="400"/>
      <c r="BA218" s="400"/>
      <c r="BB218" s="400"/>
      <c r="BC218" s="400"/>
    </row>
    <row r="219" s="366" customFormat="1" ht="15" customHeight="1" spans="1:55">
      <c r="A219" s="395">
        <v>42949</v>
      </c>
      <c r="B219" s="443" t="s">
        <v>37</v>
      </c>
      <c r="C219" s="377"/>
      <c r="D219" s="329"/>
      <c r="E219" s="329"/>
      <c r="F219" s="378"/>
      <c r="G219" s="329"/>
      <c r="H219" s="376"/>
      <c r="I219" s="376"/>
      <c r="J219" s="399">
        <f t="shared" si="75"/>
        <v>0</v>
      </c>
      <c r="K219" s="329"/>
      <c r="L219" s="329"/>
      <c r="M219" s="401">
        <f t="shared" si="77"/>
        <v>0</v>
      </c>
      <c r="N219" s="396">
        <f t="shared" ref="N219:P234" si="87">N218+C219</f>
        <v>0</v>
      </c>
      <c r="O219" s="368">
        <f t="shared" si="87"/>
        <v>0</v>
      </c>
      <c r="P219" s="398">
        <f t="shared" si="87"/>
        <v>0</v>
      </c>
      <c r="Q219" s="414">
        <f t="shared" ref="Q219:S247" si="88">Q$217+N219</f>
        <v>13879287.72</v>
      </c>
      <c r="R219" s="402">
        <f t="shared" si="88"/>
        <v>7519553</v>
      </c>
      <c r="S219" s="415">
        <f t="shared" si="88"/>
        <v>21771111.72</v>
      </c>
      <c r="T219" s="416">
        <f>N219/'2018'!N219-1</f>
        <v>-1</v>
      </c>
      <c r="U219" s="417">
        <f>O219/'2018'!O219-1</f>
        <v>-1</v>
      </c>
      <c r="V219" s="417">
        <f>P219/'2018'!P219-1</f>
        <v>-1</v>
      </c>
      <c r="W219" s="417">
        <f>Q219/'2018'!Q219-1</f>
        <v>-0.0100091217076873</v>
      </c>
      <c r="X219" s="417">
        <f>R219/'2018'!R219-1</f>
        <v>-0.0155389138575455</v>
      </c>
      <c r="Y219" s="424">
        <f>S219/'2018'!S219-1</f>
        <v>-0.0120776304588425</v>
      </c>
      <c r="Z219" s="425"/>
      <c r="AA219" s="426">
        <f t="shared" si="76"/>
        <v>1387.928772</v>
      </c>
      <c r="AB219" s="427"/>
      <c r="AC219" s="401"/>
      <c r="AD219" s="427">
        <f t="shared" si="78"/>
        <v>14251558.72</v>
      </c>
      <c r="AE219" s="329">
        <f t="shared" si="83"/>
        <v>76209.22</v>
      </c>
      <c r="AF219" s="329">
        <f t="shared" si="83"/>
        <v>43161.64</v>
      </c>
      <c r="AG219" s="401">
        <f t="shared" si="80"/>
        <v>252900.139999998</v>
      </c>
      <c r="AH219" s="439"/>
      <c r="AI219" s="400"/>
      <c r="AJ219" s="400"/>
      <c r="AK219" s="400"/>
      <c r="AL219" s="400"/>
      <c r="AM219" s="400"/>
      <c r="AN219" s="400"/>
      <c r="AO219" s="400"/>
      <c r="AP219" s="400"/>
      <c r="AQ219" s="400"/>
      <c r="AR219" s="400"/>
      <c r="AS219" s="400"/>
      <c r="AT219" s="400"/>
      <c r="AU219" s="400"/>
      <c r="AV219" s="400"/>
      <c r="AW219" s="400"/>
      <c r="AX219" s="400"/>
      <c r="AY219" s="400"/>
      <c r="AZ219" s="400"/>
      <c r="BA219" s="400"/>
      <c r="BB219" s="400"/>
      <c r="BC219" s="400"/>
    </row>
    <row r="220" s="366" customFormat="1" ht="15" customHeight="1" spans="1:55">
      <c r="A220" s="395">
        <v>42950</v>
      </c>
      <c r="B220" s="443" t="s">
        <v>38</v>
      </c>
      <c r="C220" s="377"/>
      <c r="D220" s="329"/>
      <c r="E220" s="329"/>
      <c r="F220" s="378"/>
      <c r="G220" s="329"/>
      <c r="H220" s="376"/>
      <c r="I220" s="376"/>
      <c r="J220" s="399">
        <f t="shared" si="75"/>
        <v>0</v>
      </c>
      <c r="K220" s="329"/>
      <c r="L220" s="329"/>
      <c r="M220" s="401">
        <f t="shared" si="77"/>
        <v>0</v>
      </c>
      <c r="N220" s="396">
        <f t="shared" si="87"/>
        <v>0</v>
      </c>
      <c r="O220" s="368">
        <f t="shared" si="87"/>
        <v>0</v>
      </c>
      <c r="P220" s="398">
        <f t="shared" si="87"/>
        <v>0</v>
      </c>
      <c r="Q220" s="414">
        <f t="shared" si="88"/>
        <v>13879287.72</v>
      </c>
      <c r="R220" s="402">
        <f t="shared" si="88"/>
        <v>7519553</v>
      </c>
      <c r="S220" s="415">
        <f t="shared" si="88"/>
        <v>21771111.72</v>
      </c>
      <c r="T220" s="416">
        <f>N220/'2018'!N220-1</f>
        <v>-1</v>
      </c>
      <c r="U220" s="417">
        <f>O220/'2018'!O220-1</f>
        <v>-1</v>
      </c>
      <c r="V220" s="417">
        <f>P220/'2018'!P220-1</f>
        <v>-1</v>
      </c>
      <c r="W220" s="417">
        <f>Q220/'2018'!Q220-1</f>
        <v>-0.0147378783738427</v>
      </c>
      <c r="X220" s="417">
        <f>R220/'2018'!R220-1</f>
        <v>-0.0226934454183433</v>
      </c>
      <c r="Y220" s="424">
        <f>S220/'2018'!S220-1</f>
        <v>-0.0177482962150872</v>
      </c>
      <c r="Z220" s="425"/>
      <c r="AA220" s="426">
        <f t="shared" si="76"/>
        <v>1387.928772</v>
      </c>
      <c r="AB220" s="427"/>
      <c r="AC220" s="401"/>
      <c r="AD220" s="427">
        <f t="shared" si="78"/>
        <v>14251558.72</v>
      </c>
      <c r="AE220" s="329">
        <f t="shared" si="83"/>
        <v>76209.22</v>
      </c>
      <c r="AF220" s="329">
        <f t="shared" si="83"/>
        <v>43161.64</v>
      </c>
      <c r="AG220" s="401">
        <f t="shared" si="80"/>
        <v>252900.139999998</v>
      </c>
      <c r="AH220" s="439"/>
      <c r="AI220" s="400"/>
      <c r="AJ220" s="400"/>
      <c r="AK220" s="400"/>
      <c r="AL220" s="400"/>
      <c r="AM220" s="400"/>
      <c r="AN220" s="400"/>
      <c r="AO220" s="400"/>
      <c r="AP220" s="400"/>
      <c r="AQ220" s="400"/>
      <c r="AR220" s="400"/>
      <c r="AS220" s="400"/>
      <c r="AT220" s="400"/>
      <c r="AU220" s="400"/>
      <c r="AV220" s="400"/>
      <c r="AW220" s="400"/>
      <c r="AX220" s="400"/>
      <c r="AY220" s="400"/>
      <c r="AZ220" s="400"/>
      <c r="BA220" s="400"/>
      <c r="BB220" s="400"/>
      <c r="BC220" s="400"/>
    </row>
    <row r="221" s="366" customFormat="1" ht="15" customHeight="1" spans="1:55">
      <c r="A221" s="395">
        <v>42951</v>
      </c>
      <c r="B221" s="443" t="s">
        <v>1</v>
      </c>
      <c r="C221" s="377"/>
      <c r="D221" s="329"/>
      <c r="E221" s="329"/>
      <c r="F221" s="378"/>
      <c r="G221" s="329"/>
      <c r="H221" s="376"/>
      <c r="I221" s="376"/>
      <c r="J221" s="399">
        <f t="shared" si="75"/>
        <v>0</v>
      </c>
      <c r="K221" s="329"/>
      <c r="L221" s="329"/>
      <c r="M221" s="401">
        <f t="shared" si="77"/>
        <v>0</v>
      </c>
      <c r="N221" s="396">
        <f t="shared" si="87"/>
        <v>0</v>
      </c>
      <c r="O221" s="368">
        <f t="shared" si="87"/>
        <v>0</v>
      </c>
      <c r="P221" s="398">
        <f t="shared" si="87"/>
        <v>0</v>
      </c>
      <c r="Q221" s="414">
        <f t="shared" si="88"/>
        <v>13879287.72</v>
      </c>
      <c r="R221" s="402">
        <f t="shared" si="88"/>
        <v>7519553</v>
      </c>
      <c r="S221" s="415">
        <f t="shared" si="88"/>
        <v>21771111.72</v>
      </c>
      <c r="T221" s="416">
        <f>N221/'2018'!N221-1</f>
        <v>-1</v>
      </c>
      <c r="U221" s="417">
        <f>O221/'2018'!O221-1</f>
        <v>-1</v>
      </c>
      <c r="V221" s="417">
        <f>P221/'2018'!P221-1</f>
        <v>-1</v>
      </c>
      <c r="W221" s="417">
        <f>Q221/'2018'!Q221-1</f>
        <v>-0.019375048825335</v>
      </c>
      <c r="X221" s="417">
        <f>R221/'2018'!R221-1</f>
        <v>-0.0300836409109758</v>
      </c>
      <c r="Y221" s="424">
        <f>S221/'2018'!S221-1</f>
        <v>-0.0234397917939644</v>
      </c>
      <c r="Z221" s="425"/>
      <c r="AA221" s="426">
        <f t="shared" si="76"/>
        <v>1387.928772</v>
      </c>
      <c r="AB221" s="427"/>
      <c r="AC221" s="401"/>
      <c r="AD221" s="427">
        <f t="shared" si="78"/>
        <v>14251558.72</v>
      </c>
      <c r="AE221" s="329">
        <f t="shared" si="83"/>
        <v>76209.22</v>
      </c>
      <c r="AF221" s="329">
        <f t="shared" si="83"/>
        <v>43161.64</v>
      </c>
      <c r="AG221" s="401">
        <f t="shared" si="80"/>
        <v>252900.139999998</v>
      </c>
      <c r="AH221" s="439"/>
      <c r="AI221" s="400"/>
      <c r="AJ221" s="400"/>
      <c r="AK221" s="400"/>
      <c r="AL221" s="400"/>
      <c r="AM221" s="400"/>
      <c r="AN221" s="400"/>
      <c r="AO221" s="400"/>
      <c r="AP221" s="400"/>
      <c r="AQ221" s="400"/>
      <c r="AR221" s="400"/>
      <c r="AS221" s="400"/>
      <c r="AT221" s="400"/>
      <c r="AU221" s="400"/>
      <c r="AV221" s="400"/>
      <c r="AW221" s="400"/>
      <c r="AX221" s="400"/>
      <c r="AY221" s="400"/>
      <c r="AZ221" s="400"/>
      <c r="BA221" s="400"/>
      <c r="BB221" s="400"/>
      <c r="BC221" s="400"/>
    </row>
    <row r="222" s="366" customFormat="1" ht="15" customHeight="1" spans="1:55">
      <c r="A222" s="395">
        <v>42952</v>
      </c>
      <c r="B222" s="443" t="s">
        <v>39</v>
      </c>
      <c r="C222" s="377"/>
      <c r="D222" s="329"/>
      <c r="E222" s="329"/>
      <c r="F222" s="378"/>
      <c r="G222" s="329"/>
      <c r="H222" s="376"/>
      <c r="I222" s="376"/>
      <c r="J222" s="399">
        <f t="shared" si="75"/>
        <v>0</v>
      </c>
      <c r="K222" s="329"/>
      <c r="L222" s="329"/>
      <c r="M222" s="401">
        <f t="shared" si="77"/>
        <v>0</v>
      </c>
      <c r="N222" s="396">
        <f t="shared" si="87"/>
        <v>0</v>
      </c>
      <c r="O222" s="368">
        <f t="shared" si="87"/>
        <v>0</v>
      </c>
      <c r="P222" s="398">
        <f t="shared" si="87"/>
        <v>0</v>
      </c>
      <c r="Q222" s="414">
        <f t="shared" si="88"/>
        <v>13879287.72</v>
      </c>
      <c r="R222" s="402">
        <f t="shared" si="88"/>
        <v>7519553</v>
      </c>
      <c r="S222" s="415">
        <f t="shared" si="88"/>
        <v>21771111.72</v>
      </c>
      <c r="T222" s="416">
        <f>N222/'2018'!N222-1</f>
        <v>-1</v>
      </c>
      <c r="U222" s="417">
        <f>O222/'2018'!O222-1</f>
        <v>-1</v>
      </c>
      <c r="V222" s="417">
        <f>P222/'2018'!P222-1</f>
        <v>-1</v>
      </c>
      <c r="W222" s="417">
        <f>Q222/'2018'!Q222-1</f>
        <v>-0.0239126251982804</v>
      </c>
      <c r="X222" s="417">
        <f>R222/'2018'!R222-1</f>
        <v>-0.0374088732367501</v>
      </c>
      <c r="Y222" s="424">
        <f>S222/'2018'!S222-1</f>
        <v>-0.0290625061884627</v>
      </c>
      <c r="Z222" s="425"/>
      <c r="AA222" s="426">
        <f t="shared" si="76"/>
        <v>1387.928772</v>
      </c>
      <c r="AB222" s="427"/>
      <c r="AC222" s="401"/>
      <c r="AD222" s="427">
        <f t="shared" si="78"/>
        <v>14251558.72</v>
      </c>
      <c r="AE222" s="329">
        <f t="shared" si="83"/>
        <v>76209.22</v>
      </c>
      <c r="AF222" s="329">
        <f t="shared" si="83"/>
        <v>43161.64</v>
      </c>
      <c r="AG222" s="401">
        <f t="shared" si="80"/>
        <v>252900.139999998</v>
      </c>
      <c r="AH222" s="439"/>
      <c r="AI222" s="400"/>
      <c r="AJ222" s="400"/>
      <c r="AK222" s="400"/>
      <c r="AL222" s="400"/>
      <c r="AM222" s="400"/>
      <c r="AN222" s="400"/>
      <c r="AO222" s="400"/>
      <c r="AP222" s="400"/>
      <c r="AQ222" s="400"/>
      <c r="AR222" s="400"/>
      <c r="AS222" s="400"/>
      <c r="AT222" s="400"/>
      <c r="AU222" s="400"/>
      <c r="AV222" s="400"/>
      <c r="AW222" s="400"/>
      <c r="AX222" s="400"/>
      <c r="AY222" s="400"/>
      <c r="AZ222" s="400"/>
      <c r="BA222" s="400"/>
      <c r="BB222" s="400"/>
      <c r="BC222" s="400"/>
    </row>
    <row r="223" s="366" customFormat="1" ht="15" customHeight="1" spans="1:55">
      <c r="A223" s="395">
        <v>42953</v>
      </c>
      <c r="B223" s="443" t="s">
        <v>34</v>
      </c>
      <c r="C223" s="377"/>
      <c r="D223" s="329"/>
      <c r="E223" s="329"/>
      <c r="F223" s="378"/>
      <c r="G223" s="329"/>
      <c r="H223" s="376"/>
      <c r="I223" s="376"/>
      <c r="J223" s="399">
        <f t="shared" si="75"/>
        <v>0</v>
      </c>
      <c r="K223" s="329"/>
      <c r="L223" s="329"/>
      <c r="M223" s="401">
        <f t="shared" si="77"/>
        <v>0</v>
      </c>
      <c r="N223" s="396">
        <f t="shared" si="87"/>
        <v>0</v>
      </c>
      <c r="O223" s="368">
        <f t="shared" si="87"/>
        <v>0</v>
      </c>
      <c r="P223" s="398">
        <f t="shared" si="87"/>
        <v>0</v>
      </c>
      <c r="Q223" s="414">
        <f t="shared" si="88"/>
        <v>13879287.72</v>
      </c>
      <c r="R223" s="402">
        <f t="shared" si="88"/>
        <v>7519553</v>
      </c>
      <c r="S223" s="415">
        <f t="shared" si="88"/>
        <v>21771111.72</v>
      </c>
      <c r="T223" s="416">
        <f>N223/'2018'!N223-1</f>
        <v>-1</v>
      </c>
      <c r="U223" s="417">
        <f>O223/'2018'!O223-1</f>
        <v>-1</v>
      </c>
      <c r="V223" s="417">
        <f>P223/'2018'!P223-1</f>
        <v>-1</v>
      </c>
      <c r="W223" s="417">
        <f>Q223/'2018'!Q223-1</f>
        <v>-0.0291252199028811</v>
      </c>
      <c r="X223" s="417">
        <f>R223/'2018'!R223-1</f>
        <v>-0.0446439518111108</v>
      </c>
      <c r="Y223" s="424">
        <f>S223/'2018'!S223-1</f>
        <v>-0.0350893533786798</v>
      </c>
      <c r="Z223" s="425"/>
      <c r="AA223" s="426">
        <f t="shared" si="76"/>
        <v>1387.928772</v>
      </c>
      <c r="AB223" s="427"/>
      <c r="AC223" s="401"/>
      <c r="AD223" s="427">
        <f t="shared" si="78"/>
        <v>14251558.72</v>
      </c>
      <c r="AE223" s="329">
        <f t="shared" si="83"/>
        <v>76209.22</v>
      </c>
      <c r="AF223" s="329">
        <f t="shared" si="83"/>
        <v>43161.64</v>
      </c>
      <c r="AG223" s="401">
        <f t="shared" si="80"/>
        <v>252900.139999998</v>
      </c>
      <c r="AH223" s="439"/>
      <c r="AI223" s="400"/>
      <c r="AJ223" s="400"/>
      <c r="AK223" s="400"/>
      <c r="AL223" s="400"/>
      <c r="AM223" s="400"/>
      <c r="AN223" s="400"/>
      <c r="AO223" s="400"/>
      <c r="AP223" s="400"/>
      <c r="AQ223" s="400"/>
      <c r="AR223" s="400"/>
      <c r="AS223" s="400"/>
      <c r="AT223" s="400"/>
      <c r="AU223" s="400"/>
      <c r="AV223" s="400"/>
      <c r="AW223" s="400"/>
      <c r="AX223" s="400"/>
      <c r="AY223" s="400"/>
      <c r="AZ223" s="400"/>
      <c r="BA223" s="400"/>
      <c r="BB223" s="400"/>
      <c r="BC223" s="400"/>
    </row>
    <row r="224" s="366" customFormat="1" ht="15" customHeight="1" spans="1:55">
      <c r="A224" s="395">
        <v>42954</v>
      </c>
      <c r="B224" s="443" t="s">
        <v>35</v>
      </c>
      <c r="C224" s="377"/>
      <c r="D224" s="329"/>
      <c r="E224" s="329"/>
      <c r="F224" s="378"/>
      <c r="G224" s="329"/>
      <c r="H224" s="376"/>
      <c r="I224" s="376"/>
      <c r="J224" s="399">
        <f t="shared" si="75"/>
        <v>0</v>
      </c>
      <c r="K224" s="329"/>
      <c r="L224" s="329"/>
      <c r="M224" s="401">
        <f t="shared" si="77"/>
        <v>0</v>
      </c>
      <c r="N224" s="396">
        <f t="shared" si="87"/>
        <v>0</v>
      </c>
      <c r="O224" s="368">
        <f t="shared" si="87"/>
        <v>0</v>
      </c>
      <c r="P224" s="398">
        <f t="shared" si="87"/>
        <v>0</v>
      </c>
      <c r="Q224" s="414">
        <f t="shared" si="88"/>
        <v>13879287.72</v>
      </c>
      <c r="R224" s="402">
        <f t="shared" si="88"/>
        <v>7519553</v>
      </c>
      <c r="S224" s="415">
        <f t="shared" si="88"/>
        <v>21771111.72</v>
      </c>
      <c r="T224" s="416">
        <f>N224/'2018'!N224-1</f>
        <v>-1</v>
      </c>
      <c r="U224" s="417">
        <f>O224/'2018'!O224-1</f>
        <v>-1</v>
      </c>
      <c r="V224" s="417">
        <f>P224/'2018'!P224-1</f>
        <v>-1</v>
      </c>
      <c r="W224" s="417">
        <f>Q224/'2018'!Q224-1</f>
        <v>-0.0344608049343132</v>
      </c>
      <c r="X224" s="417">
        <f>R224/'2018'!R224-1</f>
        <v>-0.0517282712117476</v>
      </c>
      <c r="Y224" s="424">
        <f>S224/'2018'!S224-1</f>
        <v>-0.0411286361980785</v>
      </c>
      <c r="Z224" s="425"/>
      <c r="AA224" s="426">
        <f t="shared" si="76"/>
        <v>1387.928772</v>
      </c>
      <c r="AB224" s="427"/>
      <c r="AC224" s="401"/>
      <c r="AD224" s="427">
        <f t="shared" si="78"/>
        <v>14251558.72</v>
      </c>
      <c r="AE224" s="329">
        <f t="shared" si="83"/>
        <v>76209.22</v>
      </c>
      <c r="AF224" s="329">
        <f t="shared" si="83"/>
        <v>43161.64</v>
      </c>
      <c r="AG224" s="401">
        <f t="shared" si="80"/>
        <v>252900.139999998</v>
      </c>
      <c r="AH224" s="439"/>
      <c r="AI224" s="400"/>
      <c r="AJ224" s="400"/>
      <c r="AK224" s="400"/>
      <c r="AL224" s="400"/>
      <c r="AM224" s="400"/>
      <c r="AN224" s="400"/>
      <c r="AO224" s="400"/>
      <c r="AP224" s="400"/>
      <c r="AQ224" s="400"/>
      <c r="AR224" s="400"/>
      <c r="AS224" s="400"/>
      <c r="AT224" s="400"/>
      <c r="AU224" s="400"/>
      <c r="AV224" s="400"/>
      <c r="AW224" s="400"/>
      <c r="AX224" s="400"/>
      <c r="AY224" s="400"/>
      <c r="AZ224" s="400"/>
      <c r="BA224" s="400"/>
      <c r="BB224" s="400"/>
      <c r="BC224" s="400"/>
    </row>
    <row r="225" s="366" customFormat="1" ht="15" customHeight="1" spans="1:55">
      <c r="A225" s="395">
        <v>42955</v>
      </c>
      <c r="B225" s="191" t="s">
        <v>36</v>
      </c>
      <c r="C225" s="377"/>
      <c r="D225" s="329"/>
      <c r="E225" s="329"/>
      <c r="F225" s="378"/>
      <c r="G225" s="329"/>
      <c r="H225" s="376"/>
      <c r="I225" s="376"/>
      <c r="J225" s="399">
        <f t="shared" si="75"/>
        <v>0</v>
      </c>
      <c r="K225" s="329"/>
      <c r="L225" s="329"/>
      <c r="M225" s="401">
        <f t="shared" si="77"/>
        <v>0</v>
      </c>
      <c r="N225" s="396">
        <f t="shared" si="87"/>
        <v>0</v>
      </c>
      <c r="O225" s="368">
        <f t="shared" si="87"/>
        <v>0</v>
      </c>
      <c r="P225" s="398">
        <f t="shared" si="87"/>
        <v>0</v>
      </c>
      <c r="Q225" s="414">
        <f t="shared" si="88"/>
        <v>13879287.72</v>
      </c>
      <c r="R225" s="402">
        <f t="shared" si="88"/>
        <v>7519553</v>
      </c>
      <c r="S225" s="415">
        <f t="shared" si="88"/>
        <v>21771111.72</v>
      </c>
      <c r="T225" s="416">
        <f>N225/'2018'!N225-1</f>
        <v>-1</v>
      </c>
      <c r="U225" s="417">
        <f>O225/'2018'!O225-1</f>
        <v>-1</v>
      </c>
      <c r="V225" s="417">
        <f>P225/'2018'!P225-1</f>
        <v>-1</v>
      </c>
      <c r="W225" s="417">
        <f>Q225/'2018'!Q225-1</f>
        <v>-0.0397146125585959</v>
      </c>
      <c r="X225" s="417">
        <f>R225/'2018'!R225-1</f>
        <v>-0.058847435106677</v>
      </c>
      <c r="Y225" s="424">
        <f>S225/'2018'!S225-1</f>
        <v>-0.047131786156171</v>
      </c>
      <c r="Z225" s="425"/>
      <c r="AA225" s="426">
        <f t="shared" si="76"/>
        <v>1387.928772</v>
      </c>
      <c r="AB225" s="427"/>
      <c r="AC225" s="401"/>
      <c r="AD225" s="427">
        <f t="shared" si="78"/>
        <v>14251558.72</v>
      </c>
      <c r="AE225" s="329">
        <f t="shared" si="83"/>
        <v>76209.22</v>
      </c>
      <c r="AF225" s="329">
        <f t="shared" si="83"/>
        <v>43161.64</v>
      </c>
      <c r="AG225" s="401">
        <f t="shared" si="80"/>
        <v>252900.139999998</v>
      </c>
      <c r="AH225" s="439"/>
      <c r="AI225" s="400"/>
      <c r="AJ225" s="400"/>
      <c r="AK225" s="400"/>
      <c r="AL225" s="400"/>
      <c r="AM225" s="400"/>
      <c r="AN225" s="400"/>
      <c r="AO225" s="400"/>
      <c r="AP225" s="400"/>
      <c r="AQ225" s="400"/>
      <c r="AR225" s="400"/>
      <c r="AS225" s="400"/>
      <c r="AT225" s="400"/>
      <c r="AU225" s="400"/>
      <c r="AV225" s="400"/>
      <c r="AW225" s="400"/>
      <c r="AX225" s="400"/>
      <c r="AY225" s="400"/>
      <c r="AZ225" s="400"/>
      <c r="BA225" s="400"/>
      <c r="BB225" s="400"/>
      <c r="BC225" s="400"/>
    </row>
    <row r="226" s="366" customFormat="1" ht="15" customHeight="1" spans="1:55">
      <c r="A226" s="395">
        <v>42956</v>
      </c>
      <c r="B226" s="443" t="s">
        <v>37</v>
      </c>
      <c r="C226" s="377"/>
      <c r="D226" s="329"/>
      <c r="E226" s="329"/>
      <c r="F226" s="378"/>
      <c r="G226" s="329"/>
      <c r="H226" s="376"/>
      <c r="I226" s="376"/>
      <c r="J226" s="399">
        <f t="shared" si="75"/>
        <v>0</v>
      </c>
      <c r="K226" s="329"/>
      <c r="L226" s="329"/>
      <c r="M226" s="401">
        <f t="shared" si="77"/>
        <v>0</v>
      </c>
      <c r="N226" s="396">
        <f t="shared" si="87"/>
        <v>0</v>
      </c>
      <c r="O226" s="368">
        <f t="shared" si="87"/>
        <v>0</v>
      </c>
      <c r="P226" s="398">
        <f t="shared" si="87"/>
        <v>0</v>
      </c>
      <c r="Q226" s="414">
        <f t="shared" si="88"/>
        <v>13879287.72</v>
      </c>
      <c r="R226" s="402">
        <f t="shared" si="88"/>
        <v>7519553</v>
      </c>
      <c r="S226" s="415">
        <f t="shared" si="88"/>
        <v>21771111.72</v>
      </c>
      <c r="T226" s="416">
        <f>N226/'2018'!N226-1</f>
        <v>-1</v>
      </c>
      <c r="U226" s="417">
        <f>O226/'2018'!O226-1</f>
        <v>-1</v>
      </c>
      <c r="V226" s="417">
        <f>P226/'2018'!P226-1</f>
        <v>-1</v>
      </c>
      <c r="W226" s="417">
        <f>Q226/'2018'!Q226-1</f>
        <v>-0.0449616329151494</v>
      </c>
      <c r="X226" s="417">
        <f>R226/'2018'!R226-1</f>
        <v>-0.0658260340442174</v>
      </c>
      <c r="Y226" s="424">
        <f>S226/'2018'!S226-1</f>
        <v>-0.0531122946184532</v>
      </c>
      <c r="Z226" s="425"/>
      <c r="AA226" s="426">
        <f t="shared" si="76"/>
        <v>1387.928772</v>
      </c>
      <c r="AB226" s="427"/>
      <c r="AC226" s="401"/>
      <c r="AD226" s="427">
        <f t="shared" si="78"/>
        <v>14251558.72</v>
      </c>
      <c r="AE226" s="329">
        <f t="shared" si="83"/>
        <v>76209.22</v>
      </c>
      <c r="AF226" s="329">
        <f t="shared" si="83"/>
        <v>43161.64</v>
      </c>
      <c r="AG226" s="401">
        <f t="shared" si="80"/>
        <v>252900.139999998</v>
      </c>
      <c r="AH226" s="439"/>
      <c r="AI226" s="400"/>
      <c r="AJ226" s="400"/>
      <c r="AK226" s="400"/>
      <c r="AL226" s="400"/>
      <c r="AM226" s="400"/>
      <c r="AN226" s="400"/>
      <c r="AO226" s="400"/>
      <c r="AP226" s="400"/>
      <c r="AQ226" s="400"/>
      <c r="AR226" s="400"/>
      <c r="AS226" s="400"/>
      <c r="AT226" s="400"/>
      <c r="AU226" s="400"/>
      <c r="AV226" s="400"/>
      <c r="AW226" s="400"/>
      <c r="AX226" s="400"/>
      <c r="AY226" s="400"/>
      <c r="AZ226" s="400"/>
      <c r="BA226" s="400"/>
      <c r="BB226" s="400"/>
      <c r="BC226" s="400"/>
    </row>
    <row r="227" s="366" customFormat="1" ht="15" customHeight="1" spans="1:55">
      <c r="A227" s="395">
        <v>42957</v>
      </c>
      <c r="B227" s="443" t="s">
        <v>38</v>
      </c>
      <c r="C227" s="377"/>
      <c r="D227" s="329"/>
      <c r="E227" s="329"/>
      <c r="F227" s="378"/>
      <c r="G227" s="329"/>
      <c r="H227" s="376"/>
      <c r="I227" s="376"/>
      <c r="J227" s="399">
        <f t="shared" si="75"/>
        <v>0</v>
      </c>
      <c r="K227" s="329"/>
      <c r="L227" s="329"/>
      <c r="M227" s="401">
        <f t="shared" si="77"/>
        <v>0</v>
      </c>
      <c r="N227" s="396">
        <f t="shared" si="87"/>
        <v>0</v>
      </c>
      <c r="O227" s="368">
        <f t="shared" si="87"/>
        <v>0</v>
      </c>
      <c r="P227" s="398">
        <f t="shared" si="87"/>
        <v>0</v>
      </c>
      <c r="Q227" s="414">
        <f t="shared" si="88"/>
        <v>13879287.72</v>
      </c>
      <c r="R227" s="402">
        <f t="shared" si="88"/>
        <v>7519553</v>
      </c>
      <c r="S227" s="415">
        <f t="shared" si="88"/>
        <v>21771111.72</v>
      </c>
      <c r="T227" s="416">
        <f>N227/'2018'!N227-1</f>
        <v>-1</v>
      </c>
      <c r="U227" s="417">
        <f>O227/'2018'!O227-1</f>
        <v>-1</v>
      </c>
      <c r="V227" s="417">
        <f>P227/'2018'!P227-1</f>
        <v>-1</v>
      </c>
      <c r="W227" s="417">
        <f>Q227/'2018'!Q227-1</f>
        <v>-0.0501716460766252</v>
      </c>
      <c r="X227" s="417">
        <f>R227/'2018'!R227-1</f>
        <v>-0.0726765157892374</v>
      </c>
      <c r="Y227" s="424">
        <f>S227/'2018'!S227-1</f>
        <v>-0.0590243413485994</v>
      </c>
      <c r="Z227" s="425"/>
      <c r="AA227" s="426">
        <f t="shared" si="76"/>
        <v>1387.928772</v>
      </c>
      <c r="AB227" s="427"/>
      <c r="AC227" s="401"/>
      <c r="AD227" s="427">
        <f t="shared" si="78"/>
        <v>14251558.72</v>
      </c>
      <c r="AE227" s="329">
        <f t="shared" si="83"/>
        <v>76209.22</v>
      </c>
      <c r="AF227" s="329">
        <f t="shared" si="83"/>
        <v>43161.64</v>
      </c>
      <c r="AG227" s="401">
        <f t="shared" si="80"/>
        <v>252900.139999998</v>
      </c>
      <c r="AH227" s="439"/>
      <c r="AI227" s="400"/>
      <c r="AJ227" s="400"/>
      <c r="AK227" s="400"/>
      <c r="AL227" s="400"/>
      <c r="AM227" s="400"/>
      <c r="AN227" s="400"/>
      <c r="AO227" s="400"/>
      <c r="AP227" s="400"/>
      <c r="AQ227" s="400"/>
      <c r="AR227" s="400"/>
      <c r="AS227" s="400"/>
      <c r="AT227" s="400"/>
      <c r="AU227" s="400"/>
      <c r="AV227" s="400"/>
      <c r="AW227" s="400"/>
      <c r="AX227" s="400"/>
      <c r="AY227" s="400"/>
      <c r="AZ227" s="400"/>
      <c r="BA227" s="400"/>
      <c r="BB227" s="400"/>
      <c r="BC227" s="400"/>
    </row>
    <row r="228" s="366" customFormat="1" ht="15" customHeight="1" spans="1:55">
      <c r="A228" s="395">
        <v>42958</v>
      </c>
      <c r="B228" s="443" t="s">
        <v>1</v>
      </c>
      <c r="C228" s="377"/>
      <c r="D228" s="329"/>
      <c r="E228" s="329"/>
      <c r="F228" s="378"/>
      <c r="G228" s="329"/>
      <c r="H228" s="376"/>
      <c r="I228" s="376"/>
      <c r="J228" s="399">
        <f t="shared" si="75"/>
        <v>0</v>
      </c>
      <c r="K228" s="329"/>
      <c r="L228" s="329"/>
      <c r="M228" s="401">
        <f t="shared" si="77"/>
        <v>0</v>
      </c>
      <c r="N228" s="396">
        <f t="shared" si="87"/>
        <v>0</v>
      </c>
      <c r="O228" s="368">
        <f t="shared" si="87"/>
        <v>0</v>
      </c>
      <c r="P228" s="398">
        <f t="shared" si="87"/>
        <v>0</v>
      </c>
      <c r="Q228" s="414">
        <f t="shared" si="88"/>
        <v>13879287.72</v>
      </c>
      <c r="R228" s="402">
        <f t="shared" si="88"/>
        <v>7519553</v>
      </c>
      <c r="S228" s="415">
        <f t="shared" si="88"/>
        <v>21771111.72</v>
      </c>
      <c r="T228" s="416">
        <f>N228/'2018'!N228-1</f>
        <v>-1</v>
      </c>
      <c r="U228" s="417">
        <f>O228/'2018'!O228-1</f>
        <v>-1</v>
      </c>
      <c r="V228" s="417">
        <f>P228/'2018'!P228-1</f>
        <v>-1</v>
      </c>
      <c r="W228" s="417">
        <f>Q228/'2018'!Q228-1</f>
        <v>-0.055229373926262</v>
      </c>
      <c r="X228" s="417">
        <f>R228/'2018'!R228-1</f>
        <v>-0.0794129439540953</v>
      </c>
      <c r="Y228" s="424">
        <f>S228/'2018'!S228-1</f>
        <v>-0.0647903125189696</v>
      </c>
      <c r="Z228" s="425"/>
      <c r="AA228" s="426">
        <f t="shared" si="76"/>
        <v>1387.928772</v>
      </c>
      <c r="AB228" s="427"/>
      <c r="AC228" s="401"/>
      <c r="AD228" s="427">
        <f t="shared" si="78"/>
        <v>14251558.72</v>
      </c>
      <c r="AE228" s="329">
        <f t="shared" si="83"/>
        <v>76209.22</v>
      </c>
      <c r="AF228" s="329">
        <f t="shared" si="83"/>
        <v>43161.64</v>
      </c>
      <c r="AG228" s="401">
        <f t="shared" si="80"/>
        <v>252900.139999998</v>
      </c>
      <c r="AH228" s="439"/>
      <c r="AI228" s="400"/>
      <c r="AJ228" s="400"/>
      <c r="AK228" s="400"/>
      <c r="AL228" s="400"/>
      <c r="AM228" s="400"/>
      <c r="AN228" s="400"/>
      <c r="AO228" s="400"/>
      <c r="AP228" s="400"/>
      <c r="AQ228" s="400"/>
      <c r="AR228" s="400"/>
      <c r="AS228" s="400"/>
      <c r="AT228" s="400"/>
      <c r="AU228" s="400"/>
      <c r="AV228" s="400"/>
      <c r="AW228" s="400"/>
      <c r="AX228" s="400"/>
      <c r="AY228" s="400"/>
      <c r="AZ228" s="400"/>
      <c r="BA228" s="400"/>
      <c r="BB228" s="400"/>
      <c r="BC228" s="400"/>
    </row>
    <row r="229" s="366" customFormat="1" ht="15" customHeight="1" spans="1:55">
      <c r="A229" s="395">
        <v>42959</v>
      </c>
      <c r="B229" s="443" t="s">
        <v>39</v>
      </c>
      <c r="C229" s="377"/>
      <c r="D229" s="329"/>
      <c r="E229" s="329"/>
      <c r="F229" s="378"/>
      <c r="G229" s="329"/>
      <c r="H229" s="376"/>
      <c r="I229" s="376"/>
      <c r="J229" s="399">
        <f t="shared" si="75"/>
        <v>0</v>
      </c>
      <c r="K229" s="329"/>
      <c r="L229" s="329"/>
      <c r="M229" s="401">
        <f t="shared" si="77"/>
        <v>0</v>
      </c>
      <c r="N229" s="396">
        <f t="shared" si="87"/>
        <v>0</v>
      </c>
      <c r="O229" s="368">
        <f t="shared" si="87"/>
        <v>0</v>
      </c>
      <c r="P229" s="398">
        <f t="shared" si="87"/>
        <v>0</v>
      </c>
      <c r="Q229" s="414">
        <f t="shared" si="88"/>
        <v>13879287.72</v>
      </c>
      <c r="R229" s="402">
        <f t="shared" si="88"/>
        <v>7519553</v>
      </c>
      <c r="S229" s="415">
        <f t="shared" si="88"/>
        <v>21771111.72</v>
      </c>
      <c r="T229" s="416">
        <f>N229/'2018'!N229-1</f>
        <v>-1</v>
      </c>
      <c r="U229" s="417">
        <f>O229/'2018'!O229-1</f>
        <v>-1</v>
      </c>
      <c r="V229" s="417">
        <f>P229/'2018'!P229-1</f>
        <v>-1</v>
      </c>
      <c r="W229" s="417">
        <f>Q229/'2018'!Q229-1</f>
        <v>-0.0594727651999251</v>
      </c>
      <c r="X229" s="417">
        <f>R229/'2018'!R229-1</f>
        <v>-0.0854978951215345</v>
      </c>
      <c r="Y229" s="424">
        <f>S229/'2018'!S229-1</f>
        <v>-0.0698043501343019</v>
      </c>
      <c r="Z229" s="425"/>
      <c r="AA229" s="426">
        <f t="shared" si="76"/>
        <v>1387.928772</v>
      </c>
      <c r="AB229" s="427"/>
      <c r="AC229" s="401"/>
      <c r="AD229" s="427">
        <f t="shared" si="78"/>
        <v>14251558.72</v>
      </c>
      <c r="AE229" s="329">
        <f t="shared" si="83"/>
        <v>76209.22</v>
      </c>
      <c r="AF229" s="329">
        <f t="shared" si="83"/>
        <v>43161.64</v>
      </c>
      <c r="AG229" s="401">
        <f t="shared" si="80"/>
        <v>252900.139999998</v>
      </c>
      <c r="AH229" s="439"/>
      <c r="AI229" s="400"/>
      <c r="AJ229" s="400"/>
      <c r="AK229" s="400"/>
      <c r="AL229" s="400"/>
      <c r="AM229" s="400"/>
      <c r="AN229" s="400"/>
      <c r="AO229" s="400"/>
      <c r="AP229" s="400"/>
      <c r="AQ229" s="400"/>
      <c r="AR229" s="400"/>
      <c r="AS229" s="400"/>
      <c r="AT229" s="400"/>
      <c r="AU229" s="400"/>
      <c r="AV229" s="400"/>
      <c r="AW229" s="400"/>
      <c r="AX229" s="400"/>
      <c r="AY229" s="400"/>
      <c r="AZ229" s="400"/>
      <c r="BA229" s="400"/>
      <c r="BB229" s="400"/>
      <c r="BC229" s="400"/>
    </row>
    <row r="230" s="366" customFormat="1" ht="15" customHeight="1" spans="1:55">
      <c r="A230" s="395">
        <v>42960</v>
      </c>
      <c r="B230" s="443" t="s">
        <v>34</v>
      </c>
      <c r="C230" s="377"/>
      <c r="D230" s="329"/>
      <c r="E230" s="329"/>
      <c r="F230" s="378"/>
      <c r="G230" s="329"/>
      <c r="H230" s="376"/>
      <c r="I230" s="376"/>
      <c r="J230" s="399">
        <f t="shared" si="75"/>
        <v>0</v>
      </c>
      <c r="K230" s="329"/>
      <c r="L230" s="329"/>
      <c r="M230" s="401">
        <f t="shared" si="77"/>
        <v>0</v>
      </c>
      <c r="N230" s="396">
        <f t="shared" si="87"/>
        <v>0</v>
      </c>
      <c r="O230" s="368">
        <f t="shared" si="87"/>
        <v>0</v>
      </c>
      <c r="P230" s="398">
        <f t="shared" si="87"/>
        <v>0</v>
      </c>
      <c r="Q230" s="414">
        <f t="shared" si="88"/>
        <v>13879287.72</v>
      </c>
      <c r="R230" s="402">
        <f t="shared" si="88"/>
        <v>7519553</v>
      </c>
      <c r="S230" s="415">
        <f t="shared" si="88"/>
        <v>21771111.72</v>
      </c>
      <c r="T230" s="416">
        <f>N230/'2018'!N230-1</f>
        <v>-1</v>
      </c>
      <c r="U230" s="417">
        <f>O230/'2018'!O230-1</f>
        <v>-1</v>
      </c>
      <c r="V230" s="417">
        <f>P230/'2018'!P230-1</f>
        <v>-1</v>
      </c>
      <c r="W230" s="417">
        <f>Q230/'2018'!Q230-1</f>
        <v>-0.0637425706285241</v>
      </c>
      <c r="X230" s="417">
        <f>R230/'2018'!R230-1</f>
        <v>-0.091797331223086</v>
      </c>
      <c r="Y230" s="424">
        <f>S230/'2018'!S230-1</f>
        <v>-0.0749291241959648</v>
      </c>
      <c r="Z230" s="425"/>
      <c r="AA230" s="426">
        <f t="shared" si="76"/>
        <v>1387.928772</v>
      </c>
      <c r="AB230" s="427"/>
      <c r="AC230" s="401"/>
      <c r="AD230" s="427">
        <f t="shared" si="78"/>
        <v>14251558.72</v>
      </c>
      <c r="AE230" s="329">
        <f t="shared" si="83"/>
        <v>76209.22</v>
      </c>
      <c r="AF230" s="329">
        <f t="shared" si="83"/>
        <v>43161.64</v>
      </c>
      <c r="AG230" s="401">
        <f t="shared" si="80"/>
        <v>252900.139999998</v>
      </c>
      <c r="AH230" s="439"/>
      <c r="AI230" s="400"/>
      <c r="AJ230" s="400"/>
      <c r="AK230" s="400"/>
      <c r="AL230" s="400"/>
      <c r="AM230" s="400"/>
      <c r="AN230" s="400"/>
      <c r="AO230" s="400"/>
      <c r="AP230" s="400"/>
      <c r="AQ230" s="400"/>
      <c r="AR230" s="400"/>
      <c r="AS230" s="400"/>
      <c r="AT230" s="400"/>
      <c r="AU230" s="400"/>
      <c r="AV230" s="400"/>
      <c r="AW230" s="400"/>
      <c r="AX230" s="400"/>
      <c r="AY230" s="400"/>
      <c r="AZ230" s="400"/>
      <c r="BA230" s="400"/>
      <c r="BB230" s="400"/>
      <c r="BC230" s="400"/>
    </row>
    <row r="231" s="366" customFormat="1" ht="15" customHeight="1" spans="1:55">
      <c r="A231" s="395">
        <v>42961</v>
      </c>
      <c r="B231" s="443" t="s">
        <v>35</v>
      </c>
      <c r="C231" s="377"/>
      <c r="D231" s="329"/>
      <c r="E231" s="329"/>
      <c r="F231" s="378"/>
      <c r="G231" s="329"/>
      <c r="H231" s="376"/>
      <c r="I231" s="376"/>
      <c r="J231" s="399">
        <f t="shared" si="75"/>
        <v>0</v>
      </c>
      <c r="K231" s="329"/>
      <c r="L231" s="329"/>
      <c r="M231" s="401">
        <f t="shared" si="77"/>
        <v>0</v>
      </c>
      <c r="N231" s="396">
        <f t="shared" si="87"/>
        <v>0</v>
      </c>
      <c r="O231" s="368">
        <f t="shared" si="87"/>
        <v>0</v>
      </c>
      <c r="P231" s="398">
        <f t="shared" si="87"/>
        <v>0</v>
      </c>
      <c r="Q231" s="414">
        <f t="shared" si="88"/>
        <v>13879287.72</v>
      </c>
      <c r="R231" s="402">
        <f t="shared" si="88"/>
        <v>7519553</v>
      </c>
      <c r="S231" s="415">
        <f t="shared" si="88"/>
        <v>21771111.72</v>
      </c>
      <c r="T231" s="416">
        <f>N231/'2018'!N231-1</f>
        <v>-1</v>
      </c>
      <c r="U231" s="417">
        <f>O231/'2018'!O231-1</f>
        <v>-1</v>
      </c>
      <c r="V231" s="417">
        <f>P231/'2018'!P231-1</f>
        <v>-1</v>
      </c>
      <c r="W231" s="417">
        <f>Q231/'2018'!Q231-1</f>
        <v>-0.0681544388392773</v>
      </c>
      <c r="X231" s="417">
        <f>R231/'2018'!R231-1</f>
        <v>-0.098235674766079</v>
      </c>
      <c r="Y231" s="424">
        <f>S231/'2018'!S231-1</f>
        <v>-0.0801843906877854</v>
      </c>
      <c r="Z231" s="425"/>
      <c r="AA231" s="426">
        <f t="shared" si="76"/>
        <v>1387.928772</v>
      </c>
      <c r="AB231" s="427"/>
      <c r="AC231" s="401"/>
      <c r="AD231" s="427">
        <f t="shared" si="78"/>
        <v>14251558.72</v>
      </c>
      <c r="AE231" s="329">
        <f t="shared" ref="AE231:AF246" si="89">AE230+K231</f>
        <v>76209.22</v>
      </c>
      <c r="AF231" s="329">
        <f t="shared" si="89"/>
        <v>43161.64</v>
      </c>
      <c r="AG231" s="401">
        <f t="shared" si="80"/>
        <v>252900.139999998</v>
      </c>
      <c r="AH231" s="439"/>
      <c r="AI231" s="400"/>
      <c r="AJ231" s="400"/>
      <c r="AK231" s="400"/>
      <c r="AL231" s="400"/>
      <c r="AM231" s="400"/>
      <c r="AN231" s="400"/>
      <c r="AO231" s="400"/>
      <c r="AP231" s="400"/>
      <c r="AQ231" s="400"/>
      <c r="AR231" s="400"/>
      <c r="AS231" s="400"/>
      <c r="AT231" s="400"/>
      <c r="AU231" s="400"/>
      <c r="AV231" s="400"/>
      <c r="AW231" s="400"/>
      <c r="AX231" s="400"/>
      <c r="AY231" s="400"/>
      <c r="AZ231" s="400"/>
      <c r="BA231" s="400"/>
      <c r="BB231" s="400"/>
      <c r="BC231" s="400"/>
    </row>
    <row r="232" s="366" customFormat="1" ht="15" customHeight="1" spans="1:55">
      <c r="A232" s="395">
        <v>42962</v>
      </c>
      <c r="B232" s="191" t="s">
        <v>36</v>
      </c>
      <c r="C232" s="377"/>
      <c r="D232" s="329"/>
      <c r="E232" s="329"/>
      <c r="F232" s="378"/>
      <c r="G232" s="329"/>
      <c r="H232" s="376"/>
      <c r="I232" s="376"/>
      <c r="J232" s="399">
        <f t="shared" si="75"/>
        <v>0</v>
      </c>
      <c r="K232" s="329"/>
      <c r="L232" s="329"/>
      <c r="M232" s="401">
        <f t="shared" si="77"/>
        <v>0</v>
      </c>
      <c r="N232" s="396">
        <f t="shared" si="87"/>
        <v>0</v>
      </c>
      <c r="O232" s="368">
        <f t="shared" si="87"/>
        <v>0</v>
      </c>
      <c r="P232" s="398">
        <f t="shared" si="87"/>
        <v>0</v>
      </c>
      <c r="Q232" s="414">
        <f t="shared" si="88"/>
        <v>13879287.72</v>
      </c>
      <c r="R232" s="402">
        <f t="shared" si="88"/>
        <v>7519553</v>
      </c>
      <c r="S232" s="415">
        <f t="shared" si="88"/>
        <v>21771111.72</v>
      </c>
      <c r="T232" s="416">
        <f>N232/'2018'!N232-1</f>
        <v>-1</v>
      </c>
      <c r="U232" s="417">
        <f>O232/'2018'!O232-1</f>
        <v>-1</v>
      </c>
      <c r="V232" s="417">
        <f>P232/'2018'!P232-1</f>
        <v>-1</v>
      </c>
      <c r="W232" s="417">
        <f>Q232/'2018'!Q232-1</f>
        <v>-0.0725118449790624</v>
      </c>
      <c r="X232" s="417">
        <f>R232/'2018'!R232-1</f>
        <v>-0.104716211505271</v>
      </c>
      <c r="Y232" s="424">
        <f>S232/'2018'!S232-1</f>
        <v>-0.0854407983355211</v>
      </c>
      <c r="Z232" s="425"/>
      <c r="AA232" s="426">
        <f t="shared" si="76"/>
        <v>1387.928772</v>
      </c>
      <c r="AB232" s="427"/>
      <c r="AC232" s="401"/>
      <c r="AD232" s="427">
        <f t="shared" si="78"/>
        <v>14251558.72</v>
      </c>
      <c r="AE232" s="329">
        <f t="shared" si="89"/>
        <v>76209.22</v>
      </c>
      <c r="AF232" s="329">
        <f t="shared" si="89"/>
        <v>43161.64</v>
      </c>
      <c r="AG232" s="401">
        <f t="shared" si="80"/>
        <v>252900.139999998</v>
      </c>
      <c r="AH232" s="439"/>
      <c r="AI232" s="400"/>
      <c r="AJ232" s="400"/>
      <c r="AK232" s="400"/>
      <c r="AL232" s="400"/>
      <c r="AM232" s="400"/>
      <c r="AN232" s="400"/>
      <c r="AO232" s="400"/>
      <c r="AP232" s="400"/>
      <c r="AQ232" s="400"/>
      <c r="AR232" s="400"/>
      <c r="AS232" s="400"/>
      <c r="AT232" s="400"/>
      <c r="AU232" s="400"/>
      <c r="AV232" s="400"/>
      <c r="AW232" s="400"/>
      <c r="AX232" s="400"/>
      <c r="AY232" s="400"/>
      <c r="AZ232" s="400"/>
      <c r="BA232" s="400"/>
      <c r="BB232" s="400"/>
      <c r="BC232" s="400"/>
    </row>
    <row r="233" s="366" customFormat="1" ht="15" customHeight="1" spans="1:55">
      <c r="A233" s="395">
        <v>42963</v>
      </c>
      <c r="B233" s="443" t="s">
        <v>37</v>
      </c>
      <c r="C233" s="377"/>
      <c r="D233" s="329"/>
      <c r="E233" s="329"/>
      <c r="F233" s="378"/>
      <c r="G233" s="329"/>
      <c r="H233" s="376"/>
      <c r="I233" s="376"/>
      <c r="J233" s="399">
        <f t="shared" si="75"/>
        <v>0</v>
      </c>
      <c r="K233" s="329"/>
      <c r="L233" s="329"/>
      <c r="M233" s="401">
        <f t="shared" si="77"/>
        <v>0</v>
      </c>
      <c r="N233" s="396">
        <f t="shared" si="87"/>
        <v>0</v>
      </c>
      <c r="O233" s="368">
        <f t="shared" si="87"/>
        <v>0</v>
      </c>
      <c r="P233" s="398">
        <f t="shared" si="87"/>
        <v>0</v>
      </c>
      <c r="Q233" s="414">
        <f t="shared" si="88"/>
        <v>13879287.72</v>
      </c>
      <c r="R233" s="402">
        <f t="shared" si="88"/>
        <v>7519553</v>
      </c>
      <c r="S233" s="415">
        <f t="shared" si="88"/>
        <v>21771111.72</v>
      </c>
      <c r="T233" s="416">
        <f>N233/'2018'!N233-1</f>
        <v>-1</v>
      </c>
      <c r="U233" s="417">
        <f>O233/'2018'!O233-1</f>
        <v>-1</v>
      </c>
      <c r="V233" s="417">
        <f>P233/'2018'!P233-1</f>
        <v>-1</v>
      </c>
      <c r="W233" s="417">
        <f>Q233/'2018'!Q233-1</f>
        <v>-0.0767147093331582</v>
      </c>
      <c r="X233" s="417">
        <f>R233/'2018'!R233-1</f>
        <v>-0.110946834061368</v>
      </c>
      <c r="Y233" s="424">
        <f>S233/'2018'!S233-1</f>
        <v>-0.0904923508480656</v>
      </c>
      <c r="Z233" s="425"/>
      <c r="AA233" s="426">
        <f t="shared" si="76"/>
        <v>1387.928772</v>
      </c>
      <c r="AB233" s="427"/>
      <c r="AC233" s="401"/>
      <c r="AD233" s="427">
        <f t="shared" si="78"/>
        <v>14251558.72</v>
      </c>
      <c r="AE233" s="329">
        <f t="shared" si="89"/>
        <v>76209.22</v>
      </c>
      <c r="AF233" s="329">
        <f t="shared" si="89"/>
        <v>43161.64</v>
      </c>
      <c r="AG233" s="401">
        <f t="shared" si="80"/>
        <v>252900.139999998</v>
      </c>
      <c r="AH233" s="439"/>
      <c r="AI233" s="400"/>
      <c r="AJ233" s="400"/>
      <c r="AK233" s="400"/>
      <c r="AL233" s="400"/>
      <c r="AM233" s="400"/>
      <c r="AN233" s="400"/>
      <c r="AO233" s="400"/>
      <c r="AP233" s="400"/>
      <c r="AQ233" s="400"/>
      <c r="AR233" s="400"/>
      <c r="AS233" s="400"/>
      <c r="AT233" s="400"/>
      <c r="AU233" s="400"/>
      <c r="AV233" s="400"/>
      <c r="AW233" s="400"/>
      <c r="AX233" s="400"/>
      <c r="AY233" s="400"/>
      <c r="AZ233" s="400"/>
      <c r="BA233" s="400"/>
      <c r="BB233" s="400"/>
      <c r="BC233" s="400"/>
    </row>
    <row r="234" s="366" customFormat="1" ht="15" customHeight="1" spans="1:55">
      <c r="A234" s="395">
        <v>42964</v>
      </c>
      <c r="B234" s="443" t="s">
        <v>38</v>
      </c>
      <c r="C234" s="377"/>
      <c r="D234" s="329"/>
      <c r="E234" s="329"/>
      <c r="F234" s="378"/>
      <c r="G234" s="329"/>
      <c r="H234" s="376"/>
      <c r="I234" s="376"/>
      <c r="J234" s="399">
        <f t="shared" si="75"/>
        <v>0</v>
      </c>
      <c r="K234" s="329"/>
      <c r="L234" s="329"/>
      <c r="M234" s="401">
        <f t="shared" si="77"/>
        <v>0</v>
      </c>
      <c r="N234" s="396">
        <f t="shared" si="87"/>
        <v>0</v>
      </c>
      <c r="O234" s="368">
        <f t="shared" si="87"/>
        <v>0</v>
      </c>
      <c r="P234" s="398">
        <f t="shared" si="87"/>
        <v>0</v>
      </c>
      <c r="Q234" s="414">
        <f t="shared" si="88"/>
        <v>13879287.72</v>
      </c>
      <c r="R234" s="402">
        <f t="shared" si="88"/>
        <v>7519553</v>
      </c>
      <c r="S234" s="415">
        <f t="shared" si="88"/>
        <v>21771111.72</v>
      </c>
      <c r="T234" s="416">
        <f>N234/'2018'!N234-1</f>
        <v>-1</v>
      </c>
      <c r="U234" s="417">
        <f>O234/'2018'!O234-1</f>
        <v>-1</v>
      </c>
      <c r="V234" s="417">
        <f>P234/'2018'!P234-1</f>
        <v>-1</v>
      </c>
      <c r="W234" s="417">
        <f>Q234/'2018'!Q234-1</f>
        <v>-0.0809823255276645</v>
      </c>
      <c r="X234" s="417">
        <f>R234/'2018'!R234-1</f>
        <v>-0.116632888396847</v>
      </c>
      <c r="Y234" s="424">
        <f>S234/'2018'!S234-1</f>
        <v>-0.0953409958800218</v>
      </c>
      <c r="Z234" s="425"/>
      <c r="AA234" s="426">
        <f t="shared" si="76"/>
        <v>1387.928772</v>
      </c>
      <c r="AB234" s="427"/>
      <c r="AC234" s="401"/>
      <c r="AD234" s="427">
        <f t="shared" si="78"/>
        <v>14251558.72</v>
      </c>
      <c r="AE234" s="329">
        <f t="shared" si="89"/>
        <v>76209.22</v>
      </c>
      <c r="AF234" s="329">
        <f t="shared" si="89"/>
        <v>43161.64</v>
      </c>
      <c r="AG234" s="401">
        <f t="shared" si="80"/>
        <v>252900.139999998</v>
      </c>
      <c r="AH234" s="439"/>
      <c r="AI234" s="400"/>
      <c r="AJ234" s="400"/>
      <c r="AK234" s="400"/>
      <c r="AL234" s="400"/>
      <c r="AM234" s="400"/>
      <c r="AN234" s="400"/>
      <c r="AO234" s="400"/>
      <c r="AP234" s="400"/>
      <c r="AQ234" s="400"/>
      <c r="AR234" s="400"/>
      <c r="AS234" s="400"/>
      <c r="AT234" s="400"/>
      <c r="AU234" s="400"/>
      <c r="AV234" s="400"/>
      <c r="AW234" s="400"/>
      <c r="AX234" s="400"/>
      <c r="AY234" s="400"/>
      <c r="AZ234" s="400"/>
      <c r="BA234" s="400"/>
      <c r="BB234" s="400"/>
      <c r="BC234" s="400"/>
    </row>
    <row r="235" s="366" customFormat="1" ht="15" customHeight="1" spans="1:55">
      <c r="A235" s="395">
        <v>42965</v>
      </c>
      <c r="B235" s="443" t="s">
        <v>1</v>
      </c>
      <c r="C235" s="377"/>
      <c r="D235" s="329"/>
      <c r="E235" s="329"/>
      <c r="F235" s="378"/>
      <c r="G235" s="329"/>
      <c r="H235" s="376"/>
      <c r="I235" s="376"/>
      <c r="J235" s="399">
        <f t="shared" si="75"/>
        <v>0</v>
      </c>
      <c r="K235" s="329"/>
      <c r="L235" s="329"/>
      <c r="M235" s="401">
        <f t="shared" si="77"/>
        <v>0</v>
      </c>
      <c r="N235" s="396">
        <f t="shared" ref="N235:P247" si="90">N234+C235</f>
        <v>0</v>
      </c>
      <c r="O235" s="368">
        <f t="shared" si="90"/>
        <v>0</v>
      </c>
      <c r="P235" s="398">
        <f t="shared" si="90"/>
        <v>0</v>
      </c>
      <c r="Q235" s="414">
        <f t="shared" si="88"/>
        <v>13879287.72</v>
      </c>
      <c r="R235" s="402">
        <f t="shared" si="88"/>
        <v>7519553</v>
      </c>
      <c r="S235" s="415">
        <f t="shared" si="88"/>
        <v>21771111.72</v>
      </c>
      <c r="T235" s="416">
        <f>N235/'2018'!N235-1</f>
        <v>-1</v>
      </c>
      <c r="U235" s="417">
        <f>O235/'2018'!O235-1</f>
        <v>-1</v>
      </c>
      <c r="V235" s="417">
        <f>P235/'2018'!P235-1</f>
        <v>-1</v>
      </c>
      <c r="W235" s="417">
        <f>Q235/'2018'!Q235-1</f>
        <v>-0.0851723229502261</v>
      </c>
      <c r="X235" s="417">
        <f>R235/'2018'!R235-1</f>
        <v>-0.121540465688333</v>
      </c>
      <c r="Y235" s="424">
        <f>S235/'2018'!S235-1</f>
        <v>-0.100104482082815</v>
      </c>
      <c r="Z235" s="425"/>
      <c r="AA235" s="426">
        <f t="shared" si="76"/>
        <v>1387.928772</v>
      </c>
      <c r="AB235" s="427"/>
      <c r="AC235" s="401"/>
      <c r="AD235" s="427">
        <f t="shared" si="78"/>
        <v>14251558.72</v>
      </c>
      <c r="AE235" s="329">
        <f t="shared" si="89"/>
        <v>76209.22</v>
      </c>
      <c r="AF235" s="329">
        <f t="shared" si="89"/>
        <v>43161.64</v>
      </c>
      <c r="AG235" s="401">
        <f t="shared" si="80"/>
        <v>252900.139999998</v>
      </c>
      <c r="AH235" s="439"/>
      <c r="AI235" s="400"/>
      <c r="AJ235" s="400"/>
      <c r="AK235" s="400"/>
      <c r="AL235" s="400"/>
      <c r="AM235" s="400"/>
      <c r="AN235" s="400"/>
      <c r="AO235" s="400"/>
      <c r="AP235" s="400"/>
      <c r="AQ235" s="400"/>
      <c r="AR235" s="400"/>
      <c r="AS235" s="400"/>
      <c r="AT235" s="400"/>
      <c r="AU235" s="400"/>
      <c r="AV235" s="400"/>
      <c r="AW235" s="400"/>
      <c r="AX235" s="400"/>
      <c r="AY235" s="400"/>
      <c r="AZ235" s="400"/>
      <c r="BA235" s="400"/>
      <c r="BB235" s="400"/>
      <c r="BC235" s="400"/>
    </row>
    <row r="236" s="366" customFormat="1" ht="15" customHeight="1" spans="1:55">
      <c r="A236" s="395">
        <v>42966</v>
      </c>
      <c r="B236" s="443" t="s">
        <v>39</v>
      </c>
      <c r="C236" s="377"/>
      <c r="D236" s="329"/>
      <c r="E236" s="329"/>
      <c r="F236" s="378"/>
      <c r="G236" s="329"/>
      <c r="H236" s="376"/>
      <c r="I236" s="376"/>
      <c r="J236" s="399">
        <f t="shared" si="75"/>
        <v>0</v>
      </c>
      <c r="K236" s="329"/>
      <c r="L236" s="329"/>
      <c r="M236" s="401">
        <f t="shared" si="77"/>
        <v>0</v>
      </c>
      <c r="N236" s="396">
        <f t="shared" si="90"/>
        <v>0</v>
      </c>
      <c r="O236" s="368">
        <f t="shared" si="90"/>
        <v>0</v>
      </c>
      <c r="P236" s="398">
        <f t="shared" si="90"/>
        <v>0</v>
      </c>
      <c r="Q236" s="414">
        <f t="shared" si="88"/>
        <v>13879287.72</v>
      </c>
      <c r="R236" s="402">
        <f t="shared" si="88"/>
        <v>7519553</v>
      </c>
      <c r="S236" s="415">
        <f t="shared" si="88"/>
        <v>21771111.72</v>
      </c>
      <c r="T236" s="416">
        <f>N236/'2018'!N236-1</f>
        <v>-1</v>
      </c>
      <c r="U236" s="417">
        <f>O236/'2018'!O236-1</f>
        <v>-1</v>
      </c>
      <c r="V236" s="417">
        <f>P236/'2018'!P236-1</f>
        <v>-1</v>
      </c>
      <c r="W236" s="417">
        <f>Q236/'2018'!Q236-1</f>
        <v>-0.0888549243372296</v>
      </c>
      <c r="X236" s="417">
        <f>R236/'2018'!R236-1</f>
        <v>-0.127215446326421</v>
      </c>
      <c r="Y236" s="424">
        <f>S236/'2018'!S236-1</f>
        <v>-0.104597900855607</v>
      </c>
      <c r="Z236" s="425"/>
      <c r="AA236" s="426">
        <f t="shared" si="76"/>
        <v>1387.928772</v>
      </c>
      <c r="AB236" s="427"/>
      <c r="AC236" s="401"/>
      <c r="AD236" s="427">
        <f t="shared" si="78"/>
        <v>14251558.72</v>
      </c>
      <c r="AE236" s="329">
        <f t="shared" si="89"/>
        <v>76209.22</v>
      </c>
      <c r="AF236" s="329">
        <f t="shared" si="89"/>
        <v>43161.64</v>
      </c>
      <c r="AG236" s="401">
        <f t="shared" si="80"/>
        <v>252900.139999998</v>
      </c>
      <c r="AH236" s="439"/>
      <c r="AI236" s="400"/>
      <c r="AJ236" s="400"/>
      <c r="AK236" s="400"/>
      <c r="AL236" s="400"/>
      <c r="AM236" s="400"/>
      <c r="AN236" s="400"/>
      <c r="AO236" s="400"/>
      <c r="AP236" s="400"/>
      <c r="AQ236" s="400"/>
      <c r="AR236" s="400"/>
      <c r="AS236" s="400"/>
      <c r="AT236" s="400"/>
      <c r="AU236" s="400"/>
      <c r="AV236" s="400"/>
      <c r="AW236" s="400"/>
      <c r="AX236" s="400"/>
      <c r="AY236" s="400"/>
      <c r="AZ236" s="400"/>
      <c r="BA236" s="400"/>
      <c r="BB236" s="400"/>
      <c r="BC236" s="400"/>
    </row>
    <row r="237" s="366" customFormat="1" ht="15" customHeight="1" spans="1:55">
      <c r="A237" s="395">
        <v>42967</v>
      </c>
      <c r="B237" s="443" t="s">
        <v>34</v>
      </c>
      <c r="C237" s="377"/>
      <c r="D237" s="329"/>
      <c r="E237" s="329"/>
      <c r="F237" s="378"/>
      <c r="G237" s="329"/>
      <c r="H237" s="376"/>
      <c r="I237" s="376"/>
      <c r="J237" s="399">
        <f t="shared" si="75"/>
        <v>0</v>
      </c>
      <c r="K237" s="329"/>
      <c r="L237" s="329"/>
      <c r="M237" s="401">
        <f t="shared" si="77"/>
        <v>0</v>
      </c>
      <c r="N237" s="396">
        <f t="shared" si="90"/>
        <v>0</v>
      </c>
      <c r="O237" s="368">
        <f t="shared" si="90"/>
        <v>0</v>
      </c>
      <c r="P237" s="398">
        <f t="shared" si="90"/>
        <v>0</v>
      </c>
      <c r="Q237" s="414">
        <f t="shared" si="88"/>
        <v>13879287.72</v>
      </c>
      <c r="R237" s="402">
        <f t="shared" si="88"/>
        <v>7519553</v>
      </c>
      <c r="S237" s="415">
        <f t="shared" si="88"/>
        <v>21771111.72</v>
      </c>
      <c r="T237" s="416">
        <f>N237/'2018'!N237-1</f>
        <v>-1</v>
      </c>
      <c r="U237" s="417">
        <f>O237/'2018'!O237-1</f>
        <v>-1</v>
      </c>
      <c r="V237" s="417">
        <f>P237/'2018'!P237-1</f>
        <v>-1</v>
      </c>
      <c r="W237" s="417">
        <f>Q237/'2018'!Q237-1</f>
        <v>-0.0931398999566456</v>
      </c>
      <c r="X237" s="417">
        <f>R237/'2018'!R237-1</f>
        <v>-0.132925268935985</v>
      </c>
      <c r="Y237" s="424">
        <f>S237/'2018'!S237-1</f>
        <v>-0.10951247053099</v>
      </c>
      <c r="Z237" s="425"/>
      <c r="AA237" s="426">
        <f t="shared" si="76"/>
        <v>1387.928772</v>
      </c>
      <c r="AB237" s="427"/>
      <c r="AC237" s="401"/>
      <c r="AD237" s="427">
        <f t="shared" si="78"/>
        <v>14251558.72</v>
      </c>
      <c r="AE237" s="329">
        <f t="shared" si="89"/>
        <v>76209.22</v>
      </c>
      <c r="AF237" s="329">
        <f t="shared" si="89"/>
        <v>43161.64</v>
      </c>
      <c r="AG237" s="401">
        <f t="shared" si="80"/>
        <v>252900.139999998</v>
      </c>
      <c r="AH237" s="439"/>
      <c r="AI237" s="400"/>
      <c r="AJ237" s="400"/>
      <c r="AK237" s="400"/>
      <c r="AL237" s="400"/>
      <c r="AM237" s="400"/>
      <c r="AN237" s="400"/>
      <c r="AO237" s="400"/>
      <c r="AP237" s="400"/>
      <c r="AQ237" s="400"/>
      <c r="AR237" s="400"/>
      <c r="AS237" s="400"/>
      <c r="AT237" s="400"/>
      <c r="AU237" s="400"/>
      <c r="AV237" s="400"/>
      <c r="AW237" s="400"/>
      <c r="AX237" s="400"/>
      <c r="AY237" s="400"/>
      <c r="AZ237" s="400"/>
      <c r="BA237" s="400"/>
      <c r="BB237" s="400"/>
      <c r="BC237" s="400"/>
    </row>
    <row r="238" s="366" customFormat="1" ht="15" customHeight="1" spans="1:55">
      <c r="A238" s="395">
        <v>42968</v>
      </c>
      <c r="B238" s="443" t="s">
        <v>35</v>
      </c>
      <c r="C238" s="377"/>
      <c r="D238" s="329"/>
      <c r="E238" s="329"/>
      <c r="F238" s="378"/>
      <c r="G238" s="329"/>
      <c r="H238" s="376"/>
      <c r="I238" s="376"/>
      <c r="J238" s="399">
        <f t="shared" si="75"/>
        <v>0</v>
      </c>
      <c r="K238" s="329"/>
      <c r="L238" s="329"/>
      <c r="M238" s="401">
        <f t="shared" si="77"/>
        <v>0</v>
      </c>
      <c r="N238" s="396">
        <f t="shared" si="90"/>
        <v>0</v>
      </c>
      <c r="O238" s="368">
        <f t="shared" si="90"/>
        <v>0</v>
      </c>
      <c r="P238" s="398">
        <f t="shared" si="90"/>
        <v>0</v>
      </c>
      <c r="Q238" s="414">
        <f t="shared" si="88"/>
        <v>13879287.72</v>
      </c>
      <c r="R238" s="402">
        <f t="shared" si="88"/>
        <v>7519553</v>
      </c>
      <c r="S238" s="415">
        <f t="shared" si="88"/>
        <v>21771111.72</v>
      </c>
      <c r="T238" s="416">
        <f>N238/'2018'!N238-1</f>
        <v>-1</v>
      </c>
      <c r="U238" s="417">
        <f>O238/'2018'!O238-1</f>
        <v>-1</v>
      </c>
      <c r="V238" s="417">
        <f>P238/'2018'!P238-1</f>
        <v>-1</v>
      </c>
      <c r="W238" s="417">
        <f>Q238/'2018'!Q238-1</f>
        <v>-0.0974746805116197</v>
      </c>
      <c r="X238" s="417">
        <f>R238/'2018'!R238-1</f>
        <v>-0.13858741474716</v>
      </c>
      <c r="Y238" s="424">
        <f>S238/'2018'!S238-1</f>
        <v>-0.114419533159714</v>
      </c>
      <c r="Z238" s="425"/>
      <c r="AA238" s="426">
        <f t="shared" si="76"/>
        <v>1387.928772</v>
      </c>
      <c r="AB238" s="427"/>
      <c r="AC238" s="401"/>
      <c r="AD238" s="427">
        <f t="shared" si="78"/>
        <v>14251558.72</v>
      </c>
      <c r="AE238" s="329">
        <f t="shared" si="89"/>
        <v>76209.22</v>
      </c>
      <c r="AF238" s="329">
        <f t="shared" si="89"/>
        <v>43161.64</v>
      </c>
      <c r="AG238" s="401">
        <f t="shared" si="80"/>
        <v>252900.139999998</v>
      </c>
      <c r="AH238" s="439"/>
      <c r="AI238" s="400"/>
      <c r="AJ238" s="400"/>
      <c r="AK238" s="400"/>
      <c r="AL238" s="400"/>
      <c r="AM238" s="400"/>
      <c r="AN238" s="400"/>
      <c r="AO238" s="400"/>
      <c r="AP238" s="400"/>
      <c r="AQ238" s="400"/>
      <c r="AR238" s="400"/>
      <c r="AS238" s="400"/>
      <c r="AT238" s="400"/>
      <c r="AU238" s="400"/>
      <c r="AV238" s="400"/>
      <c r="AW238" s="400"/>
      <c r="AX238" s="400"/>
      <c r="AY238" s="400"/>
      <c r="AZ238" s="400"/>
      <c r="BA238" s="400"/>
      <c r="BB238" s="400"/>
      <c r="BC238" s="400"/>
    </row>
    <row r="239" s="366" customFormat="1" ht="15" customHeight="1" spans="1:55">
      <c r="A239" s="395">
        <v>42969</v>
      </c>
      <c r="B239" s="191" t="s">
        <v>36</v>
      </c>
      <c r="C239" s="377"/>
      <c r="D239" s="329"/>
      <c r="E239" s="329"/>
      <c r="F239" s="378"/>
      <c r="G239" s="329"/>
      <c r="H239" s="376"/>
      <c r="I239" s="376"/>
      <c r="J239" s="399">
        <f t="shared" si="75"/>
        <v>0</v>
      </c>
      <c r="K239" s="329"/>
      <c r="L239" s="329"/>
      <c r="M239" s="401">
        <f t="shared" si="77"/>
        <v>0</v>
      </c>
      <c r="N239" s="396">
        <f t="shared" si="90"/>
        <v>0</v>
      </c>
      <c r="O239" s="368">
        <f t="shared" si="90"/>
        <v>0</v>
      </c>
      <c r="P239" s="398">
        <f t="shared" si="90"/>
        <v>0</v>
      </c>
      <c r="Q239" s="414">
        <f t="shared" si="88"/>
        <v>13879287.72</v>
      </c>
      <c r="R239" s="402">
        <f t="shared" si="88"/>
        <v>7519553</v>
      </c>
      <c r="S239" s="415">
        <f t="shared" si="88"/>
        <v>21771111.72</v>
      </c>
      <c r="T239" s="416">
        <f>N239/'2018'!N239-1</f>
        <v>-1</v>
      </c>
      <c r="U239" s="417">
        <f>O239/'2018'!O239-1</f>
        <v>-1</v>
      </c>
      <c r="V239" s="417">
        <f>P239/'2018'!P239-1</f>
        <v>-1</v>
      </c>
      <c r="W239" s="417">
        <f>Q239/'2018'!Q239-1</f>
        <v>-0.101696885101987</v>
      </c>
      <c r="X239" s="417">
        <f>R239/'2018'!R239-1</f>
        <v>-0.144268030274683</v>
      </c>
      <c r="Y239" s="424">
        <f>S239/'2018'!S239-1</f>
        <v>-0.119245304734609</v>
      </c>
      <c r="Z239" s="425"/>
      <c r="AA239" s="426">
        <f t="shared" si="76"/>
        <v>1387.928772</v>
      </c>
      <c r="AB239" s="427"/>
      <c r="AC239" s="401"/>
      <c r="AD239" s="427">
        <f t="shared" si="78"/>
        <v>14251558.72</v>
      </c>
      <c r="AE239" s="329">
        <f t="shared" si="89"/>
        <v>76209.22</v>
      </c>
      <c r="AF239" s="329">
        <f t="shared" si="89"/>
        <v>43161.64</v>
      </c>
      <c r="AG239" s="401">
        <f t="shared" si="80"/>
        <v>252900.139999998</v>
      </c>
      <c r="AH239" s="439"/>
      <c r="AI239" s="400"/>
      <c r="AJ239" s="400"/>
      <c r="AK239" s="400"/>
      <c r="AL239" s="400"/>
      <c r="AM239" s="400"/>
      <c r="AN239" s="400"/>
      <c r="AO239" s="400"/>
      <c r="AP239" s="400"/>
      <c r="AQ239" s="400"/>
      <c r="AR239" s="400"/>
      <c r="AS239" s="400"/>
      <c r="AT239" s="400"/>
      <c r="AU239" s="400"/>
      <c r="AV239" s="400"/>
      <c r="AW239" s="400"/>
      <c r="AX239" s="400"/>
      <c r="AY239" s="400"/>
      <c r="AZ239" s="400"/>
      <c r="BA239" s="400"/>
      <c r="BB239" s="400"/>
      <c r="BC239" s="400"/>
    </row>
    <row r="240" s="366" customFormat="1" ht="15" customHeight="1" spans="1:55">
      <c r="A240" s="395">
        <v>42970</v>
      </c>
      <c r="B240" s="443" t="s">
        <v>37</v>
      </c>
      <c r="C240" s="377"/>
      <c r="D240" s="329"/>
      <c r="E240" s="329"/>
      <c r="F240" s="378"/>
      <c r="G240" s="329"/>
      <c r="H240" s="376"/>
      <c r="I240" s="376"/>
      <c r="J240" s="399">
        <f t="shared" si="75"/>
        <v>0</v>
      </c>
      <c r="K240" s="329"/>
      <c r="L240" s="329"/>
      <c r="M240" s="401">
        <f t="shared" si="77"/>
        <v>0</v>
      </c>
      <c r="N240" s="396">
        <f t="shared" si="90"/>
        <v>0</v>
      </c>
      <c r="O240" s="368">
        <f t="shared" si="90"/>
        <v>0</v>
      </c>
      <c r="P240" s="398">
        <f t="shared" si="90"/>
        <v>0</v>
      </c>
      <c r="Q240" s="414">
        <f t="shared" si="88"/>
        <v>13879287.72</v>
      </c>
      <c r="R240" s="402">
        <f t="shared" si="88"/>
        <v>7519553</v>
      </c>
      <c r="S240" s="415">
        <f t="shared" si="88"/>
        <v>21771111.72</v>
      </c>
      <c r="T240" s="416">
        <f>N240/'2018'!N240-1</f>
        <v>-1</v>
      </c>
      <c r="U240" s="417">
        <f>O240/'2018'!O240-1</f>
        <v>-1</v>
      </c>
      <c r="V240" s="417">
        <f>P240/'2018'!P240-1</f>
        <v>-1</v>
      </c>
      <c r="W240" s="417">
        <f>Q240/'2018'!Q240-1</f>
        <v>-0.105660603700072</v>
      </c>
      <c r="X240" s="417">
        <f>R240/'2018'!R240-1</f>
        <v>-0.149979155164704</v>
      </c>
      <c r="Y240" s="424">
        <f>S240/'2018'!S240-1</f>
        <v>-0.123910231771045</v>
      </c>
      <c r="Z240" s="425"/>
      <c r="AA240" s="426">
        <f t="shared" si="76"/>
        <v>1387.928772</v>
      </c>
      <c r="AB240" s="427"/>
      <c r="AC240" s="401"/>
      <c r="AD240" s="427">
        <f t="shared" si="78"/>
        <v>14251558.72</v>
      </c>
      <c r="AE240" s="329">
        <f t="shared" si="89"/>
        <v>76209.22</v>
      </c>
      <c r="AF240" s="329">
        <f t="shared" si="89"/>
        <v>43161.64</v>
      </c>
      <c r="AG240" s="401">
        <f t="shared" si="80"/>
        <v>252900.139999998</v>
      </c>
      <c r="AH240" s="439"/>
      <c r="AI240" s="400"/>
      <c r="AJ240" s="400"/>
      <c r="AK240" s="400"/>
      <c r="AL240" s="400"/>
      <c r="AM240" s="400"/>
      <c r="AN240" s="400"/>
      <c r="AO240" s="400"/>
      <c r="AP240" s="400"/>
      <c r="AQ240" s="400"/>
      <c r="AR240" s="400"/>
      <c r="AS240" s="400"/>
      <c r="AT240" s="400"/>
      <c r="AU240" s="400"/>
      <c r="AV240" s="400"/>
      <c r="AW240" s="400"/>
      <c r="AX240" s="400"/>
      <c r="AY240" s="400"/>
      <c r="AZ240" s="400"/>
      <c r="BA240" s="400"/>
      <c r="BB240" s="400"/>
      <c r="BC240" s="400"/>
    </row>
    <row r="241" s="366" customFormat="1" ht="15" customHeight="1" spans="1:55">
      <c r="A241" s="395">
        <v>42971</v>
      </c>
      <c r="B241" s="443" t="s">
        <v>38</v>
      </c>
      <c r="C241" s="377"/>
      <c r="D241" s="329"/>
      <c r="E241" s="329"/>
      <c r="F241" s="378"/>
      <c r="G241" s="329"/>
      <c r="H241" s="376"/>
      <c r="I241" s="376"/>
      <c r="J241" s="399">
        <f t="shared" si="75"/>
        <v>0</v>
      </c>
      <c r="K241" s="329"/>
      <c r="L241" s="329"/>
      <c r="M241" s="401">
        <f t="shared" si="77"/>
        <v>0</v>
      </c>
      <c r="N241" s="396">
        <f t="shared" si="90"/>
        <v>0</v>
      </c>
      <c r="O241" s="368">
        <f t="shared" si="90"/>
        <v>0</v>
      </c>
      <c r="P241" s="398">
        <f t="shared" si="90"/>
        <v>0</v>
      </c>
      <c r="Q241" s="414">
        <f t="shared" si="88"/>
        <v>13879287.72</v>
      </c>
      <c r="R241" s="402">
        <f t="shared" si="88"/>
        <v>7519553</v>
      </c>
      <c r="S241" s="415">
        <f t="shared" si="88"/>
        <v>21771111.72</v>
      </c>
      <c r="T241" s="416">
        <f>N241/'2018'!N241-1</f>
        <v>-1</v>
      </c>
      <c r="U241" s="417">
        <f>O241/'2018'!O241-1</f>
        <v>-1</v>
      </c>
      <c r="V241" s="417">
        <f>P241/'2018'!P241-1</f>
        <v>-1</v>
      </c>
      <c r="W241" s="417">
        <f>Q241/'2018'!Q241-1</f>
        <v>-0.109197686784472</v>
      </c>
      <c r="X241" s="417">
        <f>R241/'2018'!R241-1</f>
        <v>-0.155480175684043</v>
      </c>
      <c r="Y241" s="424">
        <f>S241/'2018'!S241-1</f>
        <v>-0.128254520178326</v>
      </c>
      <c r="Z241" s="425"/>
      <c r="AA241" s="426">
        <f t="shared" si="76"/>
        <v>1387.928772</v>
      </c>
      <c r="AB241" s="427"/>
      <c r="AC241" s="401"/>
      <c r="AD241" s="427">
        <f t="shared" si="78"/>
        <v>14251558.72</v>
      </c>
      <c r="AE241" s="329">
        <f t="shared" si="89"/>
        <v>76209.22</v>
      </c>
      <c r="AF241" s="329">
        <f t="shared" si="89"/>
        <v>43161.64</v>
      </c>
      <c r="AG241" s="401">
        <f t="shared" si="80"/>
        <v>252900.139999998</v>
      </c>
      <c r="AH241" s="439"/>
      <c r="AI241" s="400"/>
      <c r="AJ241" s="400"/>
      <c r="AK241" s="400"/>
      <c r="AL241" s="400"/>
      <c r="AM241" s="400"/>
      <c r="AN241" s="400"/>
      <c r="AO241" s="400"/>
      <c r="AP241" s="400"/>
      <c r="AQ241" s="400"/>
      <c r="AR241" s="400"/>
      <c r="AS241" s="400"/>
      <c r="AT241" s="400"/>
      <c r="AU241" s="400"/>
      <c r="AV241" s="400"/>
      <c r="AW241" s="400"/>
      <c r="AX241" s="400"/>
      <c r="AY241" s="400"/>
      <c r="AZ241" s="400"/>
      <c r="BA241" s="400"/>
      <c r="BB241" s="400"/>
      <c r="BC241" s="400"/>
    </row>
    <row r="242" s="366" customFormat="1" ht="15" customHeight="1" spans="1:55">
      <c r="A242" s="395">
        <v>42972</v>
      </c>
      <c r="B242" s="443" t="s">
        <v>1</v>
      </c>
      <c r="C242" s="377"/>
      <c r="D242" s="329"/>
      <c r="E242" s="329"/>
      <c r="F242" s="378"/>
      <c r="G242" s="329"/>
      <c r="H242" s="376"/>
      <c r="I242" s="376"/>
      <c r="J242" s="399">
        <f t="shared" si="75"/>
        <v>0</v>
      </c>
      <c r="K242" s="329"/>
      <c r="L242" s="329"/>
      <c r="M242" s="401">
        <f t="shared" si="77"/>
        <v>0</v>
      </c>
      <c r="N242" s="396">
        <f t="shared" si="90"/>
        <v>0</v>
      </c>
      <c r="O242" s="368">
        <f t="shared" si="90"/>
        <v>0</v>
      </c>
      <c r="P242" s="398">
        <f t="shared" si="90"/>
        <v>0</v>
      </c>
      <c r="Q242" s="414">
        <f t="shared" si="88"/>
        <v>13879287.72</v>
      </c>
      <c r="R242" s="402">
        <f t="shared" si="88"/>
        <v>7519553</v>
      </c>
      <c r="S242" s="415">
        <f t="shared" si="88"/>
        <v>21771111.72</v>
      </c>
      <c r="T242" s="416">
        <f>N242/'2018'!N242-1</f>
        <v>-1</v>
      </c>
      <c r="U242" s="417">
        <f>O242/'2018'!O242-1</f>
        <v>-1</v>
      </c>
      <c r="V242" s="417">
        <f>P242/'2018'!P242-1</f>
        <v>-1</v>
      </c>
      <c r="W242" s="417">
        <f>Q242/'2018'!Q242-1</f>
        <v>-0.112367221996184</v>
      </c>
      <c r="X242" s="417">
        <f>R242/'2018'!R242-1</f>
        <v>-0.16079367745442</v>
      </c>
      <c r="Y242" s="424">
        <f>S242/'2018'!S242-1</f>
        <v>-0.132295466522912</v>
      </c>
      <c r="Z242" s="425"/>
      <c r="AA242" s="426">
        <f t="shared" si="76"/>
        <v>1387.928772</v>
      </c>
      <c r="AB242" s="427"/>
      <c r="AC242" s="401"/>
      <c r="AD242" s="427">
        <f t="shared" si="78"/>
        <v>14251558.72</v>
      </c>
      <c r="AE242" s="329">
        <f t="shared" si="89"/>
        <v>76209.22</v>
      </c>
      <c r="AF242" s="329">
        <f t="shared" si="89"/>
        <v>43161.64</v>
      </c>
      <c r="AG242" s="401">
        <f t="shared" si="80"/>
        <v>252900.139999998</v>
      </c>
      <c r="AH242" s="439"/>
      <c r="AI242" s="400"/>
      <c r="AJ242" s="400"/>
      <c r="AK242" s="400"/>
      <c r="AL242" s="400"/>
      <c r="AM242" s="400"/>
      <c r="AN242" s="400"/>
      <c r="AO242" s="400"/>
      <c r="AP242" s="400"/>
      <c r="AQ242" s="400"/>
      <c r="AR242" s="400"/>
      <c r="AS242" s="400"/>
      <c r="AT242" s="400"/>
      <c r="AU242" s="400"/>
      <c r="AV242" s="400"/>
      <c r="AW242" s="400"/>
      <c r="AX242" s="400"/>
      <c r="AY242" s="400"/>
      <c r="AZ242" s="400"/>
      <c r="BA242" s="400"/>
      <c r="BB242" s="400"/>
      <c r="BC242" s="400"/>
    </row>
    <row r="243" s="366" customFormat="1" ht="15" customHeight="1" spans="1:55">
      <c r="A243" s="395">
        <v>42973</v>
      </c>
      <c r="B243" s="443" t="s">
        <v>39</v>
      </c>
      <c r="C243" s="377"/>
      <c r="D243" s="329"/>
      <c r="E243" s="329"/>
      <c r="F243" s="378"/>
      <c r="G243" s="329"/>
      <c r="H243" s="376"/>
      <c r="I243" s="376"/>
      <c r="J243" s="399">
        <f t="shared" si="75"/>
        <v>0</v>
      </c>
      <c r="K243" s="329"/>
      <c r="L243" s="329"/>
      <c r="M243" s="401">
        <f t="shared" si="77"/>
        <v>0</v>
      </c>
      <c r="N243" s="396">
        <f t="shared" si="90"/>
        <v>0</v>
      </c>
      <c r="O243" s="368">
        <f t="shared" si="90"/>
        <v>0</v>
      </c>
      <c r="P243" s="398">
        <f t="shared" si="90"/>
        <v>0</v>
      </c>
      <c r="Q243" s="414">
        <f t="shared" si="88"/>
        <v>13879287.72</v>
      </c>
      <c r="R243" s="402">
        <f t="shared" si="88"/>
        <v>7519553</v>
      </c>
      <c r="S243" s="415">
        <f t="shared" si="88"/>
        <v>21771111.72</v>
      </c>
      <c r="T243" s="416">
        <f>N243/'2018'!N243-1</f>
        <v>-1</v>
      </c>
      <c r="U243" s="417">
        <f>O243/'2018'!O243-1</f>
        <v>-1</v>
      </c>
      <c r="V243" s="417">
        <f>P243/'2018'!P243-1</f>
        <v>-1</v>
      </c>
      <c r="W243" s="417">
        <f>Q243/'2018'!Q243-1</f>
        <v>-0.115308725433989</v>
      </c>
      <c r="X243" s="417">
        <f>R243/'2018'!R243-1</f>
        <v>-0.16588652453948</v>
      </c>
      <c r="Y243" s="424">
        <f>S243/'2018'!S243-1</f>
        <v>-0.136140482258943</v>
      </c>
      <c r="Z243" s="425"/>
      <c r="AA243" s="426">
        <f t="shared" si="76"/>
        <v>1387.928772</v>
      </c>
      <c r="AB243" s="427"/>
      <c r="AC243" s="401"/>
      <c r="AD243" s="427">
        <f t="shared" si="78"/>
        <v>14251558.72</v>
      </c>
      <c r="AE243" s="329">
        <f t="shared" si="89"/>
        <v>76209.22</v>
      </c>
      <c r="AF243" s="329">
        <f t="shared" si="89"/>
        <v>43161.64</v>
      </c>
      <c r="AG243" s="401">
        <f t="shared" si="80"/>
        <v>252900.139999998</v>
      </c>
      <c r="AH243" s="439"/>
      <c r="AI243" s="400"/>
      <c r="AJ243" s="400"/>
      <c r="AK243" s="400"/>
      <c r="AL243" s="400"/>
      <c r="AM243" s="400"/>
      <c r="AN243" s="400"/>
      <c r="AO243" s="400"/>
      <c r="AP243" s="400"/>
      <c r="AQ243" s="400"/>
      <c r="AR243" s="400"/>
      <c r="AS243" s="400"/>
      <c r="AT243" s="400"/>
      <c r="AU243" s="400"/>
      <c r="AV243" s="400"/>
      <c r="AW243" s="400"/>
      <c r="AX243" s="400"/>
      <c r="AY243" s="400"/>
      <c r="AZ243" s="400"/>
      <c r="BA243" s="400"/>
      <c r="BB243" s="400"/>
      <c r="BC243" s="400"/>
    </row>
    <row r="244" s="366" customFormat="1" ht="15" customHeight="1" spans="1:55">
      <c r="A244" s="395">
        <v>42974</v>
      </c>
      <c r="B244" s="443" t="s">
        <v>34</v>
      </c>
      <c r="C244" s="377"/>
      <c r="D244" s="329"/>
      <c r="E244" s="329"/>
      <c r="F244" s="378"/>
      <c r="G244" s="329"/>
      <c r="H244" s="376"/>
      <c r="I244" s="376"/>
      <c r="J244" s="399">
        <f t="shared" si="75"/>
        <v>0</v>
      </c>
      <c r="K244" s="329"/>
      <c r="L244" s="329"/>
      <c r="M244" s="401">
        <f t="shared" si="77"/>
        <v>0</v>
      </c>
      <c r="N244" s="396">
        <f t="shared" si="90"/>
        <v>0</v>
      </c>
      <c r="O244" s="368">
        <f t="shared" si="90"/>
        <v>0</v>
      </c>
      <c r="P244" s="398">
        <f t="shared" si="90"/>
        <v>0</v>
      </c>
      <c r="Q244" s="414">
        <f t="shared" si="88"/>
        <v>13879287.72</v>
      </c>
      <c r="R244" s="402">
        <f t="shared" si="88"/>
        <v>7519553</v>
      </c>
      <c r="S244" s="415">
        <f t="shared" si="88"/>
        <v>21771111.72</v>
      </c>
      <c r="T244" s="416">
        <f>N244/'2018'!N244-1</f>
        <v>-1</v>
      </c>
      <c r="U244" s="417">
        <f>O244/'2018'!O244-1</f>
        <v>-1</v>
      </c>
      <c r="V244" s="417">
        <f>P244/'2018'!P244-1</f>
        <v>-1</v>
      </c>
      <c r="W244" s="417">
        <f>Q244/'2018'!Q244-1</f>
        <v>-0.11878454302188</v>
      </c>
      <c r="X244" s="417">
        <f>R244/'2018'!R244-1</f>
        <v>-0.170930271532066</v>
      </c>
      <c r="Y244" s="424">
        <f>S244/'2018'!S244-1</f>
        <v>-0.140312341676187</v>
      </c>
      <c r="Z244" s="425"/>
      <c r="AA244" s="426">
        <f t="shared" si="76"/>
        <v>1387.928772</v>
      </c>
      <c r="AB244" s="427"/>
      <c r="AC244" s="401"/>
      <c r="AD244" s="427">
        <f t="shared" si="78"/>
        <v>14251558.72</v>
      </c>
      <c r="AE244" s="329">
        <f t="shared" si="89"/>
        <v>76209.22</v>
      </c>
      <c r="AF244" s="329">
        <f t="shared" si="89"/>
        <v>43161.64</v>
      </c>
      <c r="AG244" s="401">
        <f t="shared" si="80"/>
        <v>252900.139999998</v>
      </c>
      <c r="AH244" s="439"/>
      <c r="AI244" s="400"/>
      <c r="AJ244" s="400"/>
      <c r="AK244" s="400"/>
      <c r="AL244" s="400"/>
      <c r="AM244" s="400"/>
      <c r="AN244" s="400"/>
      <c r="AO244" s="400"/>
      <c r="AP244" s="400"/>
      <c r="AQ244" s="400"/>
      <c r="AR244" s="400"/>
      <c r="AS244" s="400"/>
      <c r="AT244" s="400"/>
      <c r="AU244" s="400"/>
      <c r="AV244" s="400"/>
      <c r="AW244" s="400"/>
      <c r="AX244" s="400"/>
      <c r="AY244" s="400"/>
      <c r="AZ244" s="400"/>
      <c r="BA244" s="400"/>
      <c r="BB244" s="400"/>
      <c r="BC244" s="400"/>
    </row>
    <row r="245" s="366" customFormat="1" ht="15" customHeight="1" spans="1:55">
      <c r="A245" s="395">
        <v>42975</v>
      </c>
      <c r="B245" s="443" t="s">
        <v>35</v>
      </c>
      <c r="C245" s="377"/>
      <c r="D245" s="329"/>
      <c r="E245" s="329"/>
      <c r="F245" s="378"/>
      <c r="G245" s="329"/>
      <c r="H245" s="376"/>
      <c r="I245" s="376"/>
      <c r="J245" s="399">
        <f t="shared" si="75"/>
        <v>0</v>
      </c>
      <c r="K245" s="329"/>
      <c r="L245" s="329"/>
      <c r="M245" s="401">
        <f t="shared" si="77"/>
        <v>0</v>
      </c>
      <c r="N245" s="396">
        <f t="shared" si="90"/>
        <v>0</v>
      </c>
      <c r="O245" s="368">
        <f t="shared" si="90"/>
        <v>0</v>
      </c>
      <c r="P245" s="398">
        <f t="shared" si="90"/>
        <v>0</v>
      </c>
      <c r="Q245" s="414">
        <f t="shared" si="88"/>
        <v>13879287.72</v>
      </c>
      <c r="R245" s="402">
        <f t="shared" si="88"/>
        <v>7519553</v>
      </c>
      <c r="S245" s="415">
        <f t="shared" si="88"/>
        <v>21771111.72</v>
      </c>
      <c r="T245" s="416">
        <f>N245/'2018'!N245-1</f>
        <v>-1</v>
      </c>
      <c r="U245" s="417">
        <f>O245/'2018'!O245-1</f>
        <v>-1</v>
      </c>
      <c r="V245" s="417">
        <f>P245/'2018'!P245-1</f>
        <v>-1</v>
      </c>
      <c r="W245" s="417">
        <f>Q245/'2018'!Q245-1</f>
        <v>-0.122350548913676</v>
      </c>
      <c r="X245" s="417">
        <f>R245/'2018'!R245-1</f>
        <v>-0.175992946430988</v>
      </c>
      <c r="Y245" s="424">
        <f>S245/'2018'!S245-1</f>
        <v>-0.144540213081959</v>
      </c>
      <c r="Z245" s="425"/>
      <c r="AA245" s="426">
        <f t="shared" si="76"/>
        <v>1387.928772</v>
      </c>
      <c r="AB245" s="427"/>
      <c r="AC245" s="401"/>
      <c r="AD245" s="427">
        <f t="shared" si="78"/>
        <v>14251558.72</v>
      </c>
      <c r="AE245" s="329">
        <f t="shared" si="89"/>
        <v>76209.22</v>
      </c>
      <c r="AF245" s="329">
        <f t="shared" si="89"/>
        <v>43161.64</v>
      </c>
      <c r="AG245" s="401">
        <f t="shared" si="80"/>
        <v>252900.139999998</v>
      </c>
      <c r="AH245" s="439"/>
      <c r="AI245" s="400"/>
      <c r="AJ245" s="400"/>
      <c r="AK245" s="400"/>
      <c r="AL245" s="400"/>
      <c r="AM245" s="400"/>
      <c r="AN245" s="400"/>
      <c r="AO245" s="400"/>
      <c r="AP245" s="400"/>
      <c r="AQ245" s="400"/>
      <c r="AR245" s="400"/>
      <c r="AS245" s="400"/>
      <c r="AT245" s="400"/>
      <c r="AU245" s="400"/>
      <c r="AV245" s="400"/>
      <c r="AW245" s="400"/>
      <c r="AX245" s="400"/>
      <c r="AY245" s="400"/>
      <c r="AZ245" s="400"/>
      <c r="BA245" s="400"/>
      <c r="BB245" s="400"/>
      <c r="BC245" s="400"/>
    </row>
    <row r="246" s="366" customFormat="1" ht="15" customHeight="1" spans="1:55">
      <c r="A246" s="395">
        <v>42976</v>
      </c>
      <c r="B246" s="191" t="s">
        <v>36</v>
      </c>
      <c r="C246" s="377"/>
      <c r="D246" s="329"/>
      <c r="E246" s="329"/>
      <c r="F246" s="378"/>
      <c r="G246" s="329"/>
      <c r="H246" s="376"/>
      <c r="I246" s="376"/>
      <c r="J246" s="399">
        <f t="shared" si="75"/>
        <v>0</v>
      </c>
      <c r="K246" s="329"/>
      <c r="L246" s="329"/>
      <c r="M246" s="401">
        <f t="shared" si="77"/>
        <v>0</v>
      </c>
      <c r="N246" s="396">
        <f t="shared" si="90"/>
        <v>0</v>
      </c>
      <c r="O246" s="368">
        <f t="shared" si="90"/>
        <v>0</v>
      </c>
      <c r="P246" s="398">
        <f t="shared" si="90"/>
        <v>0</v>
      </c>
      <c r="Q246" s="414">
        <f t="shared" si="88"/>
        <v>13879287.72</v>
      </c>
      <c r="R246" s="402">
        <f t="shared" si="88"/>
        <v>7519553</v>
      </c>
      <c r="S246" s="415">
        <f t="shared" si="88"/>
        <v>21771111.72</v>
      </c>
      <c r="T246" s="416">
        <f>N246/'2018'!N246-1</f>
        <v>-1</v>
      </c>
      <c r="U246" s="417">
        <f>O246/'2018'!O246-1</f>
        <v>-1</v>
      </c>
      <c r="V246" s="417">
        <f>P246/'2018'!P246-1</f>
        <v>-1</v>
      </c>
      <c r="W246" s="417">
        <f>Q246/'2018'!Q246-1</f>
        <v>-0.126018592281568</v>
      </c>
      <c r="X246" s="417">
        <f>R246/'2018'!R246-1</f>
        <v>-0.180903079715177</v>
      </c>
      <c r="Y246" s="424">
        <f>S246/'2018'!S246-1</f>
        <v>-0.148770571630045</v>
      </c>
      <c r="Z246" s="425"/>
      <c r="AA246" s="426">
        <f t="shared" si="76"/>
        <v>1387.928772</v>
      </c>
      <c r="AB246" s="427"/>
      <c r="AC246" s="401"/>
      <c r="AD246" s="427">
        <f t="shared" si="78"/>
        <v>14251558.72</v>
      </c>
      <c r="AE246" s="329">
        <f t="shared" si="89"/>
        <v>76209.22</v>
      </c>
      <c r="AF246" s="329">
        <f t="shared" si="89"/>
        <v>43161.64</v>
      </c>
      <c r="AG246" s="401">
        <f t="shared" si="80"/>
        <v>252900.139999998</v>
      </c>
      <c r="AH246" s="439"/>
      <c r="AI246" s="400"/>
      <c r="AJ246" s="400"/>
      <c r="AK246" s="400"/>
      <c r="AL246" s="400"/>
      <c r="AM246" s="400"/>
      <c r="AN246" s="400"/>
      <c r="AO246" s="400"/>
      <c r="AP246" s="400"/>
      <c r="AQ246" s="400"/>
      <c r="AR246" s="400"/>
      <c r="AS246" s="400"/>
      <c r="AT246" s="400"/>
      <c r="AU246" s="400"/>
      <c r="AV246" s="400"/>
      <c r="AW246" s="400"/>
      <c r="AX246" s="400"/>
      <c r="AY246" s="400"/>
      <c r="AZ246" s="400"/>
      <c r="BA246" s="400"/>
      <c r="BB246" s="400"/>
      <c r="BC246" s="400"/>
    </row>
    <row r="247" s="366" customFormat="1" ht="15" customHeight="1" spans="1:55">
      <c r="A247" s="395">
        <v>42977</v>
      </c>
      <c r="B247" s="443" t="s">
        <v>37</v>
      </c>
      <c r="C247" s="377"/>
      <c r="D247" s="329"/>
      <c r="E247" s="329"/>
      <c r="F247" s="378"/>
      <c r="G247" s="329"/>
      <c r="H247" s="376"/>
      <c r="I247" s="376"/>
      <c r="J247" s="399">
        <f t="shared" si="75"/>
        <v>0</v>
      </c>
      <c r="K247" s="329"/>
      <c r="L247" s="329"/>
      <c r="M247" s="401">
        <f t="shared" si="77"/>
        <v>0</v>
      </c>
      <c r="N247" s="396">
        <f t="shared" si="90"/>
        <v>0</v>
      </c>
      <c r="O247" s="368">
        <f t="shared" si="90"/>
        <v>0</v>
      </c>
      <c r="P247" s="398">
        <f t="shared" si="90"/>
        <v>0</v>
      </c>
      <c r="Q247" s="414">
        <f>Q$217+N247</f>
        <v>13879287.72</v>
      </c>
      <c r="R247" s="402">
        <f t="shared" si="88"/>
        <v>7519553</v>
      </c>
      <c r="S247" s="415">
        <f t="shared" si="88"/>
        <v>21771111.72</v>
      </c>
      <c r="T247" s="416">
        <f>N247/'2018'!N247-1</f>
        <v>-1</v>
      </c>
      <c r="U247" s="417">
        <f>O247/'2018'!O247-1</f>
        <v>-1</v>
      </c>
      <c r="V247" s="417">
        <f>P247/'2018'!P247-1</f>
        <v>-1</v>
      </c>
      <c r="W247" s="417">
        <f>Q247/'2018'!Q247-1</f>
        <v>-0.129848391899122</v>
      </c>
      <c r="X247" s="417">
        <f>R247/'2018'!R247-1</f>
        <v>-0.185506681246097</v>
      </c>
      <c r="Y247" s="424">
        <f>S247/'2018'!S247-1</f>
        <v>-0.15299963234358</v>
      </c>
      <c r="Z247" s="425"/>
      <c r="AA247" s="426">
        <f t="shared" si="76"/>
        <v>1387.928772</v>
      </c>
      <c r="AB247" s="427"/>
      <c r="AC247" s="401"/>
      <c r="AD247" s="427">
        <f t="shared" si="78"/>
        <v>14251558.72</v>
      </c>
      <c r="AE247" s="329">
        <f t="shared" ref="AE247:AF262" si="91">AE246+K247</f>
        <v>76209.22</v>
      </c>
      <c r="AF247" s="329">
        <f t="shared" si="91"/>
        <v>43161.64</v>
      </c>
      <c r="AG247" s="401">
        <f t="shared" si="80"/>
        <v>252900.139999998</v>
      </c>
      <c r="AH247" s="439"/>
      <c r="AI247" s="400"/>
      <c r="AJ247" s="400"/>
      <c r="AK247" s="400"/>
      <c r="AL247" s="400"/>
      <c r="AM247" s="400"/>
      <c r="AN247" s="400"/>
      <c r="AO247" s="400"/>
      <c r="AP247" s="400"/>
      <c r="AQ247" s="400"/>
      <c r="AR247" s="400"/>
      <c r="AS247" s="400"/>
      <c r="AT247" s="400"/>
      <c r="AU247" s="400"/>
      <c r="AV247" s="400"/>
      <c r="AW247" s="400"/>
      <c r="AX247" s="400"/>
      <c r="AY247" s="400"/>
      <c r="AZ247" s="400"/>
      <c r="BA247" s="400"/>
      <c r="BB247" s="400"/>
      <c r="BC247" s="400"/>
    </row>
    <row r="248" s="366" customFormat="1" ht="15" customHeight="1" spans="1:55">
      <c r="A248" s="385">
        <v>42978</v>
      </c>
      <c r="B248" s="386" t="s">
        <v>38</v>
      </c>
      <c r="C248" s="391"/>
      <c r="D248" s="392"/>
      <c r="E248" s="392"/>
      <c r="F248" s="394"/>
      <c r="G248" s="392"/>
      <c r="H248" s="389"/>
      <c r="I248" s="389"/>
      <c r="J248" s="405">
        <f t="shared" si="75"/>
        <v>0</v>
      </c>
      <c r="K248" s="392"/>
      <c r="L248" s="392"/>
      <c r="M248" s="406">
        <f t="shared" si="77"/>
        <v>0</v>
      </c>
      <c r="N248" s="407">
        <f t="shared" ref="N248" si="92">N247+C248</f>
        <v>0</v>
      </c>
      <c r="O248" s="448">
        <f t="shared" ref="O248" si="93">O247+D248</f>
        <v>0</v>
      </c>
      <c r="P248" s="409">
        <f t="shared" ref="P248" si="94">P247+E248</f>
        <v>0</v>
      </c>
      <c r="Q248" s="418">
        <f>[7]表2、统调口径电量!$I$10</f>
        <v>16022161.07</v>
      </c>
      <c r="R248" s="408">
        <f>[7]表2、统调口径电量!$I$14</f>
        <v>9292029.8</v>
      </c>
      <c r="S248" s="419">
        <f>[7]表2、统调口径电量!$I$3</f>
        <v>25831195.74</v>
      </c>
      <c r="T248" s="420">
        <f>N248/'2018'!N248-1</f>
        <v>-1</v>
      </c>
      <c r="U248" s="421">
        <f>O248/'2018'!O248-1</f>
        <v>-1</v>
      </c>
      <c r="V248" s="421">
        <f>P248/'2018'!P248-1</f>
        <v>-1</v>
      </c>
      <c r="W248" s="421">
        <f>Q248/'2018'!Q248-1</f>
        <v>0</v>
      </c>
      <c r="X248" s="421">
        <f>R248/'2018'!R248-1</f>
        <v>0</v>
      </c>
      <c r="Y248" s="431">
        <f>S248/'2018'!S248-1</f>
        <v>0</v>
      </c>
      <c r="Z248" s="432"/>
      <c r="AA248" s="433">
        <f t="shared" si="76"/>
        <v>1602.216107</v>
      </c>
      <c r="AB248" s="435"/>
      <c r="AC248" s="406" t="e">
        <f t="shared" ref="AC248" si="95">AA248*10000/AB248</f>
        <v>#DIV/0!</v>
      </c>
      <c r="AD248" s="435">
        <f>[7]表2、统调口径电量!$I$4</f>
        <v>16539165.94</v>
      </c>
      <c r="AE248" s="392">
        <f>[7]表2、统调口径电量!$I$13</f>
        <v>151020.45</v>
      </c>
      <c r="AF248" s="392">
        <f>[7]表2、统调口径电量!$I$17</f>
        <v>160719.97</v>
      </c>
      <c r="AG248" s="406">
        <f t="shared" si="80"/>
        <v>205264.449999999</v>
      </c>
      <c r="AH248" s="440">
        <f>AG248/'2017'!AG248-1</f>
        <v>0.63826400201293</v>
      </c>
      <c r="AI248" s="400"/>
      <c r="AJ248" s="400"/>
      <c r="AK248" s="400"/>
      <c r="AL248" s="400"/>
      <c r="AM248" s="400"/>
      <c r="AN248" s="400"/>
      <c r="AO248" s="400"/>
      <c r="AP248" s="400"/>
      <c r="AQ248" s="400"/>
      <c r="AR248" s="400"/>
      <c r="AS248" s="400"/>
      <c r="AT248" s="400"/>
      <c r="AU248" s="400"/>
      <c r="AV248" s="400"/>
      <c r="AW248" s="400"/>
      <c r="AX248" s="400"/>
      <c r="AY248" s="400"/>
      <c r="AZ248" s="400"/>
      <c r="BA248" s="400"/>
      <c r="BB248" s="400"/>
      <c r="BC248" s="400"/>
    </row>
    <row r="249" s="366" customFormat="1" ht="15" customHeight="1" spans="1:55">
      <c r="A249" s="395">
        <v>42979</v>
      </c>
      <c r="B249" s="443" t="s">
        <v>1</v>
      </c>
      <c r="C249" s="377"/>
      <c r="D249" s="329"/>
      <c r="E249" s="329"/>
      <c r="F249" s="378"/>
      <c r="G249" s="329"/>
      <c r="H249" s="376"/>
      <c r="I249" s="376"/>
      <c r="J249" s="399">
        <f t="shared" si="75"/>
        <v>0</v>
      </c>
      <c r="K249" s="329"/>
      <c r="L249" s="329"/>
      <c r="M249" s="401">
        <f t="shared" si="77"/>
        <v>0</v>
      </c>
      <c r="N249" s="396">
        <f>C249</f>
        <v>0</v>
      </c>
      <c r="O249" s="368">
        <f>D249</f>
        <v>0</v>
      </c>
      <c r="P249" s="398">
        <f>E249</f>
        <v>0</v>
      </c>
      <c r="Q249" s="414">
        <f>Q$248+N249</f>
        <v>16022161.07</v>
      </c>
      <c r="R249" s="402">
        <f t="shared" ref="Q249:S264" si="96">R$248+O249</f>
        <v>9292029.8</v>
      </c>
      <c r="S249" s="415">
        <f t="shared" si="96"/>
        <v>25831195.74</v>
      </c>
      <c r="T249" s="416">
        <f>N249/'2018'!N249-1</f>
        <v>-1</v>
      </c>
      <c r="U249" s="417">
        <f>O249/'2018'!O249-1</f>
        <v>-1</v>
      </c>
      <c r="V249" s="417">
        <f>P249/'2018'!P249-1</f>
        <v>-1</v>
      </c>
      <c r="W249" s="417">
        <f>Q249/'2018'!Q249-1</f>
        <v>-0.00403553632368192</v>
      </c>
      <c r="X249" s="417">
        <f>R249/'2018'!R249-1</f>
        <v>-0.00574359921674417</v>
      </c>
      <c r="Y249" s="424">
        <f>S249/'2018'!S249-1</f>
        <v>-0.00468565980730218</v>
      </c>
      <c r="Z249" s="425"/>
      <c r="AA249" s="426">
        <f t="shared" si="76"/>
        <v>1602.216107</v>
      </c>
      <c r="AB249" s="427"/>
      <c r="AC249" s="401"/>
      <c r="AD249" s="427">
        <f t="shared" si="78"/>
        <v>16539165.94</v>
      </c>
      <c r="AE249" s="329">
        <f t="shared" si="91"/>
        <v>151020.45</v>
      </c>
      <c r="AF249" s="329">
        <f t="shared" si="91"/>
        <v>160719.97</v>
      </c>
      <c r="AG249" s="401">
        <f t="shared" si="80"/>
        <v>205264.449999997</v>
      </c>
      <c r="AH249" s="439"/>
      <c r="AI249" s="400"/>
      <c r="AJ249" s="400"/>
      <c r="AK249" s="400"/>
      <c r="AL249" s="400"/>
      <c r="AM249" s="400"/>
      <c r="AN249" s="400"/>
      <c r="AO249" s="400"/>
      <c r="AP249" s="400"/>
      <c r="AQ249" s="400"/>
      <c r="AR249" s="400"/>
      <c r="AS249" s="400"/>
      <c r="AT249" s="400"/>
      <c r="AU249" s="400"/>
      <c r="AV249" s="400"/>
      <c r="AW249" s="400"/>
      <c r="AX249" s="400"/>
      <c r="AY249" s="400"/>
      <c r="AZ249" s="400"/>
      <c r="BA249" s="400"/>
      <c r="BB249" s="400"/>
      <c r="BC249" s="400"/>
    </row>
    <row r="250" s="366" customFormat="1" ht="15" customHeight="1" spans="1:55">
      <c r="A250" s="395">
        <v>42980</v>
      </c>
      <c r="B250" s="443" t="s">
        <v>39</v>
      </c>
      <c r="C250" s="377"/>
      <c r="D250" s="329"/>
      <c r="E250" s="329"/>
      <c r="F250" s="378"/>
      <c r="G250" s="329"/>
      <c r="H250" s="376"/>
      <c r="I250" s="376"/>
      <c r="J250" s="399">
        <f t="shared" si="75"/>
        <v>0</v>
      </c>
      <c r="K250" s="329"/>
      <c r="L250" s="329"/>
      <c r="M250" s="401">
        <f t="shared" si="77"/>
        <v>0</v>
      </c>
      <c r="N250" s="396">
        <f t="shared" ref="N250:P265" si="97">C250+N249</f>
        <v>0</v>
      </c>
      <c r="O250" s="368">
        <f t="shared" si="97"/>
        <v>0</v>
      </c>
      <c r="P250" s="398">
        <f t="shared" si="97"/>
        <v>0</v>
      </c>
      <c r="Q250" s="414">
        <f>Q$248+N250</f>
        <v>16022161.07</v>
      </c>
      <c r="R250" s="402">
        <f t="shared" si="96"/>
        <v>9292029.8</v>
      </c>
      <c r="S250" s="415">
        <f t="shared" si="96"/>
        <v>25831195.74</v>
      </c>
      <c r="T250" s="416">
        <f>N250/'2018'!N250-1</f>
        <v>-1</v>
      </c>
      <c r="U250" s="417">
        <f>O250/'2018'!O250-1</f>
        <v>-1</v>
      </c>
      <c r="V250" s="417">
        <f>P250/'2018'!P250-1</f>
        <v>-1</v>
      </c>
      <c r="W250" s="417">
        <f>Q250/'2018'!Q250-1</f>
        <v>-0.00806755767385148</v>
      </c>
      <c r="X250" s="417">
        <f>R250/'2018'!R250-1</f>
        <v>-0.0113367140146764</v>
      </c>
      <c r="Y250" s="424">
        <f>S250/'2018'!S250-1</f>
        <v>-0.00932305428336122</v>
      </c>
      <c r="Z250" s="425"/>
      <c r="AA250" s="426">
        <f t="shared" si="76"/>
        <v>1602.216107</v>
      </c>
      <c r="AB250" s="427"/>
      <c r="AC250" s="401"/>
      <c r="AD250" s="427">
        <f t="shared" si="78"/>
        <v>16539165.94</v>
      </c>
      <c r="AE250" s="329">
        <f t="shared" si="91"/>
        <v>151020.45</v>
      </c>
      <c r="AF250" s="329">
        <f t="shared" si="91"/>
        <v>160719.97</v>
      </c>
      <c r="AG250" s="401">
        <f t="shared" si="80"/>
        <v>205264.449999997</v>
      </c>
      <c r="AH250" s="439"/>
      <c r="AI250" s="400"/>
      <c r="AJ250" s="400"/>
      <c r="AK250" s="400"/>
      <c r="AL250" s="400"/>
      <c r="AM250" s="400"/>
      <c r="AN250" s="400"/>
      <c r="AO250" s="400"/>
      <c r="AP250" s="400"/>
      <c r="AQ250" s="400"/>
      <c r="AR250" s="400"/>
      <c r="AS250" s="400"/>
      <c r="AT250" s="400"/>
      <c r="AU250" s="400"/>
      <c r="AV250" s="400"/>
      <c r="AW250" s="400"/>
      <c r="AX250" s="400"/>
      <c r="AY250" s="400"/>
      <c r="AZ250" s="400"/>
      <c r="BA250" s="400"/>
      <c r="BB250" s="400"/>
      <c r="BC250" s="400"/>
    </row>
    <row r="251" s="366" customFormat="1" ht="15" customHeight="1" spans="1:55">
      <c r="A251" s="395">
        <v>42981</v>
      </c>
      <c r="B251" s="443" t="s">
        <v>34</v>
      </c>
      <c r="C251" s="377"/>
      <c r="D251" s="329"/>
      <c r="E251" s="329"/>
      <c r="F251" s="378"/>
      <c r="G251" s="329"/>
      <c r="H251" s="376"/>
      <c r="I251" s="376"/>
      <c r="J251" s="399">
        <f t="shared" si="75"/>
        <v>0</v>
      </c>
      <c r="K251" s="329"/>
      <c r="L251" s="329"/>
      <c r="M251" s="401">
        <f t="shared" si="77"/>
        <v>0</v>
      </c>
      <c r="N251" s="396">
        <f t="shared" si="97"/>
        <v>0</v>
      </c>
      <c r="O251" s="368">
        <f t="shared" si="97"/>
        <v>0</v>
      </c>
      <c r="P251" s="398">
        <f t="shared" si="97"/>
        <v>0</v>
      </c>
      <c r="Q251" s="414">
        <f t="shared" si="96"/>
        <v>16022161.07</v>
      </c>
      <c r="R251" s="402">
        <f t="shared" si="96"/>
        <v>9292029.8</v>
      </c>
      <c r="S251" s="415">
        <f t="shared" si="96"/>
        <v>25831195.74</v>
      </c>
      <c r="T251" s="416">
        <f>N251/'2018'!N251-1</f>
        <v>-1</v>
      </c>
      <c r="U251" s="417">
        <f>O251/'2018'!O251-1</f>
        <v>-1</v>
      </c>
      <c r="V251" s="417">
        <f>P251/'2018'!P251-1</f>
        <v>-1</v>
      </c>
      <c r="W251" s="417">
        <f>Q251/'2018'!Q251-1</f>
        <v>-0.0124392449525627</v>
      </c>
      <c r="X251" s="417">
        <f>R251/'2018'!R251-1</f>
        <v>-0.0173381310880265</v>
      </c>
      <c r="Y251" s="424">
        <f>S251/'2018'!S251-1</f>
        <v>-0.0143318595062578</v>
      </c>
      <c r="Z251" s="425"/>
      <c r="AA251" s="426">
        <f t="shared" si="76"/>
        <v>1602.216107</v>
      </c>
      <c r="AB251" s="427"/>
      <c r="AC251" s="401"/>
      <c r="AD251" s="427">
        <f t="shared" si="78"/>
        <v>16539165.94</v>
      </c>
      <c r="AE251" s="329">
        <f t="shared" si="91"/>
        <v>151020.45</v>
      </c>
      <c r="AF251" s="329">
        <f t="shared" si="91"/>
        <v>160719.97</v>
      </c>
      <c r="AG251" s="401">
        <f t="shared" si="80"/>
        <v>205264.449999997</v>
      </c>
      <c r="AH251" s="439"/>
      <c r="AI251" s="400"/>
      <c r="AJ251" s="400"/>
      <c r="AK251" s="400"/>
      <c r="AL251" s="400"/>
      <c r="AM251" s="400"/>
      <c r="AN251" s="400"/>
      <c r="AO251" s="400"/>
      <c r="AP251" s="400"/>
      <c r="AQ251" s="400"/>
      <c r="AR251" s="400"/>
      <c r="AS251" s="400"/>
      <c r="AT251" s="400"/>
      <c r="AU251" s="400"/>
      <c r="AV251" s="400"/>
      <c r="AW251" s="400"/>
      <c r="AX251" s="400"/>
      <c r="AY251" s="400"/>
      <c r="AZ251" s="400"/>
      <c r="BA251" s="400"/>
      <c r="BB251" s="400"/>
      <c r="BC251" s="400"/>
    </row>
    <row r="252" s="366" customFormat="1" ht="15" customHeight="1" spans="1:55">
      <c r="A252" s="395">
        <v>42982</v>
      </c>
      <c r="B252" s="443" t="s">
        <v>35</v>
      </c>
      <c r="C252" s="377"/>
      <c r="D252" s="329"/>
      <c r="E252" s="329"/>
      <c r="F252" s="378"/>
      <c r="G252" s="329"/>
      <c r="H252" s="376"/>
      <c r="I252" s="376"/>
      <c r="J252" s="399">
        <f t="shared" si="75"/>
        <v>0</v>
      </c>
      <c r="K252" s="329"/>
      <c r="L252" s="329"/>
      <c r="M252" s="401">
        <f t="shared" si="77"/>
        <v>0</v>
      </c>
      <c r="N252" s="396">
        <f t="shared" si="97"/>
        <v>0</v>
      </c>
      <c r="O252" s="368">
        <f t="shared" si="97"/>
        <v>0</v>
      </c>
      <c r="P252" s="398">
        <f t="shared" si="97"/>
        <v>0</v>
      </c>
      <c r="Q252" s="414">
        <f t="shared" si="96"/>
        <v>16022161.07</v>
      </c>
      <c r="R252" s="402">
        <f t="shared" si="96"/>
        <v>9292029.8</v>
      </c>
      <c r="S252" s="415">
        <f t="shared" si="96"/>
        <v>25831195.74</v>
      </c>
      <c r="T252" s="416">
        <f>N252/'2018'!N252-1</f>
        <v>-1</v>
      </c>
      <c r="U252" s="417">
        <f>O252/'2018'!O252-1</f>
        <v>-1</v>
      </c>
      <c r="V252" s="417">
        <f>P252/'2018'!P252-1</f>
        <v>-1</v>
      </c>
      <c r="W252" s="417">
        <f>Q252/'2018'!Q252-1</f>
        <v>-0.0165007321750651</v>
      </c>
      <c r="X252" s="417">
        <f>R252/'2018'!R252-1</f>
        <v>-0.0235877616722815</v>
      </c>
      <c r="Y252" s="424">
        <f>S252/'2018'!S252-1</f>
        <v>-0.0192468546164446</v>
      </c>
      <c r="Z252" s="425"/>
      <c r="AA252" s="426">
        <f t="shared" si="76"/>
        <v>1602.216107</v>
      </c>
      <c r="AB252" s="427"/>
      <c r="AC252" s="401"/>
      <c r="AD252" s="427">
        <f t="shared" si="78"/>
        <v>16539165.94</v>
      </c>
      <c r="AE252" s="329">
        <f t="shared" si="91"/>
        <v>151020.45</v>
      </c>
      <c r="AF252" s="329">
        <f t="shared" si="91"/>
        <v>160719.97</v>
      </c>
      <c r="AG252" s="401">
        <f t="shared" si="80"/>
        <v>205264.449999997</v>
      </c>
      <c r="AH252" s="439"/>
      <c r="AI252" s="400"/>
      <c r="AJ252" s="400"/>
      <c r="AK252" s="400"/>
      <c r="AL252" s="400"/>
      <c r="AM252" s="400"/>
      <c r="AN252" s="400"/>
      <c r="AO252" s="400"/>
      <c r="AP252" s="400"/>
      <c r="AQ252" s="400"/>
      <c r="AR252" s="400"/>
      <c r="AS252" s="400"/>
      <c r="AT252" s="400"/>
      <c r="AU252" s="400"/>
      <c r="AV252" s="400"/>
      <c r="AW252" s="400"/>
      <c r="AX252" s="400"/>
      <c r="AY252" s="400"/>
      <c r="AZ252" s="400"/>
      <c r="BA252" s="400"/>
      <c r="BB252" s="400"/>
      <c r="BC252" s="400"/>
    </row>
    <row r="253" s="366" customFormat="1" ht="15" customHeight="1" spans="1:55">
      <c r="A253" s="395">
        <v>42983</v>
      </c>
      <c r="B253" s="191" t="s">
        <v>36</v>
      </c>
      <c r="C253" s="377"/>
      <c r="D253" s="329"/>
      <c r="E253" s="329"/>
      <c r="F253" s="378"/>
      <c r="G253" s="329"/>
      <c r="H253" s="376"/>
      <c r="I253" s="376"/>
      <c r="J253" s="399">
        <f t="shared" si="75"/>
        <v>0</v>
      </c>
      <c r="K253" s="329"/>
      <c r="L253" s="329"/>
      <c r="M253" s="401">
        <f t="shared" si="77"/>
        <v>0</v>
      </c>
      <c r="N253" s="396">
        <f t="shared" si="97"/>
        <v>0</v>
      </c>
      <c r="O253" s="368">
        <f t="shared" si="97"/>
        <v>0</v>
      </c>
      <c r="P253" s="398">
        <f t="shared" si="97"/>
        <v>0</v>
      </c>
      <c r="Q253" s="414">
        <f t="shared" si="96"/>
        <v>16022161.07</v>
      </c>
      <c r="R253" s="402">
        <f t="shared" si="96"/>
        <v>9292029.8</v>
      </c>
      <c r="S253" s="415">
        <f t="shared" si="96"/>
        <v>25831195.74</v>
      </c>
      <c r="T253" s="416">
        <f>N253/'2018'!N253-1</f>
        <v>-1</v>
      </c>
      <c r="U253" s="417">
        <f>O253/'2018'!O253-1</f>
        <v>-1</v>
      </c>
      <c r="V253" s="417">
        <f>P253/'2018'!P253-1</f>
        <v>-1</v>
      </c>
      <c r="W253" s="417">
        <f>Q253/'2018'!Q253-1</f>
        <v>-0.0202712894603915</v>
      </c>
      <c r="X253" s="417">
        <f>R253/'2018'!R253-1</f>
        <v>-0.0297723810704396</v>
      </c>
      <c r="Y253" s="424">
        <f>S253/'2018'!S253-1</f>
        <v>-0.0239799260607315</v>
      </c>
      <c r="Z253" s="425"/>
      <c r="AA253" s="426">
        <f t="shared" si="76"/>
        <v>1602.216107</v>
      </c>
      <c r="AB253" s="427"/>
      <c r="AC253" s="401"/>
      <c r="AD253" s="427">
        <f t="shared" si="78"/>
        <v>16539165.94</v>
      </c>
      <c r="AE253" s="329">
        <f t="shared" si="91"/>
        <v>151020.45</v>
      </c>
      <c r="AF253" s="329">
        <f t="shared" si="91"/>
        <v>160719.97</v>
      </c>
      <c r="AG253" s="401">
        <f t="shared" si="80"/>
        <v>205264.449999997</v>
      </c>
      <c r="AH253" s="439"/>
      <c r="AI253" s="400"/>
      <c r="AJ253" s="400"/>
      <c r="AK253" s="400"/>
      <c r="AL253" s="400"/>
      <c r="AM253" s="400"/>
      <c r="AN253" s="400"/>
      <c r="AO253" s="400"/>
      <c r="AP253" s="400"/>
      <c r="AQ253" s="400"/>
      <c r="AR253" s="400"/>
      <c r="AS253" s="400"/>
      <c r="AT253" s="400"/>
      <c r="AU253" s="400"/>
      <c r="AV253" s="400"/>
      <c r="AW253" s="400"/>
      <c r="AX253" s="400"/>
      <c r="AY253" s="400"/>
      <c r="AZ253" s="400"/>
      <c r="BA253" s="400"/>
      <c r="BB253" s="400"/>
      <c r="BC253" s="400"/>
    </row>
    <row r="254" s="366" customFormat="1" ht="15" customHeight="1" spans="1:55">
      <c r="A254" s="395">
        <v>42984</v>
      </c>
      <c r="B254" s="443" t="s">
        <v>37</v>
      </c>
      <c r="C254" s="377"/>
      <c r="D254" s="329"/>
      <c r="E254" s="329"/>
      <c r="F254" s="378"/>
      <c r="G254" s="329"/>
      <c r="H254" s="376"/>
      <c r="I254" s="376"/>
      <c r="J254" s="399">
        <f t="shared" si="75"/>
        <v>0</v>
      </c>
      <c r="K254" s="329"/>
      <c r="L254" s="329"/>
      <c r="M254" s="401">
        <f t="shared" si="77"/>
        <v>0</v>
      </c>
      <c r="N254" s="396">
        <f t="shared" si="97"/>
        <v>0</v>
      </c>
      <c r="O254" s="368">
        <f t="shared" si="97"/>
        <v>0</v>
      </c>
      <c r="P254" s="398">
        <f t="shared" si="97"/>
        <v>0</v>
      </c>
      <c r="Q254" s="414">
        <f t="shared" si="96"/>
        <v>16022161.07</v>
      </c>
      <c r="R254" s="402">
        <f t="shared" si="96"/>
        <v>9292029.8</v>
      </c>
      <c r="S254" s="415">
        <f t="shared" si="96"/>
        <v>25831195.74</v>
      </c>
      <c r="T254" s="416">
        <f>N254/'2018'!N254-1</f>
        <v>-1</v>
      </c>
      <c r="U254" s="417">
        <f>O254/'2018'!O254-1</f>
        <v>-1</v>
      </c>
      <c r="V254" s="417">
        <f>P254/'2018'!P254-1</f>
        <v>-1</v>
      </c>
      <c r="W254" s="417">
        <f>Q254/'2018'!Q254-1</f>
        <v>-0.0245650431952527</v>
      </c>
      <c r="X254" s="417">
        <f>R254/'2018'!R254-1</f>
        <v>-0.0354547109550838</v>
      </c>
      <c r="Y254" s="424">
        <f>S254/'2018'!S254-1</f>
        <v>-0.028848043693141</v>
      </c>
      <c r="Z254" s="425"/>
      <c r="AA254" s="426">
        <f t="shared" si="76"/>
        <v>1602.216107</v>
      </c>
      <c r="AB254" s="427"/>
      <c r="AC254" s="401"/>
      <c r="AD254" s="427">
        <f t="shared" si="78"/>
        <v>16539165.94</v>
      </c>
      <c r="AE254" s="329">
        <f t="shared" si="91"/>
        <v>151020.45</v>
      </c>
      <c r="AF254" s="329">
        <f t="shared" si="91"/>
        <v>160719.97</v>
      </c>
      <c r="AG254" s="401">
        <f t="shared" si="80"/>
        <v>205264.449999997</v>
      </c>
      <c r="AH254" s="439"/>
      <c r="AI254" s="400"/>
      <c r="AJ254" s="400"/>
      <c r="AK254" s="400"/>
      <c r="AL254" s="400"/>
      <c r="AM254" s="400"/>
      <c r="AN254" s="400"/>
      <c r="AO254" s="400"/>
      <c r="AP254" s="400"/>
      <c r="AQ254" s="400"/>
      <c r="AR254" s="400"/>
      <c r="AS254" s="400"/>
      <c r="AT254" s="400"/>
      <c r="AU254" s="400"/>
      <c r="AV254" s="400"/>
      <c r="AW254" s="400"/>
      <c r="AX254" s="400"/>
      <c r="AY254" s="400"/>
      <c r="AZ254" s="400"/>
      <c r="BA254" s="400"/>
      <c r="BB254" s="400"/>
      <c r="BC254" s="400"/>
    </row>
    <row r="255" s="366" customFormat="1" ht="15" customHeight="1" spans="1:55">
      <c r="A255" s="395">
        <v>42985</v>
      </c>
      <c r="B255" s="443" t="s">
        <v>38</v>
      </c>
      <c r="C255" s="377"/>
      <c r="D255" s="329"/>
      <c r="E255" s="329"/>
      <c r="F255" s="378"/>
      <c r="G255" s="329"/>
      <c r="H255" s="376"/>
      <c r="I255" s="376"/>
      <c r="J255" s="399">
        <f t="shared" si="75"/>
        <v>0</v>
      </c>
      <c r="K255" s="329"/>
      <c r="L255" s="329"/>
      <c r="M255" s="401">
        <f t="shared" si="77"/>
        <v>0</v>
      </c>
      <c r="N255" s="396">
        <f t="shared" si="97"/>
        <v>0</v>
      </c>
      <c r="O255" s="368">
        <f t="shared" si="97"/>
        <v>0</v>
      </c>
      <c r="P255" s="398">
        <f t="shared" si="97"/>
        <v>0</v>
      </c>
      <c r="Q255" s="414">
        <f t="shared" si="96"/>
        <v>16022161.07</v>
      </c>
      <c r="R255" s="402">
        <f t="shared" si="96"/>
        <v>9292029.8</v>
      </c>
      <c r="S255" s="415">
        <f t="shared" si="96"/>
        <v>25831195.74</v>
      </c>
      <c r="T255" s="416">
        <f>N255/'2018'!N255-1</f>
        <v>-1</v>
      </c>
      <c r="U255" s="417">
        <f>O255/'2018'!O255-1</f>
        <v>-1</v>
      </c>
      <c r="V255" s="417">
        <f>P255/'2018'!P255-1</f>
        <v>-1</v>
      </c>
      <c r="W255" s="417">
        <f>Q255/'2018'!Q255-1</f>
        <v>-0.028218027910444</v>
      </c>
      <c r="X255" s="417">
        <f>R255/'2018'!R255-1</f>
        <v>-0.0408146904931993</v>
      </c>
      <c r="Y255" s="424">
        <f>S255/'2018'!S255-1</f>
        <v>-0.0331768912288274</v>
      </c>
      <c r="Z255" s="425"/>
      <c r="AA255" s="426">
        <f t="shared" si="76"/>
        <v>1602.216107</v>
      </c>
      <c r="AB255" s="427"/>
      <c r="AC255" s="401"/>
      <c r="AD255" s="427">
        <f t="shared" si="78"/>
        <v>16539165.94</v>
      </c>
      <c r="AE255" s="329">
        <f t="shared" si="91"/>
        <v>151020.45</v>
      </c>
      <c r="AF255" s="329">
        <f t="shared" si="91"/>
        <v>160719.97</v>
      </c>
      <c r="AG255" s="401">
        <f t="shared" si="80"/>
        <v>205264.449999997</v>
      </c>
      <c r="AH255" s="439"/>
      <c r="AI255" s="400"/>
      <c r="AJ255" s="400"/>
      <c r="AK255" s="400"/>
      <c r="AL255" s="400"/>
      <c r="AM255" s="400"/>
      <c r="AN255" s="400"/>
      <c r="AO255" s="400"/>
      <c r="AP255" s="400"/>
      <c r="AQ255" s="400"/>
      <c r="AR255" s="400"/>
      <c r="AS255" s="400"/>
      <c r="AT255" s="400"/>
      <c r="AU255" s="400"/>
      <c r="AV255" s="400"/>
      <c r="AW255" s="400"/>
      <c r="AX255" s="400"/>
      <c r="AY255" s="400"/>
      <c r="AZ255" s="400"/>
      <c r="BA255" s="400"/>
      <c r="BB255" s="400"/>
      <c r="BC255" s="400"/>
    </row>
    <row r="256" s="366" customFormat="1" ht="15" customHeight="1" spans="1:55">
      <c r="A256" s="395">
        <v>42986</v>
      </c>
      <c r="B256" s="443" t="s">
        <v>1</v>
      </c>
      <c r="C256" s="377"/>
      <c r="D256" s="329"/>
      <c r="E256" s="329"/>
      <c r="F256" s="378"/>
      <c r="G256" s="329"/>
      <c r="H256" s="376"/>
      <c r="I256" s="376"/>
      <c r="J256" s="399">
        <f t="shared" si="75"/>
        <v>0</v>
      </c>
      <c r="K256" s="329"/>
      <c r="L256" s="329"/>
      <c r="M256" s="401">
        <f t="shared" si="77"/>
        <v>0</v>
      </c>
      <c r="N256" s="396">
        <f t="shared" si="97"/>
        <v>0</v>
      </c>
      <c r="O256" s="368">
        <f t="shared" si="97"/>
        <v>0</v>
      </c>
      <c r="P256" s="398">
        <f t="shared" si="97"/>
        <v>0</v>
      </c>
      <c r="Q256" s="414">
        <f t="shared" si="96"/>
        <v>16022161.07</v>
      </c>
      <c r="R256" s="402">
        <f t="shared" si="96"/>
        <v>9292029.8</v>
      </c>
      <c r="S256" s="415">
        <f t="shared" si="96"/>
        <v>25831195.74</v>
      </c>
      <c r="T256" s="416">
        <f>N256/'2018'!N256-1</f>
        <v>-1</v>
      </c>
      <c r="U256" s="417">
        <f>O256/'2018'!O256-1</f>
        <v>-1</v>
      </c>
      <c r="V256" s="417">
        <f>P256/'2018'!P256-1</f>
        <v>-1</v>
      </c>
      <c r="W256" s="417">
        <f>Q256/'2018'!Q256-1</f>
        <v>-0.0310462435111238</v>
      </c>
      <c r="X256" s="417">
        <f>R256/'2018'!R256-1</f>
        <v>-0.0460539293181613</v>
      </c>
      <c r="Y256" s="424">
        <f>S256/'2018'!S256-1</f>
        <v>-0.0369502079933554</v>
      </c>
      <c r="Z256" s="425"/>
      <c r="AA256" s="426">
        <f t="shared" si="76"/>
        <v>1602.216107</v>
      </c>
      <c r="AB256" s="427"/>
      <c r="AC256" s="401"/>
      <c r="AD256" s="427">
        <f t="shared" si="78"/>
        <v>16539165.94</v>
      </c>
      <c r="AE256" s="329">
        <f t="shared" si="91"/>
        <v>151020.45</v>
      </c>
      <c r="AF256" s="329">
        <f t="shared" si="91"/>
        <v>160719.97</v>
      </c>
      <c r="AG256" s="401">
        <f t="shared" si="80"/>
        <v>205264.449999997</v>
      </c>
      <c r="AH256" s="439"/>
      <c r="AI256" s="400"/>
      <c r="AJ256" s="400"/>
      <c r="AK256" s="400"/>
      <c r="AL256" s="400"/>
      <c r="AM256" s="400"/>
      <c r="AN256" s="400"/>
      <c r="AO256" s="400"/>
      <c r="AP256" s="400"/>
      <c r="AQ256" s="400"/>
      <c r="AR256" s="400"/>
      <c r="AS256" s="400"/>
      <c r="AT256" s="400"/>
      <c r="AU256" s="400"/>
      <c r="AV256" s="400"/>
      <c r="AW256" s="400"/>
      <c r="AX256" s="400"/>
      <c r="AY256" s="400"/>
      <c r="AZ256" s="400"/>
      <c r="BA256" s="400"/>
      <c r="BB256" s="400"/>
      <c r="BC256" s="400"/>
    </row>
    <row r="257" s="366" customFormat="1" ht="15" customHeight="1" spans="1:55">
      <c r="A257" s="395">
        <v>42987</v>
      </c>
      <c r="B257" s="443" t="s">
        <v>39</v>
      </c>
      <c r="C257" s="377"/>
      <c r="D257" s="329"/>
      <c r="E257" s="329"/>
      <c r="F257" s="378"/>
      <c r="G257" s="329"/>
      <c r="H257" s="376"/>
      <c r="I257" s="376"/>
      <c r="J257" s="399">
        <f t="shared" si="75"/>
        <v>0</v>
      </c>
      <c r="K257" s="329"/>
      <c r="L257" s="329"/>
      <c r="M257" s="401">
        <f t="shared" si="77"/>
        <v>0</v>
      </c>
      <c r="N257" s="396">
        <f t="shared" si="97"/>
        <v>0</v>
      </c>
      <c r="O257" s="368">
        <f t="shared" si="97"/>
        <v>0</v>
      </c>
      <c r="P257" s="398">
        <f t="shared" si="97"/>
        <v>0</v>
      </c>
      <c r="Q257" s="414">
        <f t="shared" si="96"/>
        <v>16022161.07</v>
      </c>
      <c r="R257" s="402">
        <f t="shared" si="96"/>
        <v>9292029.8</v>
      </c>
      <c r="S257" s="415">
        <f t="shared" si="96"/>
        <v>25831195.74</v>
      </c>
      <c r="T257" s="416">
        <f>N257/'2018'!N257-1</f>
        <v>-1</v>
      </c>
      <c r="U257" s="417">
        <f>O257/'2018'!O257-1</f>
        <v>-1</v>
      </c>
      <c r="V257" s="417">
        <f>P257/'2018'!P257-1</f>
        <v>-1</v>
      </c>
      <c r="W257" s="417">
        <f>Q257/'2018'!Q257-1</f>
        <v>-0.0334860362790768</v>
      </c>
      <c r="X257" s="417">
        <f>R257/'2018'!R257-1</f>
        <v>-0.051122984993311</v>
      </c>
      <c r="Y257" s="424">
        <f>S257/'2018'!S257-1</f>
        <v>-0.0403917312753859</v>
      </c>
      <c r="Z257" s="425"/>
      <c r="AA257" s="426">
        <f t="shared" si="76"/>
        <v>1602.216107</v>
      </c>
      <c r="AB257" s="427"/>
      <c r="AC257" s="401"/>
      <c r="AD257" s="427">
        <f t="shared" si="78"/>
        <v>16539165.94</v>
      </c>
      <c r="AE257" s="329">
        <f t="shared" si="91"/>
        <v>151020.45</v>
      </c>
      <c r="AF257" s="329">
        <f t="shared" si="91"/>
        <v>160719.97</v>
      </c>
      <c r="AG257" s="401">
        <f t="shared" si="80"/>
        <v>205264.449999997</v>
      </c>
      <c r="AH257" s="439"/>
      <c r="AI257" s="400"/>
      <c r="AJ257" s="400"/>
      <c r="AK257" s="400"/>
      <c r="AL257" s="400"/>
      <c r="AM257" s="400"/>
      <c r="AN257" s="400"/>
      <c r="AO257" s="400"/>
      <c r="AP257" s="400"/>
      <c r="AQ257" s="400"/>
      <c r="AR257" s="400"/>
      <c r="AS257" s="400"/>
      <c r="AT257" s="400"/>
      <c r="AU257" s="400"/>
      <c r="AV257" s="400"/>
      <c r="AW257" s="400"/>
      <c r="AX257" s="400"/>
      <c r="AY257" s="400"/>
      <c r="AZ257" s="400"/>
      <c r="BA257" s="400"/>
      <c r="BB257" s="400"/>
      <c r="BC257" s="400"/>
    </row>
    <row r="258" s="366" customFormat="1" ht="15" customHeight="1" spans="1:55">
      <c r="A258" s="395">
        <v>42988</v>
      </c>
      <c r="B258" s="443" t="s">
        <v>34</v>
      </c>
      <c r="C258" s="377"/>
      <c r="D258" s="329"/>
      <c r="E258" s="329"/>
      <c r="F258" s="378"/>
      <c r="G258" s="329"/>
      <c r="H258" s="376"/>
      <c r="I258" s="376"/>
      <c r="J258" s="399">
        <f t="shared" si="75"/>
        <v>0</v>
      </c>
      <c r="K258" s="329"/>
      <c r="L258" s="329"/>
      <c r="M258" s="401">
        <f t="shared" si="77"/>
        <v>0</v>
      </c>
      <c r="N258" s="396">
        <f t="shared" si="97"/>
        <v>0</v>
      </c>
      <c r="O258" s="368">
        <f t="shared" si="97"/>
        <v>0</v>
      </c>
      <c r="P258" s="398">
        <f t="shared" si="97"/>
        <v>0</v>
      </c>
      <c r="Q258" s="414">
        <f t="shared" si="96"/>
        <v>16022161.07</v>
      </c>
      <c r="R258" s="402">
        <f t="shared" si="96"/>
        <v>9292029.8</v>
      </c>
      <c r="S258" s="415">
        <f t="shared" si="96"/>
        <v>25831195.74</v>
      </c>
      <c r="T258" s="416">
        <f>N258/'2018'!N258-1</f>
        <v>-1</v>
      </c>
      <c r="U258" s="417">
        <f>O258/'2018'!O258-1</f>
        <v>-1</v>
      </c>
      <c r="V258" s="417">
        <f>P258/'2018'!P258-1</f>
        <v>-1</v>
      </c>
      <c r="W258" s="417">
        <f>Q258/'2018'!Q258-1</f>
        <v>-0.0362674848422841</v>
      </c>
      <c r="X258" s="417">
        <f>R258/'2018'!R258-1</f>
        <v>-0.0562858866910108</v>
      </c>
      <c r="Y258" s="424">
        <f>S258/'2018'!S258-1</f>
        <v>-0.0440755154799541</v>
      </c>
      <c r="Z258" s="425"/>
      <c r="AA258" s="426">
        <f t="shared" si="76"/>
        <v>1602.216107</v>
      </c>
      <c r="AB258" s="427"/>
      <c r="AC258" s="401"/>
      <c r="AD258" s="427">
        <f t="shared" si="78"/>
        <v>16539165.94</v>
      </c>
      <c r="AE258" s="329">
        <f t="shared" si="91"/>
        <v>151020.45</v>
      </c>
      <c r="AF258" s="329">
        <f t="shared" si="91"/>
        <v>160719.97</v>
      </c>
      <c r="AG258" s="401">
        <f t="shared" si="80"/>
        <v>205264.449999997</v>
      </c>
      <c r="AH258" s="439"/>
      <c r="AI258" s="400"/>
      <c r="AJ258" s="400"/>
      <c r="AK258" s="400"/>
      <c r="AL258" s="400"/>
      <c r="AM258" s="400"/>
      <c r="AN258" s="400"/>
      <c r="AO258" s="400"/>
      <c r="AP258" s="400"/>
      <c r="AQ258" s="400"/>
      <c r="AR258" s="400"/>
      <c r="AS258" s="400"/>
      <c r="AT258" s="400"/>
      <c r="AU258" s="400"/>
      <c r="AV258" s="400"/>
      <c r="AW258" s="400"/>
      <c r="AX258" s="400"/>
      <c r="AY258" s="400"/>
      <c r="AZ258" s="400"/>
      <c r="BA258" s="400"/>
      <c r="BB258" s="400"/>
      <c r="BC258" s="400"/>
    </row>
    <row r="259" s="366" customFormat="1" ht="15" customHeight="1" spans="1:55">
      <c r="A259" s="395">
        <v>42989</v>
      </c>
      <c r="B259" s="443" t="s">
        <v>35</v>
      </c>
      <c r="C259" s="377"/>
      <c r="D259" s="329"/>
      <c r="E259" s="329"/>
      <c r="F259" s="378"/>
      <c r="G259" s="329"/>
      <c r="H259" s="376"/>
      <c r="I259" s="376"/>
      <c r="J259" s="399">
        <f t="shared" si="75"/>
        <v>0</v>
      </c>
      <c r="K259" s="329"/>
      <c r="L259" s="329"/>
      <c r="M259" s="401">
        <f t="shared" si="77"/>
        <v>0</v>
      </c>
      <c r="N259" s="396">
        <f t="shared" si="97"/>
        <v>0</v>
      </c>
      <c r="O259" s="368">
        <f t="shared" si="97"/>
        <v>0</v>
      </c>
      <c r="P259" s="398">
        <f t="shared" si="97"/>
        <v>0</v>
      </c>
      <c r="Q259" s="414">
        <f t="shared" si="96"/>
        <v>16022161.07</v>
      </c>
      <c r="R259" s="402">
        <f t="shared" si="96"/>
        <v>9292029.8</v>
      </c>
      <c r="S259" s="415">
        <f t="shared" si="96"/>
        <v>25831195.74</v>
      </c>
      <c r="T259" s="416">
        <f>N259/'2018'!N259-1</f>
        <v>-1</v>
      </c>
      <c r="U259" s="417">
        <f>O259/'2018'!O259-1</f>
        <v>-1</v>
      </c>
      <c r="V259" s="417">
        <f>P259/'2018'!P259-1</f>
        <v>-1</v>
      </c>
      <c r="W259" s="417">
        <f>Q259/'2018'!Q259-1</f>
        <v>-0.0391664374205319</v>
      </c>
      <c r="X259" s="417">
        <f>R259/'2018'!R259-1</f>
        <v>-0.0614426820076189</v>
      </c>
      <c r="Y259" s="424">
        <f>S259/'2018'!S259-1</f>
        <v>-0.0478145983807403</v>
      </c>
      <c r="Z259" s="425"/>
      <c r="AA259" s="426">
        <f t="shared" si="76"/>
        <v>1602.216107</v>
      </c>
      <c r="AB259" s="427"/>
      <c r="AC259" s="401"/>
      <c r="AD259" s="427">
        <f t="shared" si="78"/>
        <v>16539165.94</v>
      </c>
      <c r="AE259" s="329">
        <f t="shared" si="91"/>
        <v>151020.45</v>
      </c>
      <c r="AF259" s="329">
        <f t="shared" si="91"/>
        <v>160719.97</v>
      </c>
      <c r="AG259" s="401">
        <f t="shared" si="80"/>
        <v>205264.449999997</v>
      </c>
      <c r="AH259" s="439"/>
      <c r="AI259" s="400"/>
      <c r="AJ259" s="400"/>
      <c r="AK259" s="400"/>
      <c r="AL259" s="400"/>
      <c r="AM259" s="400"/>
      <c r="AN259" s="400"/>
      <c r="AO259" s="400"/>
      <c r="AP259" s="400"/>
      <c r="AQ259" s="400"/>
      <c r="AR259" s="400"/>
      <c r="AS259" s="400"/>
      <c r="AT259" s="400"/>
      <c r="AU259" s="400"/>
      <c r="AV259" s="400"/>
      <c r="AW259" s="400"/>
      <c r="AX259" s="400"/>
      <c r="AY259" s="400"/>
      <c r="AZ259" s="400"/>
      <c r="BA259" s="400"/>
      <c r="BB259" s="400"/>
      <c r="BC259" s="400"/>
    </row>
    <row r="260" s="366" customFormat="1" ht="15" customHeight="1" spans="1:55">
      <c r="A260" s="395">
        <v>42990</v>
      </c>
      <c r="B260" s="191" t="s">
        <v>36</v>
      </c>
      <c r="C260" s="377"/>
      <c r="D260" s="329"/>
      <c r="E260" s="329"/>
      <c r="F260" s="378"/>
      <c r="G260" s="329"/>
      <c r="H260" s="376"/>
      <c r="I260" s="376"/>
      <c r="J260" s="399">
        <f t="shared" si="75"/>
        <v>0</v>
      </c>
      <c r="K260" s="329"/>
      <c r="L260" s="329"/>
      <c r="M260" s="401">
        <f t="shared" si="77"/>
        <v>0</v>
      </c>
      <c r="N260" s="396">
        <f t="shared" si="97"/>
        <v>0</v>
      </c>
      <c r="O260" s="368">
        <f t="shared" si="97"/>
        <v>0</v>
      </c>
      <c r="P260" s="398">
        <f t="shared" si="97"/>
        <v>0</v>
      </c>
      <c r="Q260" s="414">
        <f t="shared" si="96"/>
        <v>16022161.07</v>
      </c>
      <c r="R260" s="402">
        <f t="shared" si="96"/>
        <v>9292029.8</v>
      </c>
      <c r="S260" s="415">
        <f t="shared" si="96"/>
        <v>25831195.74</v>
      </c>
      <c r="T260" s="416">
        <f>N260/'2018'!N260-1</f>
        <v>-1</v>
      </c>
      <c r="U260" s="417">
        <f>O260/'2018'!O260-1</f>
        <v>-1</v>
      </c>
      <c r="V260" s="417">
        <f>P260/'2018'!P260-1</f>
        <v>-1</v>
      </c>
      <c r="W260" s="417">
        <f>Q260/'2018'!Q260-1</f>
        <v>-0.0419698722261898</v>
      </c>
      <c r="X260" s="417">
        <f>R260/'2018'!R260-1</f>
        <v>-0.0666789086823574</v>
      </c>
      <c r="Y260" s="424">
        <f>S260/'2018'!S260-1</f>
        <v>-0.0515426538715826</v>
      </c>
      <c r="Z260" s="425"/>
      <c r="AA260" s="426">
        <f t="shared" si="76"/>
        <v>1602.216107</v>
      </c>
      <c r="AB260" s="427"/>
      <c r="AC260" s="401"/>
      <c r="AD260" s="427">
        <f t="shared" si="78"/>
        <v>16539165.94</v>
      </c>
      <c r="AE260" s="329">
        <f t="shared" si="91"/>
        <v>151020.45</v>
      </c>
      <c r="AF260" s="329">
        <f t="shared" si="91"/>
        <v>160719.97</v>
      </c>
      <c r="AG260" s="401">
        <f t="shared" si="80"/>
        <v>205264.449999997</v>
      </c>
      <c r="AH260" s="439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</row>
    <row r="261" s="366" customFormat="1" ht="15" customHeight="1" spans="1:55">
      <c r="A261" s="395">
        <v>42991</v>
      </c>
      <c r="B261" s="443" t="s">
        <v>37</v>
      </c>
      <c r="C261" s="377"/>
      <c r="D261" s="329"/>
      <c r="E261" s="329"/>
      <c r="F261" s="378"/>
      <c r="G261" s="329"/>
      <c r="H261" s="376"/>
      <c r="I261" s="376"/>
      <c r="J261" s="399">
        <f t="shared" ref="J261:J324" si="98">E261-D261</f>
        <v>0</v>
      </c>
      <c r="K261" s="329"/>
      <c r="L261" s="329"/>
      <c r="M261" s="401">
        <f t="shared" si="77"/>
        <v>0</v>
      </c>
      <c r="N261" s="396">
        <f t="shared" si="97"/>
        <v>0</v>
      </c>
      <c r="O261" s="368">
        <f t="shared" si="97"/>
        <v>0</v>
      </c>
      <c r="P261" s="398">
        <f t="shared" si="97"/>
        <v>0</v>
      </c>
      <c r="Q261" s="414">
        <f t="shared" si="96"/>
        <v>16022161.07</v>
      </c>
      <c r="R261" s="402">
        <f t="shared" si="96"/>
        <v>9292029.8</v>
      </c>
      <c r="S261" s="415">
        <f t="shared" si="96"/>
        <v>25831195.74</v>
      </c>
      <c r="T261" s="416">
        <f>N261/'2018'!N261-1</f>
        <v>-1</v>
      </c>
      <c r="U261" s="417">
        <f>O261/'2018'!O261-1</f>
        <v>-1</v>
      </c>
      <c r="V261" s="417">
        <f>P261/'2018'!P261-1</f>
        <v>-1</v>
      </c>
      <c r="W261" s="417">
        <f>Q261/'2018'!Q261-1</f>
        <v>-0.0448444082474068</v>
      </c>
      <c r="X261" s="417">
        <f>R261/'2018'!R261-1</f>
        <v>-0.0718852160219187</v>
      </c>
      <c r="Y261" s="424">
        <f>S261/'2018'!S261-1</f>
        <v>-0.0554059403185181</v>
      </c>
      <c r="Z261" s="425"/>
      <c r="AA261" s="426">
        <f t="shared" ref="AA261:AA324" si="99">Q261/10000-Z261</f>
        <v>1602.216107</v>
      </c>
      <c r="AB261" s="427"/>
      <c r="AC261" s="401"/>
      <c r="AD261" s="427">
        <f t="shared" si="78"/>
        <v>16539165.94</v>
      </c>
      <c r="AE261" s="329">
        <f t="shared" si="91"/>
        <v>151020.45</v>
      </c>
      <c r="AF261" s="329">
        <f t="shared" si="91"/>
        <v>160719.97</v>
      </c>
      <c r="AG261" s="401">
        <f t="shared" si="80"/>
        <v>205264.449999997</v>
      </c>
      <c r="AH261" s="439"/>
      <c r="AI261" s="400"/>
      <c r="AJ261" s="400"/>
      <c r="AK261" s="400"/>
      <c r="AL261" s="400"/>
      <c r="AM261" s="400"/>
      <c r="AN261" s="400"/>
      <c r="AO261" s="400"/>
      <c r="AP261" s="400"/>
      <c r="AQ261" s="400"/>
      <c r="AR261" s="400"/>
      <c r="AS261" s="400"/>
      <c r="AT261" s="400"/>
      <c r="AU261" s="400"/>
      <c r="AV261" s="400"/>
      <c r="AW261" s="400"/>
      <c r="AX261" s="400"/>
      <c r="AY261" s="400"/>
      <c r="AZ261" s="400"/>
      <c r="BA261" s="400"/>
      <c r="BB261" s="400"/>
      <c r="BC261" s="400"/>
    </row>
    <row r="262" s="366" customFormat="1" ht="15" customHeight="1" spans="1:55">
      <c r="A262" s="395">
        <v>42992</v>
      </c>
      <c r="B262" s="443" t="s">
        <v>38</v>
      </c>
      <c r="C262" s="377"/>
      <c r="D262" s="329"/>
      <c r="E262" s="329"/>
      <c r="F262" s="378"/>
      <c r="G262" s="329"/>
      <c r="H262" s="376"/>
      <c r="I262" s="376"/>
      <c r="J262" s="399">
        <f t="shared" si="98"/>
        <v>0</v>
      </c>
      <c r="K262" s="329"/>
      <c r="L262" s="329"/>
      <c r="M262" s="401">
        <f t="shared" ref="M262:M325" si="100">J262-K262-L262-C262</f>
        <v>0</v>
      </c>
      <c r="N262" s="396">
        <f t="shared" si="97"/>
        <v>0</v>
      </c>
      <c r="O262" s="368">
        <f t="shared" si="97"/>
        <v>0</v>
      </c>
      <c r="P262" s="398">
        <f t="shared" si="97"/>
        <v>0</v>
      </c>
      <c r="Q262" s="414">
        <f t="shared" si="96"/>
        <v>16022161.07</v>
      </c>
      <c r="R262" s="402">
        <f t="shared" si="96"/>
        <v>9292029.8</v>
      </c>
      <c r="S262" s="415">
        <f t="shared" si="96"/>
        <v>25831195.74</v>
      </c>
      <c r="T262" s="416">
        <f>N262/'2018'!N262-1</f>
        <v>-1</v>
      </c>
      <c r="U262" s="417">
        <f>O262/'2018'!O262-1</f>
        <v>-1</v>
      </c>
      <c r="V262" s="417">
        <f>P262/'2018'!P262-1</f>
        <v>-1</v>
      </c>
      <c r="W262" s="417">
        <f>Q262/'2018'!Q262-1</f>
        <v>-0.0478992428579524</v>
      </c>
      <c r="X262" s="417">
        <f>R262/'2018'!R262-1</f>
        <v>-0.0769776514874281</v>
      </c>
      <c r="Y262" s="424">
        <f>S262/'2018'!S262-1</f>
        <v>-0.0594250879313267</v>
      </c>
      <c r="Z262" s="425"/>
      <c r="AA262" s="426">
        <f t="shared" si="99"/>
        <v>1602.216107</v>
      </c>
      <c r="AB262" s="427"/>
      <c r="AC262" s="401"/>
      <c r="AD262" s="427">
        <f t="shared" ref="AD262:AD325" si="101">S262-R262</f>
        <v>16539165.94</v>
      </c>
      <c r="AE262" s="329">
        <f t="shared" si="91"/>
        <v>151020.45</v>
      </c>
      <c r="AF262" s="329">
        <f t="shared" si="91"/>
        <v>160719.97</v>
      </c>
      <c r="AG262" s="401">
        <f t="shared" si="80"/>
        <v>205264.449999997</v>
      </c>
      <c r="AH262" s="439"/>
      <c r="AI262" s="400"/>
      <c r="AJ262" s="400"/>
      <c r="AK262" s="400"/>
      <c r="AL262" s="400"/>
      <c r="AM262" s="400"/>
      <c r="AN262" s="400"/>
      <c r="AO262" s="400"/>
      <c r="AP262" s="400"/>
      <c r="AQ262" s="400"/>
      <c r="AR262" s="400"/>
      <c r="AS262" s="400"/>
      <c r="AT262" s="400"/>
      <c r="AU262" s="400"/>
      <c r="AV262" s="400"/>
      <c r="AW262" s="400"/>
      <c r="AX262" s="400"/>
      <c r="AY262" s="400"/>
      <c r="AZ262" s="400"/>
      <c r="BA262" s="400"/>
      <c r="BB262" s="400"/>
      <c r="BC262" s="400"/>
    </row>
    <row r="263" s="366" customFormat="1" ht="15" customHeight="1" spans="1:55">
      <c r="A263" s="395">
        <v>42993</v>
      </c>
      <c r="B263" s="443" t="s">
        <v>1</v>
      </c>
      <c r="C263" s="377"/>
      <c r="D263" s="329"/>
      <c r="E263" s="329"/>
      <c r="F263" s="378"/>
      <c r="G263" s="329"/>
      <c r="H263" s="376"/>
      <c r="I263" s="376"/>
      <c r="J263" s="399">
        <f t="shared" si="98"/>
        <v>0</v>
      </c>
      <c r="K263" s="329"/>
      <c r="L263" s="329"/>
      <c r="M263" s="401">
        <f t="shared" si="100"/>
        <v>0</v>
      </c>
      <c r="N263" s="396">
        <f t="shared" si="97"/>
        <v>0</v>
      </c>
      <c r="O263" s="368">
        <f t="shared" si="97"/>
        <v>0</v>
      </c>
      <c r="P263" s="398">
        <f t="shared" si="97"/>
        <v>0</v>
      </c>
      <c r="Q263" s="414">
        <f t="shared" si="96"/>
        <v>16022161.07</v>
      </c>
      <c r="R263" s="402">
        <f t="shared" si="96"/>
        <v>9292029.8</v>
      </c>
      <c r="S263" s="415">
        <f t="shared" si="96"/>
        <v>25831195.74</v>
      </c>
      <c r="T263" s="416">
        <f>N263/'2018'!N263-1</f>
        <v>-1</v>
      </c>
      <c r="U263" s="417">
        <f>O263/'2018'!O263-1</f>
        <v>-1</v>
      </c>
      <c r="V263" s="417">
        <f>P263/'2018'!P263-1</f>
        <v>-1</v>
      </c>
      <c r="W263" s="417">
        <f>Q263/'2018'!Q263-1</f>
        <v>-0.05089412116726</v>
      </c>
      <c r="X263" s="417">
        <f>R263/'2018'!R263-1</f>
        <v>-0.0821439058215497</v>
      </c>
      <c r="Y263" s="424">
        <f>S263/'2018'!S263-1</f>
        <v>-0.063447939198522</v>
      </c>
      <c r="Z263" s="425"/>
      <c r="AA263" s="426">
        <f t="shared" si="99"/>
        <v>1602.216107</v>
      </c>
      <c r="AB263" s="427"/>
      <c r="AC263" s="401"/>
      <c r="AD263" s="427">
        <f t="shared" si="101"/>
        <v>16539165.94</v>
      </c>
      <c r="AE263" s="329">
        <f t="shared" ref="AE263:AF278" si="102">AE262+K263</f>
        <v>151020.45</v>
      </c>
      <c r="AF263" s="329">
        <f t="shared" si="102"/>
        <v>160719.97</v>
      </c>
      <c r="AG263" s="401">
        <f t="shared" ref="AG263:AG326" si="103">AD263-Q263-AE263-AF263</f>
        <v>205264.449999997</v>
      </c>
      <c r="AH263" s="439"/>
      <c r="AI263" s="400"/>
      <c r="AJ263" s="400"/>
      <c r="AK263" s="400"/>
      <c r="AL263" s="400"/>
      <c r="AM263" s="400"/>
      <c r="AN263" s="400"/>
      <c r="AO263" s="400"/>
      <c r="AP263" s="400"/>
      <c r="AQ263" s="400"/>
      <c r="AR263" s="400"/>
      <c r="AS263" s="400"/>
      <c r="AT263" s="400"/>
      <c r="AU263" s="400"/>
      <c r="AV263" s="400"/>
      <c r="AW263" s="400"/>
      <c r="AX263" s="400"/>
      <c r="AY263" s="400"/>
      <c r="AZ263" s="400"/>
      <c r="BA263" s="400"/>
      <c r="BB263" s="400"/>
      <c r="BC263" s="400"/>
    </row>
    <row r="264" s="366" customFormat="1" ht="15" customHeight="1" spans="1:55">
      <c r="A264" s="395">
        <v>42994</v>
      </c>
      <c r="B264" s="443" t="s">
        <v>39</v>
      </c>
      <c r="C264" s="377"/>
      <c r="D264" s="329"/>
      <c r="E264" s="329"/>
      <c r="F264" s="378"/>
      <c r="G264" s="329"/>
      <c r="H264" s="376"/>
      <c r="I264" s="376"/>
      <c r="J264" s="399">
        <f t="shared" si="98"/>
        <v>0</v>
      </c>
      <c r="K264" s="329"/>
      <c r="L264" s="329"/>
      <c r="M264" s="401">
        <f t="shared" si="100"/>
        <v>0</v>
      </c>
      <c r="N264" s="396">
        <f t="shared" si="97"/>
        <v>0</v>
      </c>
      <c r="O264" s="368">
        <f t="shared" si="97"/>
        <v>0</v>
      </c>
      <c r="P264" s="398">
        <f t="shared" si="97"/>
        <v>0</v>
      </c>
      <c r="Q264" s="414">
        <f t="shared" si="96"/>
        <v>16022161.07</v>
      </c>
      <c r="R264" s="402">
        <f t="shared" si="96"/>
        <v>9292029.8</v>
      </c>
      <c r="S264" s="415">
        <f t="shared" si="96"/>
        <v>25831195.74</v>
      </c>
      <c r="T264" s="416">
        <f>N264/'2018'!N264-1</f>
        <v>-1</v>
      </c>
      <c r="U264" s="417">
        <f>O264/'2018'!O264-1</f>
        <v>-1</v>
      </c>
      <c r="V264" s="417">
        <f>P264/'2018'!P264-1</f>
        <v>-1</v>
      </c>
      <c r="W264" s="417">
        <f>Q264/'2018'!Q264-1</f>
        <v>-0.053732421477987</v>
      </c>
      <c r="X264" s="417">
        <f>R264/'2018'!R264-1</f>
        <v>-0.0870587674460427</v>
      </c>
      <c r="Y264" s="424">
        <f>S264/'2018'!S264-1</f>
        <v>-0.0672886675257608</v>
      </c>
      <c r="Z264" s="425"/>
      <c r="AA264" s="426">
        <f t="shared" si="99"/>
        <v>1602.216107</v>
      </c>
      <c r="AB264" s="427"/>
      <c r="AC264" s="401"/>
      <c r="AD264" s="427">
        <f t="shared" si="101"/>
        <v>16539165.94</v>
      </c>
      <c r="AE264" s="329">
        <f t="shared" si="102"/>
        <v>151020.45</v>
      </c>
      <c r="AF264" s="329">
        <f t="shared" si="102"/>
        <v>160719.97</v>
      </c>
      <c r="AG264" s="401">
        <f t="shared" si="103"/>
        <v>205264.449999997</v>
      </c>
      <c r="AH264" s="439"/>
      <c r="AI264" s="400"/>
      <c r="AJ264" s="400"/>
      <c r="AK264" s="400"/>
      <c r="AL264" s="400"/>
      <c r="AM264" s="400"/>
      <c r="AN264" s="400"/>
      <c r="AO264" s="400"/>
      <c r="AP264" s="400"/>
      <c r="AQ264" s="400"/>
      <c r="AR264" s="400"/>
      <c r="AS264" s="400"/>
      <c r="AT264" s="400"/>
      <c r="AU264" s="400"/>
      <c r="AV264" s="400"/>
      <c r="AW264" s="400"/>
      <c r="AX264" s="400"/>
      <c r="AY264" s="400"/>
      <c r="AZ264" s="400"/>
      <c r="BA264" s="400"/>
      <c r="BB264" s="400"/>
      <c r="BC264" s="400"/>
    </row>
    <row r="265" s="366" customFormat="1" ht="15" customHeight="1" spans="1:55">
      <c r="A265" s="395">
        <v>42995</v>
      </c>
      <c r="B265" s="443" t="s">
        <v>34</v>
      </c>
      <c r="C265" s="377"/>
      <c r="D265" s="329"/>
      <c r="E265" s="329"/>
      <c r="F265" s="378"/>
      <c r="G265" s="329"/>
      <c r="H265" s="376"/>
      <c r="I265" s="376"/>
      <c r="J265" s="399">
        <f t="shared" si="98"/>
        <v>0</v>
      </c>
      <c r="K265" s="329"/>
      <c r="L265" s="329"/>
      <c r="M265" s="401">
        <f t="shared" si="100"/>
        <v>0</v>
      </c>
      <c r="N265" s="396">
        <f t="shared" si="97"/>
        <v>0</v>
      </c>
      <c r="O265" s="368">
        <f t="shared" si="97"/>
        <v>0</v>
      </c>
      <c r="P265" s="398">
        <f t="shared" si="97"/>
        <v>0</v>
      </c>
      <c r="Q265" s="414">
        <f t="shared" ref="Q265:S277" si="104">Q$248+N265</f>
        <v>16022161.07</v>
      </c>
      <c r="R265" s="402">
        <f t="shared" si="104"/>
        <v>9292029.8</v>
      </c>
      <c r="S265" s="415">
        <f t="shared" si="104"/>
        <v>25831195.74</v>
      </c>
      <c r="T265" s="416">
        <f>N265/'2018'!N265-1</f>
        <v>-1</v>
      </c>
      <c r="U265" s="417">
        <f>O265/'2018'!O265-1</f>
        <v>-1</v>
      </c>
      <c r="V265" s="417">
        <f>P265/'2018'!P265-1</f>
        <v>-1</v>
      </c>
      <c r="W265" s="417">
        <f>Q265/'2018'!Q265-1</f>
        <v>-0.0565906272165897</v>
      </c>
      <c r="X265" s="417">
        <f>R265/'2018'!R265-1</f>
        <v>-0.0919866732370712</v>
      </c>
      <c r="Y265" s="424">
        <f>S265/'2018'!S265-1</f>
        <v>-0.0711308581714863</v>
      </c>
      <c r="Z265" s="425"/>
      <c r="AA265" s="426">
        <f t="shared" si="99"/>
        <v>1602.216107</v>
      </c>
      <c r="AB265" s="427"/>
      <c r="AC265" s="401"/>
      <c r="AD265" s="427">
        <f t="shared" si="101"/>
        <v>16539165.94</v>
      </c>
      <c r="AE265" s="329">
        <f t="shared" si="102"/>
        <v>151020.45</v>
      </c>
      <c r="AF265" s="329">
        <f t="shared" si="102"/>
        <v>160719.97</v>
      </c>
      <c r="AG265" s="401">
        <f t="shared" si="103"/>
        <v>205264.449999997</v>
      </c>
      <c r="AH265" s="439"/>
      <c r="AI265" s="400"/>
      <c r="AJ265" s="400"/>
      <c r="AK265" s="400"/>
      <c r="AL265" s="400"/>
      <c r="AM265" s="400"/>
      <c r="AN265" s="400"/>
      <c r="AO265" s="400"/>
      <c r="AP265" s="400"/>
      <c r="AQ265" s="400"/>
      <c r="AR265" s="400"/>
      <c r="AS265" s="400"/>
      <c r="AT265" s="400"/>
      <c r="AU265" s="400"/>
      <c r="AV265" s="400"/>
      <c r="AW265" s="400"/>
      <c r="AX265" s="400"/>
      <c r="AY265" s="400"/>
      <c r="AZ265" s="400"/>
      <c r="BA265" s="400"/>
      <c r="BB265" s="400"/>
      <c r="BC265" s="400"/>
    </row>
    <row r="266" s="366" customFormat="1" ht="15" customHeight="1" spans="1:55">
      <c r="A266" s="395">
        <v>42996</v>
      </c>
      <c r="B266" s="443" t="s">
        <v>35</v>
      </c>
      <c r="C266" s="377"/>
      <c r="D266" s="329"/>
      <c r="E266" s="329"/>
      <c r="F266" s="378"/>
      <c r="G266" s="329"/>
      <c r="H266" s="376"/>
      <c r="I266" s="376"/>
      <c r="J266" s="399">
        <f t="shared" si="98"/>
        <v>0</v>
      </c>
      <c r="K266" s="329"/>
      <c r="L266" s="329"/>
      <c r="M266" s="401">
        <f t="shared" si="100"/>
        <v>0</v>
      </c>
      <c r="N266" s="396">
        <f t="shared" ref="N266:P277" si="105">C266+N265</f>
        <v>0</v>
      </c>
      <c r="O266" s="368">
        <f t="shared" si="105"/>
        <v>0</v>
      </c>
      <c r="P266" s="398">
        <f t="shared" si="105"/>
        <v>0</v>
      </c>
      <c r="Q266" s="414">
        <f t="shared" si="104"/>
        <v>16022161.07</v>
      </c>
      <c r="R266" s="402">
        <f t="shared" si="104"/>
        <v>9292029.8</v>
      </c>
      <c r="S266" s="415">
        <f t="shared" si="104"/>
        <v>25831195.74</v>
      </c>
      <c r="T266" s="416">
        <f>N266/'2018'!N266-1</f>
        <v>-1</v>
      </c>
      <c r="U266" s="417">
        <f>O266/'2018'!O266-1</f>
        <v>-1</v>
      </c>
      <c r="V266" s="417">
        <f>P266/'2018'!P266-1</f>
        <v>-1</v>
      </c>
      <c r="W266" s="417">
        <f>Q266/'2018'!Q266-1</f>
        <v>-0.0595960210093998</v>
      </c>
      <c r="X266" s="417">
        <f>R266/'2018'!R266-1</f>
        <v>-0.0970522835758263</v>
      </c>
      <c r="Y266" s="424">
        <f>S266/'2018'!S266-1</f>
        <v>-0.0751066368974735</v>
      </c>
      <c r="Z266" s="425"/>
      <c r="AA266" s="426">
        <f t="shared" si="99"/>
        <v>1602.216107</v>
      </c>
      <c r="AB266" s="427"/>
      <c r="AC266" s="401"/>
      <c r="AD266" s="427">
        <f t="shared" si="101"/>
        <v>16539165.94</v>
      </c>
      <c r="AE266" s="329">
        <f t="shared" si="102"/>
        <v>151020.45</v>
      </c>
      <c r="AF266" s="329">
        <f t="shared" si="102"/>
        <v>160719.97</v>
      </c>
      <c r="AG266" s="401">
        <f t="shared" si="103"/>
        <v>205264.449999997</v>
      </c>
      <c r="AH266" s="439"/>
      <c r="AI266" s="400"/>
      <c r="AJ266" s="400"/>
      <c r="AK266" s="400"/>
      <c r="AL266" s="400"/>
      <c r="AM266" s="400"/>
      <c r="AN266" s="400"/>
      <c r="AO266" s="400"/>
      <c r="AP266" s="400"/>
      <c r="AQ266" s="400"/>
      <c r="AR266" s="400"/>
      <c r="AS266" s="400"/>
      <c r="AT266" s="400"/>
      <c r="AU266" s="400"/>
      <c r="AV266" s="400"/>
      <c r="AW266" s="400"/>
      <c r="AX266" s="400"/>
      <c r="AY266" s="400"/>
      <c r="AZ266" s="400"/>
      <c r="BA266" s="400"/>
      <c r="BB266" s="400"/>
      <c r="BC266" s="400"/>
    </row>
    <row r="267" s="366" customFormat="1" ht="15" customHeight="1" spans="1:55">
      <c r="A267" s="395">
        <v>42997</v>
      </c>
      <c r="B267" s="191" t="s">
        <v>36</v>
      </c>
      <c r="C267" s="377"/>
      <c r="D267" s="329"/>
      <c r="E267" s="329"/>
      <c r="F267" s="378"/>
      <c r="G267" s="329"/>
      <c r="H267" s="376"/>
      <c r="I267" s="376"/>
      <c r="J267" s="399">
        <f t="shared" si="98"/>
        <v>0</v>
      </c>
      <c r="K267" s="329"/>
      <c r="L267" s="329"/>
      <c r="M267" s="401">
        <f t="shared" si="100"/>
        <v>0</v>
      </c>
      <c r="N267" s="396">
        <f t="shared" si="105"/>
        <v>0</v>
      </c>
      <c r="O267" s="368">
        <f t="shared" si="105"/>
        <v>0</v>
      </c>
      <c r="P267" s="398">
        <f t="shared" si="105"/>
        <v>0</v>
      </c>
      <c r="Q267" s="414">
        <f t="shared" si="104"/>
        <v>16022161.07</v>
      </c>
      <c r="R267" s="402">
        <f t="shared" si="104"/>
        <v>9292029.8</v>
      </c>
      <c r="S267" s="415">
        <f t="shared" si="104"/>
        <v>25831195.74</v>
      </c>
      <c r="T267" s="416">
        <f>N267/'2018'!N267-1</f>
        <v>-1</v>
      </c>
      <c r="U267" s="417">
        <f>O267/'2018'!O267-1</f>
        <v>-1</v>
      </c>
      <c r="V267" s="417">
        <f>P267/'2018'!P267-1</f>
        <v>-1</v>
      </c>
      <c r="W267" s="417">
        <f>Q267/'2018'!Q267-1</f>
        <v>-0.0630526700149525</v>
      </c>
      <c r="X267" s="417">
        <f>R267/'2018'!R267-1</f>
        <v>-0.101919965629509</v>
      </c>
      <c r="Y267" s="424">
        <f>S267/'2018'!S267-1</f>
        <v>-0.0792425365192131</v>
      </c>
      <c r="Z267" s="425"/>
      <c r="AA267" s="426">
        <f t="shared" si="99"/>
        <v>1602.216107</v>
      </c>
      <c r="AB267" s="427"/>
      <c r="AC267" s="401"/>
      <c r="AD267" s="427">
        <f t="shared" si="101"/>
        <v>16539165.94</v>
      </c>
      <c r="AE267" s="329">
        <f t="shared" si="102"/>
        <v>151020.45</v>
      </c>
      <c r="AF267" s="329">
        <f t="shared" si="102"/>
        <v>160719.97</v>
      </c>
      <c r="AG267" s="401">
        <f t="shared" si="103"/>
        <v>205264.449999997</v>
      </c>
      <c r="AH267" s="439"/>
      <c r="AI267" s="400"/>
      <c r="AJ267" s="400"/>
      <c r="AK267" s="400"/>
      <c r="AL267" s="400"/>
      <c r="AM267" s="400"/>
      <c r="AN267" s="400"/>
      <c r="AO267" s="400"/>
      <c r="AP267" s="400"/>
      <c r="AQ267" s="400"/>
      <c r="AR267" s="400"/>
      <c r="AS267" s="400"/>
      <c r="AT267" s="400"/>
      <c r="AU267" s="400"/>
      <c r="AV267" s="400"/>
      <c r="AW267" s="400"/>
      <c r="AX267" s="400"/>
      <c r="AY267" s="400"/>
      <c r="AZ267" s="400"/>
      <c r="BA267" s="400"/>
      <c r="BB267" s="400"/>
      <c r="BC267" s="400"/>
    </row>
    <row r="268" s="366" customFormat="1" ht="15" customHeight="1" spans="1:55">
      <c r="A268" s="395">
        <v>42998</v>
      </c>
      <c r="B268" s="443" t="s">
        <v>37</v>
      </c>
      <c r="C268" s="377"/>
      <c r="D268" s="329"/>
      <c r="E268" s="329"/>
      <c r="F268" s="378"/>
      <c r="G268" s="329"/>
      <c r="H268" s="376"/>
      <c r="I268" s="376"/>
      <c r="J268" s="399">
        <f t="shared" si="98"/>
        <v>0</v>
      </c>
      <c r="K268" s="329"/>
      <c r="L268" s="329"/>
      <c r="M268" s="401">
        <f t="shared" si="100"/>
        <v>0</v>
      </c>
      <c r="N268" s="396">
        <f t="shared" si="105"/>
        <v>0</v>
      </c>
      <c r="O268" s="368">
        <f t="shared" si="105"/>
        <v>0</v>
      </c>
      <c r="P268" s="398">
        <f t="shared" si="105"/>
        <v>0</v>
      </c>
      <c r="Q268" s="414">
        <f t="shared" si="104"/>
        <v>16022161.07</v>
      </c>
      <c r="R268" s="402">
        <f t="shared" si="104"/>
        <v>9292029.8</v>
      </c>
      <c r="S268" s="415">
        <f t="shared" si="104"/>
        <v>25831195.74</v>
      </c>
      <c r="T268" s="416">
        <f>N268/'2018'!N268-1</f>
        <v>-1</v>
      </c>
      <c r="U268" s="417">
        <f>O268/'2018'!O268-1</f>
        <v>-1</v>
      </c>
      <c r="V268" s="417">
        <f>P268/'2018'!P268-1</f>
        <v>-1</v>
      </c>
      <c r="W268" s="417">
        <f>Q268/'2018'!Q268-1</f>
        <v>-0.0664575119407096</v>
      </c>
      <c r="X268" s="417">
        <f>R268/'2018'!R268-1</f>
        <v>-0.106877455983002</v>
      </c>
      <c r="Y268" s="424">
        <f>S268/'2018'!S268-1</f>
        <v>-0.0833805793937155</v>
      </c>
      <c r="Z268" s="425"/>
      <c r="AA268" s="426">
        <f t="shared" si="99"/>
        <v>1602.216107</v>
      </c>
      <c r="AB268" s="427"/>
      <c r="AC268" s="401"/>
      <c r="AD268" s="427">
        <f t="shared" si="101"/>
        <v>16539165.94</v>
      </c>
      <c r="AE268" s="329">
        <f t="shared" si="102"/>
        <v>151020.45</v>
      </c>
      <c r="AF268" s="329">
        <f t="shared" si="102"/>
        <v>160719.97</v>
      </c>
      <c r="AG268" s="401">
        <f t="shared" si="103"/>
        <v>205264.449999997</v>
      </c>
      <c r="AH268" s="439"/>
      <c r="AI268" s="400"/>
      <c r="AJ268" s="400"/>
      <c r="AK268" s="400"/>
      <c r="AL268" s="400"/>
      <c r="AM268" s="400"/>
      <c r="AN268" s="400"/>
      <c r="AO268" s="400"/>
      <c r="AP268" s="400"/>
      <c r="AQ268" s="400"/>
      <c r="AR268" s="400"/>
      <c r="AS268" s="400"/>
      <c r="AT268" s="400"/>
      <c r="AU268" s="400"/>
      <c r="AV268" s="400"/>
      <c r="AW268" s="400"/>
      <c r="AX268" s="400"/>
      <c r="AY268" s="400"/>
      <c r="AZ268" s="400"/>
      <c r="BA268" s="400"/>
      <c r="BB268" s="400"/>
      <c r="BC268" s="400"/>
    </row>
    <row r="269" s="366" customFormat="1" ht="15" customHeight="1" spans="1:55">
      <c r="A269" s="395">
        <v>42999</v>
      </c>
      <c r="B269" s="443" t="s">
        <v>38</v>
      </c>
      <c r="C269" s="377"/>
      <c r="D269" s="329"/>
      <c r="E269" s="329"/>
      <c r="F269" s="378"/>
      <c r="G269" s="329"/>
      <c r="H269" s="376"/>
      <c r="I269" s="376"/>
      <c r="J269" s="399">
        <f t="shared" si="98"/>
        <v>0</v>
      </c>
      <c r="K269" s="329"/>
      <c r="L269" s="329"/>
      <c r="M269" s="401">
        <f t="shared" si="100"/>
        <v>0</v>
      </c>
      <c r="N269" s="396">
        <f t="shared" si="105"/>
        <v>0</v>
      </c>
      <c r="O269" s="368">
        <f t="shared" si="105"/>
        <v>0</v>
      </c>
      <c r="P269" s="398">
        <f t="shared" si="105"/>
        <v>0</v>
      </c>
      <c r="Q269" s="414">
        <f t="shared" si="104"/>
        <v>16022161.07</v>
      </c>
      <c r="R269" s="402">
        <f t="shared" si="104"/>
        <v>9292029.8</v>
      </c>
      <c r="S269" s="415">
        <f t="shared" si="104"/>
        <v>25831195.74</v>
      </c>
      <c r="T269" s="416">
        <f>N269/'2018'!N269-1</f>
        <v>-1</v>
      </c>
      <c r="U269" s="417">
        <f>O269/'2018'!O269-1</f>
        <v>-1</v>
      </c>
      <c r="V269" s="417">
        <f>P269/'2018'!P269-1</f>
        <v>-1</v>
      </c>
      <c r="W269" s="417">
        <f>Q269/'2018'!Q269-1</f>
        <v>-0.0693952242102069</v>
      </c>
      <c r="X269" s="417">
        <f>R269/'2018'!R269-1</f>
        <v>-0.111747655927553</v>
      </c>
      <c r="Y269" s="424">
        <f>S269/'2018'!S269-1</f>
        <v>-0.0872360526791075</v>
      </c>
      <c r="Z269" s="425"/>
      <c r="AA269" s="426">
        <f t="shared" si="99"/>
        <v>1602.216107</v>
      </c>
      <c r="AB269" s="427"/>
      <c r="AC269" s="401"/>
      <c r="AD269" s="427">
        <f t="shared" si="101"/>
        <v>16539165.94</v>
      </c>
      <c r="AE269" s="329">
        <f t="shared" si="102"/>
        <v>151020.45</v>
      </c>
      <c r="AF269" s="329">
        <f t="shared" si="102"/>
        <v>160719.97</v>
      </c>
      <c r="AG269" s="401">
        <f t="shared" si="103"/>
        <v>205264.449999997</v>
      </c>
      <c r="AH269" s="439"/>
      <c r="AI269" s="400"/>
      <c r="AJ269" s="400"/>
      <c r="AK269" s="400"/>
      <c r="AL269" s="400"/>
      <c r="AM269" s="400"/>
      <c r="AN269" s="400"/>
      <c r="AO269" s="400"/>
      <c r="AP269" s="400"/>
      <c r="AQ269" s="400"/>
      <c r="AR269" s="400"/>
      <c r="AS269" s="400"/>
      <c r="AT269" s="400"/>
      <c r="AU269" s="400"/>
      <c r="AV269" s="400"/>
      <c r="AW269" s="400"/>
      <c r="AX269" s="400"/>
      <c r="AY269" s="400"/>
      <c r="AZ269" s="400"/>
      <c r="BA269" s="400"/>
      <c r="BB269" s="400"/>
      <c r="BC269" s="400"/>
    </row>
    <row r="270" s="366" customFormat="1" ht="15" customHeight="1" spans="1:55">
      <c r="A270" s="395">
        <v>43000</v>
      </c>
      <c r="B270" s="443" t="s">
        <v>1</v>
      </c>
      <c r="C270" s="377"/>
      <c r="D270" s="329"/>
      <c r="E270" s="329"/>
      <c r="F270" s="378"/>
      <c r="G270" s="329"/>
      <c r="H270" s="376"/>
      <c r="I270" s="376"/>
      <c r="J270" s="399">
        <f t="shared" si="98"/>
        <v>0</v>
      </c>
      <c r="K270" s="329"/>
      <c r="L270" s="329"/>
      <c r="M270" s="401">
        <f t="shared" si="100"/>
        <v>0</v>
      </c>
      <c r="N270" s="396">
        <f t="shared" si="105"/>
        <v>0</v>
      </c>
      <c r="O270" s="368">
        <f t="shared" si="105"/>
        <v>0</v>
      </c>
      <c r="P270" s="398">
        <f t="shared" si="105"/>
        <v>0</v>
      </c>
      <c r="Q270" s="414">
        <f t="shared" si="104"/>
        <v>16022161.07</v>
      </c>
      <c r="R270" s="402">
        <f t="shared" si="104"/>
        <v>9292029.8</v>
      </c>
      <c r="S270" s="415">
        <f t="shared" si="104"/>
        <v>25831195.74</v>
      </c>
      <c r="T270" s="416">
        <f>N270/'2018'!N270-1</f>
        <v>-1</v>
      </c>
      <c r="U270" s="417">
        <f>O270/'2018'!O270-1</f>
        <v>-1</v>
      </c>
      <c r="V270" s="417">
        <f>P270/'2018'!P270-1</f>
        <v>-1</v>
      </c>
      <c r="W270" s="417">
        <f>Q270/'2018'!Q270-1</f>
        <v>-0.0722745948662813</v>
      </c>
      <c r="X270" s="417">
        <f>R270/'2018'!R270-1</f>
        <v>-0.115980898246531</v>
      </c>
      <c r="Y270" s="424">
        <f>S270/'2018'!S270-1</f>
        <v>-0.0908091759332452</v>
      </c>
      <c r="Z270" s="425"/>
      <c r="AA270" s="426">
        <f t="shared" si="99"/>
        <v>1602.216107</v>
      </c>
      <c r="AB270" s="427"/>
      <c r="AC270" s="401"/>
      <c r="AD270" s="427">
        <f t="shared" si="101"/>
        <v>16539165.94</v>
      </c>
      <c r="AE270" s="329">
        <f t="shared" si="102"/>
        <v>151020.45</v>
      </c>
      <c r="AF270" s="329">
        <f t="shared" si="102"/>
        <v>160719.97</v>
      </c>
      <c r="AG270" s="401">
        <f t="shared" si="103"/>
        <v>205264.449999997</v>
      </c>
      <c r="AH270" s="439"/>
      <c r="AI270" s="400"/>
      <c r="AJ270" s="400"/>
      <c r="AK270" s="400"/>
      <c r="AL270" s="400"/>
      <c r="AM270" s="400"/>
      <c r="AN270" s="400"/>
      <c r="AO270" s="400"/>
      <c r="AP270" s="400"/>
      <c r="AQ270" s="400"/>
      <c r="AR270" s="400"/>
      <c r="AS270" s="400"/>
      <c r="AT270" s="400"/>
      <c r="AU270" s="400"/>
      <c r="AV270" s="400"/>
      <c r="AW270" s="400"/>
      <c r="AX270" s="400"/>
      <c r="AY270" s="400"/>
      <c r="AZ270" s="400"/>
      <c r="BA270" s="400"/>
      <c r="BB270" s="400"/>
      <c r="BC270" s="400"/>
    </row>
    <row r="271" s="366" customFormat="1" ht="15" customHeight="1" spans="1:55">
      <c r="A271" s="395">
        <v>43001</v>
      </c>
      <c r="B271" s="443" t="s">
        <v>39</v>
      </c>
      <c r="C271" s="377"/>
      <c r="D271" s="329"/>
      <c r="E271" s="329"/>
      <c r="F271" s="378"/>
      <c r="G271" s="329"/>
      <c r="H271" s="376"/>
      <c r="I271" s="376"/>
      <c r="J271" s="399">
        <f t="shared" si="98"/>
        <v>0</v>
      </c>
      <c r="K271" s="329"/>
      <c r="L271" s="329"/>
      <c r="M271" s="401">
        <f t="shared" si="100"/>
        <v>0</v>
      </c>
      <c r="N271" s="396">
        <f t="shared" si="105"/>
        <v>0</v>
      </c>
      <c r="O271" s="368">
        <f t="shared" si="105"/>
        <v>0</v>
      </c>
      <c r="P271" s="398">
        <f t="shared" si="105"/>
        <v>0</v>
      </c>
      <c r="Q271" s="414">
        <f t="shared" si="104"/>
        <v>16022161.07</v>
      </c>
      <c r="R271" s="402">
        <f t="shared" si="104"/>
        <v>9292029.8</v>
      </c>
      <c r="S271" s="415">
        <f t="shared" si="104"/>
        <v>25831195.74</v>
      </c>
      <c r="T271" s="416">
        <f>N271/'2018'!N271-1</f>
        <v>-1</v>
      </c>
      <c r="U271" s="417">
        <f>O271/'2018'!O271-1</f>
        <v>-1</v>
      </c>
      <c r="V271" s="417">
        <f>P271/'2018'!P271-1</f>
        <v>-1</v>
      </c>
      <c r="W271" s="417">
        <f>Q271/'2018'!Q271-1</f>
        <v>-0.0747124369347457</v>
      </c>
      <c r="X271" s="417">
        <f>R271/'2018'!R271-1</f>
        <v>-0.119992918295468</v>
      </c>
      <c r="Y271" s="424">
        <f>S271/'2018'!S271-1</f>
        <v>-0.0940165924579484</v>
      </c>
      <c r="Z271" s="425"/>
      <c r="AA271" s="426">
        <f t="shared" si="99"/>
        <v>1602.216107</v>
      </c>
      <c r="AB271" s="427"/>
      <c r="AC271" s="401"/>
      <c r="AD271" s="427">
        <f t="shared" si="101"/>
        <v>16539165.94</v>
      </c>
      <c r="AE271" s="329">
        <f t="shared" si="102"/>
        <v>151020.45</v>
      </c>
      <c r="AF271" s="329">
        <f t="shared" si="102"/>
        <v>160719.97</v>
      </c>
      <c r="AG271" s="401">
        <f t="shared" si="103"/>
        <v>205264.449999997</v>
      </c>
      <c r="AH271" s="439"/>
      <c r="AI271" s="400"/>
      <c r="AJ271" s="400"/>
      <c r="AK271" s="400"/>
      <c r="AL271" s="400"/>
      <c r="AM271" s="400"/>
      <c r="AN271" s="400"/>
      <c r="AO271" s="400"/>
      <c r="AP271" s="400"/>
      <c r="AQ271" s="400"/>
      <c r="AR271" s="400"/>
      <c r="AS271" s="400"/>
      <c r="AT271" s="400"/>
      <c r="AU271" s="400"/>
      <c r="AV271" s="400"/>
      <c r="AW271" s="400"/>
      <c r="AX271" s="400"/>
      <c r="AY271" s="400"/>
      <c r="AZ271" s="400"/>
      <c r="BA271" s="400"/>
      <c r="BB271" s="400"/>
      <c r="BC271" s="400"/>
    </row>
    <row r="272" s="366" customFormat="1" ht="15" customHeight="1" spans="1:55">
      <c r="A272" s="395">
        <v>43002</v>
      </c>
      <c r="B272" s="443" t="s">
        <v>34</v>
      </c>
      <c r="C272" s="377"/>
      <c r="D272" s="329"/>
      <c r="E272" s="329"/>
      <c r="F272" s="378"/>
      <c r="G272" s="329"/>
      <c r="H272" s="376"/>
      <c r="I272" s="376"/>
      <c r="J272" s="399">
        <f t="shared" si="98"/>
        <v>0</v>
      </c>
      <c r="K272" s="329"/>
      <c r="L272" s="329"/>
      <c r="M272" s="401">
        <f t="shared" si="100"/>
        <v>0</v>
      </c>
      <c r="N272" s="396">
        <f t="shared" si="105"/>
        <v>0</v>
      </c>
      <c r="O272" s="368">
        <f t="shared" si="105"/>
        <v>0</v>
      </c>
      <c r="P272" s="398">
        <f t="shared" si="105"/>
        <v>0</v>
      </c>
      <c r="Q272" s="414">
        <f t="shared" si="104"/>
        <v>16022161.07</v>
      </c>
      <c r="R272" s="402">
        <f t="shared" si="104"/>
        <v>9292029.8</v>
      </c>
      <c r="S272" s="415">
        <f t="shared" si="104"/>
        <v>25831195.74</v>
      </c>
      <c r="T272" s="416">
        <f>N272/'2018'!N272-1</f>
        <v>-1</v>
      </c>
      <c r="U272" s="417">
        <f>O272/'2018'!O272-1</f>
        <v>-1</v>
      </c>
      <c r="V272" s="417">
        <f>P272/'2018'!P272-1</f>
        <v>-1</v>
      </c>
      <c r="W272" s="417">
        <f>Q272/'2018'!Q272-1</f>
        <v>-0.076030474579927</v>
      </c>
      <c r="X272" s="417">
        <f>R272/'2018'!R272-1</f>
        <v>-0.123553887416538</v>
      </c>
      <c r="Y272" s="424">
        <f>S272/'2018'!S272-1</f>
        <v>-0.0964110965327889</v>
      </c>
      <c r="Z272" s="425"/>
      <c r="AA272" s="426">
        <f t="shared" si="99"/>
        <v>1602.216107</v>
      </c>
      <c r="AB272" s="427"/>
      <c r="AC272" s="401"/>
      <c r="AD272" s="427">
        <f t="shared" si="101"/>
        <v>16539165.94</v>
      </c>
      <c r="AE272" s="329">
        <f t="shared" si="102"/>
        <v>151020.45</v>
      </c>
      <c r="AF272" s="329">
        <f t="shared" si="102"/>
        <v>160719.97</v>
      </c>
      <c r="AG272" s="401">
        <f t="shared" si="103"/>
        <v>205264.449999997</v>
      </c>
      <c r="AH272" s="439"/>
      <c r="AI272" s="400"/>
      <c r="AJ272" s="400"/>
      <c r="AK272" s="400"/>
      <c r="AL272" s="400"/>
      <c r="AM272" s="400"/>
      <c r="AN272" s="400"/>
      <c r="AO272" s="400"/>
      <c r="AP272" s="400"/>
      <c r="AQ272" s="400"/>
      <c r="AR272" s="400"/>
      <c r="AS272" s="400"/>
      <c r="AT272" s="400"/>
      <c r="AU272" s="400"/>
      <c r="AV272" s="400"/>
      <c r="AW272" s="400"/>
      <c r="AX272" s="400"/>
      <c r="AY272" s="400"/>
      <c r="AZ272" s="400"/>
      <c r="BA272" s="400"/>
      <c r="BB272" s="400"/>
      <c r="BC272" s="400"/>
    </row>
    <row r="273" s="366" customFormat="1" ht="15" customHeight="1" spans="1:55">
      <c r="A273" s="395">
        <v>43003</v>
      </c>
      <c r="B273" s="443" t="s">
        <v>35</v>
      </c>
      <c r="C273" s="377"/>
      <c r="D273" s="329"/>
      <c r="E273" s="329"/>
      <c r="F273" s="378"/>
      <c r="G273" s="329"/>
      <c r="H273" s="376"/>
      <c r="I273" s="376"/>
      <c r="J273" s="399">
        <f t="shared" si="98"/>
        <v>0</v>
      </c>
      <c r="K273" s="329"/>
      <c r="L273" s="329"/>
      <c r="M273" s="401">
        <f t="shared" si="100"/>
        <v>0</v>
      </c>
      <c r="N273" s="396">
        <f t="shared" si="105"/>
        <v>0</v>
      </c>
      <c r="O273" s="368">
        <f t="shared" si="105"/>
        <v>0</v>
      </c>
      <c r="P273" s="398">
        <f t="shared" si="105"/>
        <v>0</v>
      </c>
      <c r="Q273" s="414">
        <f t="shared" si="104"/>
        <v>16022161.07</v>
      </c>
      <c r="R273" s="402">
        <f t="shared" si="104"/>
        <v>9292029.8</v>
      </c>
      <c r="S273" s="415">
        <f t="shared" si="104"/>
        <v>25831195.74</v>
      </c>
      <c r="T273" s="416">
        <f>N273/'2018'!N273-1</f>
        <v>-1</v>
      </c>
      <c r="U273" s="417">
        <f>O273/'2018'!O273-1</f>
        <v>-1</v>
      </c>
      <c r="V273" s="417">
        <f>P273/'2018'!P273-1</f>
        <v>-1</v>
      </c>
      <c r="W273" s="417">
        <f>Q273/'2018'!Q273-1</f>
        <v>-0.0778148491931601</v>
      </c>
      <c r="X273" s="417">
        <f>R273/'2018'!R273-1</f>
        <v>-0.127757654981535</v>
      </c>
      <c r="Y273" s="424">
        <f>S273/'2018'!S273-1</f>
        <v>-0.0993305900912735</v>
      </c>
      <c r="Z273" s="425"/>
      <c r="AA273" s="426">
        <f t="shared" si="99"/>
        <v>1602.216107</v>
      </c>
      <c r="AB273" s="427"/>
      <c r="AC273" s="401"/>
      <c r="AD273" s="427">
        <f t="shared" si="101"/>
        <v>16539165.94</v>
      </c>
      <c r="AE273" s="329">
        <f t="shared" si="102"/>
        <v>151020.45</v>
      </c>
      <c r="AF273" s="329">
        <f t="shared" si="102"/>
        <v>160719.97</v>
      </c>
      <c r="AG273" s="401">
        <f t="shared" si="103"/>
        <v>205264.449999997</v>
      </c>
      <c r="AH273" s="439"/>
      <c r="AI273" s="400"/>
      <c r="AJ273" s="400"/>
      <c r="AK273" s="400"/>
      <c r="AL273" s="400"/>
      <c r="AM273" s="400"/>
      <c r="AN273" s="400"/>
      <c r="AO273" s="400"/>
      <c r="AP273" s="400"/>
      <c r="AQ273" s="400"/>
      <c r="AR273" s="400"/>
      <c r="AS273" s="400"/>
      <c r="AT273" s="400"/>
      <c r="AU273" s="400"/>
      <c r="AV273" s="400"/>
      <c r="AW273" s="400"/>
      <c r="AX273" s="400"/>
      <c r="AY273" s="400"/>
      <c r="AZ273" s="400"/>
      <c r="BA273" s="400"/>
      <c r="BB273" s="400"/>
      <c r="BC273" s="400"/>
    </row>
    <row r="274" s="366" customFormat="1" ht="15" customHeight="1" spans="1:55">
      <c r="A274" s="395">
        <v>43004</v>
      </c>
      <c r="B274" s="191" t="s">
        <v>36</v>
      </c>
      <c r="C274" s="377"/>
      <c r="D274" s="329"/>
      <c r="E274" s="329"/>
      <c r="F274" s="378"/>
      <c r="G274" s="329"/>
      <c r="H274" s="376"/>
      <c r="I274" s="376"/>
      <c r="J274" s="399">
        <f t="shared" si="98"/>
        <v>0</v>
      </c>
      <c r="K274" s="329"/>
      <c r="L274" s="329"/>
      <c r="M274" s="401">
        <f t="shared" si="100"/>
        <v>0</v>
      </c>
      <c r="N274" s="396">
        <f t="shared" si="105"/>
        <v>0</v>
      </c>
      <c r="O274" s="368">
        <f t="shared" si="105"/>
        <v>0</v>
      </c>
      <c r="P274" s="398">
        <f t="shared" si="105"/>
        <v>0</v>
      </c>
      <c r="Q274" s="414">
        <f t="shared" si="104"/>
        <v>16022161.07</v>
      </c>
      <c r="R274" s="402">
        <f t="shared" si="104"/>
        <v>9292029.8</v>
      </c>
      <c r="S274" s="415">
        <f t="shared" si="104"/>
        <v>25831195.74</v>
      </c>
      <c r="T274" s="416">
        <f>N274/'2018'!N274-1</f>
        <v>-1</v>
      </c>
      <c r="U274" s="417">
        <f>O274/'2018'!O274-1</f>
        <v>-1</v>
      </c>
      <c r="V274" s="417">
        <f>P274/'2018'!P274-1</f>
        <v>-1</v>
      </c>
      <c r="W274" s="417">
        <f>Q274/'2018'!Q274-1</f>
        <v>-0.0798827941653948</v>
      </c>
      <c r="X274" s="417">
        <f>R274/'2018'!R274-1</f>
        <v>-0.132041702441498</v>
      </c>
      <c r="Y274" s="424">
        <f>S274/'2018'!S274-1</f>
        <v>-0.102457686700971</v>
      </c>
      <c r="Z274" s="425"/>
      <c r="AA274" s="426">
        <f t="shared" si="99"/>
        <v>1602.216107</v>
      </c>
      <c r="AB274" s="427"/>
      <c r="AC274" s="401"/>
      <c r="AD274" s="427">
        <f t="shared" si="101"/>
        <v>16539165.94</v>
      </c>
      <c r="AE274" s="329">
        <f t="shared" si="102"/>
        <v>151020.45</v>
      </c>
      <c r="AF274" s="329">
        <f t="shared" si="102"/>
        <v>160719.97</v>
      </c>
      <c r="AG274" s="401">
        <f t="shared" si="103"/>
        <v>205264.449999997</v>
      </c>
      <c r="AH274" s="439"/>
      <c r="AI274" s="400"/>
      <c r="AJ274" s="400"/>
      <c r="AK274" s="400"/>
      <c r="AL274" s="400"/>
      <c r="AM274" s="400"/>
      <c r="AN274" s="400"/>
      <c r="AO274" s="400"/>
      <c r="AP274" s="400"/>
      <c r="AQ274" s="400"/>
      <c r="AR274" s="400"/>
      <c r="AS274" s="400"/>
      <c r="AT274" s="400"/>
      <c r="AU274" s="400"/>
      <c r="AV274" s="400"/>
      <c r="AW274" s="400"/>
      <c r="AX274" s="400"/>
      <c r="AY274" s="400"/>
      <c r="AZ274" s="400"/>
      <c r="BA274" s="400"/>
      <c r="BB274" s="400"/>
      <c r="BC274" s="400"/>
    </row>
    <row r="275" s="366" customFormat="1" ht="15" customHeight="1" spans="1:55">
      <c r="A275" s="395">
        <v>43005</v>
      </c>
      <c r="B275" s="443" t="s">
        <v>37</v>
      </c>
      <c r="C275" s="377"/>
      <c r="D275" s="329"/>
      <c r="E275" s="329"/>
      <c r="F275" s="378"/>
      <c r="G275" s="329"/>
      <c r="H275" s="376"/>
      <c r="I275" s="376"/>
      <c r="J275" s="329">
        <f t="shared" si="98"/>
        <v>0</v>
      </c>
      <c r="K275" s="329"/>
      <c r="L275" s="329"/>
      <c r="M275" s="401">
        <f t="shared" si="100"/>
        <v>0</v>
      </c>
      <c r="N275" s="396">
        <f t="shared" si="105"/>
        <v>0</v>
      </c>
      <c r="O275" s="368">
        <f t="shared" si="105"/>
        <v>0</v>
      </c>
      <c r="P275" s="398">
        <f t="shared" si="105"/>
        <v>0</v>
      </c>
      <c r="Q275" s="414">
        <f t="shared" si="104"/>
        <v>16022161.07</v>
      </c>
      <c r="R275" s="402">
        <f t="shared" si="104"/>
        <v>9292029.8</v>
      </c>
      <c r="S275" s="415">
        <f t="shared" si="104"/>
        <v>25831195.74</v>
      </c>
      <c r="T275" s="416">
        <f>N275/'2018'!N275-1</f>
        <v>-1</v>
      </c>
      <c r="U275" s="417">
        <f>O275/'2018'!O275-1</f>
        <v>-1</v>
      </c>
      <c r="V275" s="417">
        <f>P275/'2018'!P275-1</f>
        <v>-1</v>
      </c>
      <c r="W275" s="417">
        <f>Q275/'2018'!Q275-1</f>
        <v>-0.0819303331974298</v>
      </c>
      <c r="X275" s="417">
        <f>R275/'2018'!R275-1</f>
        <v>-0.136462629573636</v>
      </c>
      <c r="Y275" s="424">
        <f>S275/'2018'!S275-1</f>
        <v>-0.105622511490361</v>
      </c>
      <c r="Z275" s="425"/>
      <c r="AA275" s="426">
        <f t="shared" si="99"/>
        <v>1602.216107</v>
      </c>
      <c r="AB275" s="427"/>
      <c r="AC275" s="401"/>
      <c r="AD275" s="427">
        <f t="shared" si="101"/>
        <v>16539165.94</v>
      </c>
      <c r="AE275" s="329">
        <f t="shared" si="102"/>
        <v>151020.45</v>
      </c>
      <c r="AF275" s="329">
        <f t="shared" si="102"/>
        <v>160719.97</v>
      </c>
      <c r="AG275" s="401">
        <f t="shared" si="103"/>
        <v>205264.449999997</v>
      </c>
      <c r="AH275" s="439"/>
      <c r="AI275" s="400"/>
      <c r="AJ275" s="400"/>
      <c r="AK275" s="400"/>
      <c r="AL275" s="400"/>
      <c r="AM275" s="400"/>
      <c r="AN275" s="400"/>
      <c r="AO275" s="400"/>
      <c r="AP275" s="400"/>
      <c r="AQ275" s="400"/>
      <c r="AR275" s="400"/>
      <c r="AS275" s="400"/>
      <c r="AT275" s="400"/>
      <c r="AU275" s="400"/>
      <c r="AV275" s="400"/>
      <c r="AW275" s="400"/>
      <c r="AX275" s="400"/>
      <c r="AY275" s="400"/>
      <c r="AZ275" s="400"/>
      <c r="BA275" s="400"/>
      <c r="BB275" s="400"/>
      <c r="BC275" s="400"/>
    </row>
    <row r="276" s="366" customFormat="1" ht="15" customHeight="1" spans="1:55">
      <c r="A276" s="395">
        <v>43006</v>
      </c>
      <c r="B276" s="443" t="s">
        <v>38</v>
      </c>
      <c r="C276" s="377"/>
      <c r="D276" s="329"/>
      <c r="E276" s="329"/>
      <c r="F276" s="378"/>
      <c r="G276" s="329"/>
      <c r="H276" s="376"/>
      <c r="I276" s="376"/>
      <c r="J276" s="399">
        <f t="shared" si="98"/>
        <v>0</v>
      </c>
      <c r="K276" s="329"/>
      <c r="L276" s="329"/>
      <c r="M276" s="401">
        <f t="shared" si="100"/>
        <v>0</v>
      </c>
      <c r="N276" s="396">
        <f t="shared" si="105"/>
        <v>0</v>
      </c>
      <c r="O276" s="368">
        <f t="shared" si="105"/>
        <v>0</v>
      </c>
      <c r="P276" s="398">
        <f t="shared" si="105"/>
        <v>0</v>
      </c>
      <c r="Q276" s="414">
        <f t="shared" si="104"/>
        <v>16022161.07</v>
      </c>
      <c r="R276" s="402">
        <f t="shared" si="104"/>
        <v>9292029.8</v>
      </c>
      <c r="S276" s="415">
        <f t="shared" si="104"/>
        <v>25831195.74</v>
      </c>
      <c r="T276" s="416">
        <f>N276/'2018'!N276-1</f>
        <v>-1</v>
      </c>
      <c r="U276" s="417">
        <f>O276/'2018'!O276-1</f>
        <v>-1</v>
      </c>
      <c r="V276" s="417">
        <f>P276/'2018'!P276-1</f>
        <v>-1</v>
      </c>
      <c r="W276" s="417">
        <f>Q276/'2018'!Q276-1</f>
        <v>-0.0840169070484778</v>
      </c>
      <c r="X276" s="417">
        <f>R276/'2018'!R276-1</f>
        <v>-0.140735941585323</v>
      </c>
      <c r="Y276" s="424">
        <f>S276/'2018'!S276-1</f>
        <v>-0.108762420493272</v>
      </c>
      <c r="Z276" s="425"/>
      <c r="AA276" s="426">
        <f t="shared" si="99"/>
        <v>1602.216107</v>
      </c>
      <c r="AB276" s="427"/>
      <c r="AC276" s="401"/>
      <c r="AD276" s="427">
        <f t="shared" si="101"/>
        <v>16539165.94</v>
      </c>
      <c r="AE276" s="329">
        <f t="shared" si="102"/>
        <v>151020.45</v>
      </c>
      <c r="AF276" s="329">
        <f t="shared" si="102"/>
        <v>160719.97</v>
      </c>
      <c r="AG276" s="401">
        <f t="shared" si="103"/>
        <v>205264.449999997</v>
      </c>
      <c r="AH276" s="439"/>
      <c r="AI276" s="400"/>
      <c r="AJ276" s="400"/>
      <c r="AK276" s="400"/>
      <c r="AL276" s="400"/>
      <c r="AM276" s="400"/>
      <c r="AN276" s="400"/>
      <c r="AO276" s="400"/>
      <c r="AP276" s="400"/>
      <c r="AQ276" s="400"/>
      <c r="AR276" s="400"/>
      <c r="AS276" s="400"/>
      <c r="AT276" s="400"/>
      <c r="AU276" s="400"/>
      <c r="AV276" s="400"/>
      <c r="AW276" s="400"/>
      <c r="AX276" s="400"/>
      <c r="AY276" s="400"/>
      <c r="AZ276" s="400"/>
      <c r="BA276" s="400"/>
      <c r="BB276" s="400"/>
      <c r="BC276" s="400"/>
    </row>
    <row r="277" s="366" customFormat="1" ht="15" customHeight="1" spans="1:55">
      <c r="A277" s="395">
        <v>43007</v>
      </c>
      <c r="B277" s="443" t="s">
        <v>1</v>
      </c>
      <c r="C277" s="377"/>
      <c r="D277" s="329"/>
      <c r="E277" s="329"/>
      <c r="F277" s="378"/>
      <c r="G277" s="329"/>
      <c r="H277" s="376"/>
      <c r="I277" s="376"/>
      <c r="J277" s="399">
        <f t="shared" si="98"/>
        <v>0</v>
      </c>
      <c r="K277" s="329"/>
      <c r="L277" s="329"/>
      <c r="M277" s="401">
        <f t="shared" si="100"/>
        <v>0</v>
      </c>
      <c r="N277" s="396">
        <f t="shared" si="105"/>
        <v>0</v>
      </c>
      <c r="O277" s="368">
        <f t="shared" si="105"/>
        <v>0</v>
      </c>
      <c r="P277" s="398">
        <f t="shared" si="105"/>
        <v>0</v>
      </c>
      <c r="Q277" s="414">
        <f t="shared" si="104"/>
        <v>16022161.07</v>
      </c>
      <c r="R277" s="402">
        <f t="shared" si="104"/>
        <v>9292029.8</v>
      </c>
      <c r="S277" s="415">
        <f t="shared" si="104"/>
        <v>25831195.74</v>
      </c>
      <c r="T277" s="416">
        <f>N277/'2018'!N277-1</f>
        <v>-1</v>
      </c>
      <c r="U277" s="417">
        <f>O277/'2018'!O277-1</f>
        <v>-1</v>
      </c>
      <c r="V277" s="417">
        <f>P277/'2018'!P277-1</f>
        <v>-1</v>
      </c>
      <c r="W277" s="417">
        <f>Q277/'2018'!Q277-1</f>
        <v>-0.0861567249975391</v>
      </c>
      <c r="X277" s="417">
        <f>R277/'2018'!R277-1</f>
        <v>-0.144583754058933</v>
      </c>
      <c r="Y277" s="424">
        <f>S277/'2018'!S277-1</f>
        <v>-0.111776986813955</v>
      </c>
      <c r="Z277" s="425"/>
      <c r="AA277" s="426">
        <f t="shared" si="99"/>
        <v>1602.216107</v>
      </c>
      <c r="AB277" s="427"/>
      <c r="AC277" s="401"/>
      <c r="AD277" s="427">
        <f t="shared" si="101"/>
        <v>16539165.94</v>
      </c>
      <c r="AE277" s="329">
        <f t="shared" si="102"/>
        <v>151020.45</v>
      </c>
      <c r="AF277" s="329">
        <f t="shared" si="102"/>
        <v>160719.97</v>
      </c>
      <c r="AG277" s="401">
        <f t="shared" si="103"/>
        <v>205264.449999997</v>
      </c>
      <c r="AH277" s="439"/>
      <c r="AI277" s="400"/>
      <c r="AJ277" s="400"/>
      <c r="AK277" s="400"/>
      <c r="AL277" s="400"/>
      <c r="AM277" s="400"/>
      <c r="AN277" s="400"/>
      <c r="AO277" s="400"/>
      <c r="AP277" s="400"/>
      <c r="AQ277" s="400"/>
      <c r="AR277" s="400"/>
      <c r="AS277" s="400"/>
      <c r="AT277" s="400"/>
      <c r="AU277" s="400"/>
      <c r="AV277" s="400"/>
      <c r="AW277" s="400"/>
      <c r="AX277" s="400"/>
      <c r="AY277" s="400"/>
      <c r="AZ277" s="400"/>
      <c r="BA277" s="400"/>
      <c r="BB277" s="400"/>
      <c r="BC277" s="400"/>
    </row>
    <row r="278" s="366" customFormat="1" ht="15" customHeight="1" spans="1:55">
      <c r="A278" s="390">
        <v>43008</v>
      </c>
      <c r="B278" s="386" t="s">
        <v>39</v>
      </c>
      <c r="C278" s="391"/>
      <c r="D278" s="392"/>
      <c r="E278" s="392"/>
      <c r="F278" s="394"/>
      <c r="G278" s="392"/>
      <c r="H278" s="389"/>
      <c r="I278" s="389"/>
      <c r="J278" s="405">
        <f t="shared" si="98"/>
        <v>0</v>
      </c>
      <c r="K278" s="392"/>
      <c r="L278" s="392"/>
      <c r="M278" s="406">
        <f t="shared" si="100"/>
        <v>0</v>
      </c>
      <c r="N278" s="407">
        <f t="shared" ref="N278" si="106">C278+N277</f>
        <v>0</v>
      </c>
      <c r="O278" s="411">
        <f t="shared" ref="O278" si="107">D278+O277</f>
        <v>0</v>
      </c>
      <c r="P278" s="409">
        <f t="shared" ref="P278" si="108">E278+P277</f>
        <v>0</v>
      </c>
      <c r="Q278" s="418">
        <f>[8]表2、统调口径电量!$I$10</f>
        <v>17568633.3</v>
      </c>
      <c r="R278" s="408">
        <f>[8]表2、统调口径电量!$I$14</f>
        <v>10914439.8</v>
      </c>
      <c r="S278" s="419">
        <f>[8]表2、统调口径电量!$I$3</f>
        <v>29178671.43</v>
      </c>
      <c r="T278" s="420">
        <f>N278/'2018'!N278-1</f>
        <v>-1</v>
      </c>
      <c r="U278" s="421">
        <f>O278/'2018'!O278-1</f>
        <v>-1</v>
      </c>
      <c r="V278" s="421">
        <f>P278/'2018'!P278-1</f>
        <v>-1</v>
      </c>
      <c r="W278" s="421">
        <f>Q278/'2018'!Q278-1</f>
        <v>0</v>
      </c>
      <c r="X278" s="421">
        <f>R278/'2018'!R278-1</f>
        <v>0</v>
      </c>
      <c r="Y278" s="445">
        <f>S278/'2018'!S278-1</f>
        <v>0</v>
      </c>
      <c r="Z278" s="432"/>
      <c r="AA278" s="433">
        <f t="shared" si="99"/>
        <v>1756.86333</v>
      </c>
      <c r="AB278" s="435"/>
      <c r="AC278" s="406" t="e">
        <f t="shared" ref="AC278:AC309" si="109">AA278*10000/AB278</f>
        <v>#DIV/0!</v>
      </c>
      <c r="AD278" s="435">
        <f t="shared" si="101"/>
        <v>18264231.63</v>
      </c>
      <c r="AE278" s="392">
        <f t="shared" si="102"/>
        <v>151020.45</v>
      </c>
      <c r="AF278" s="392">
        <f t="shared" si="102"/>
        <v>160719.97</v>
      </c>
      <c r="AG278" s="406">
        <f t="shared" si="103"/>
        <v>383857.909999998</v>
      </c>
      <c r="AH278" s="439"/>
      <c r="AI278" s="400"/>
      <c r="AJ278" s="400"/>
      <c r="AK278" s="400"/>
      <c r="AL278" s="400"/>
      <c r="AM278" s="400"/>
      <c r="AN278" s="400"/>
      <c r="AO278" s="400"/>
      <c r="AP278" s="400"/>
      <c r="AQ278" s="400"/>
      <c r="AR278" s="400"/>
      <c r="AS278" s="400"/>
      <c r="AT278" s="400"/>
      <c r="AU278" s="400"/>
      <c r="AV278" s="400"/>
      <c r="AW278" s="400"/>
      <c r="AX278" s="400"/>
      <c r="AY278" s="400"/>
      <c r="AZ278" s="400"/>
      <c r="BA278" s="400"/>
      <c r="BB278" s="400"/>
      <c r="BC278" s="400"/>
    </row>
    <row r="279" s="366" customFormat="1" ht="15" customHeight="1" spans="1:55">
      <c r="A279" s="390">
        <v>43009</v>
      </c>
      <c r="B279" s="443" t="s">
        <v>34</v>
      </c>
      <c r="C279" s="377"/>
      <c r="D279" s="329"/>
      <c r="E279" s="329"/>
      <c r="F279" s="378"/>
      <c r="G279" s="329"/>
      <c r="H279" s="376"/>
      <c r="I279" s="376"/>
      <c r="J279" s="399">
        <f t="shared" si="98"/>
        <v>0</v>
      </c>
      <c r="K279" s="329"/>
      <c r="L279" s="329"/>
      <c r="M279" s="401">
        <f t="shared" si="100"/>
        <v>0</v>
      </c>
      <c r="N279" s="396">
        <f>C279</f>
        <v>0</v>
      </c>
      <c r="O279" s="368">
        <f>D279</f>
        <v>0</v>
      </c>
      <c r="P279" s="398">
        <f>E279</f>
        <v>0</v>
      </c>
      <c r="Q279" s="414">
        <f>Q$278+N279</f>
        <v>17568633.3</v>
      </c>
      <c r="R279" s="402">
        <f>R$278+O279</f>
        <v>10914439.8</v>
      </c>
      <c r="S279" s="415">
        <f>S$278+P279</f>
        <v>29178671.43</v>
      </c>
      <c r="T279" s="416">
        <f>N279/'2018'!N279-1</f>
        <v>-1</v>
      </c>
      <c r="U279" s="417">
        <f>O279/'2018'!O279-1</f>
        <v>-1</v>
      </c>
      <c r="V279" s="417">
        <f>P279/'2018'!P279-1</f>
        <v>-1</v>
      </c>
      <c r="W279" s="417">
        <f>Q279/'2018'!Q279-1</f>
        <v>-0.00166457112620144</v>
      </c>
      <c r="X279" s="417">
        <f>R279/'2018'!R279-1</f>
        <v>-0.00263094149490117</v>
      </c>
      <c r="Y279" s="424">
        <f>S279/'2018'!S279-1</f>
        <v>-0.00223942136815103</v>
      </c>
      <c r="Z279" s="425"/>
      <c r="AA279" s="426">
        <f t="shared" si="99"/>
        <v>1756.86333</v>
      </c>
      <c r="AB279" s="427"/>
      <c r="AC279" s="401"/>
      <c r="AD279" s="427">
        <f t="shared" si="101"/>
        <v>18264231.63</v>
      </c>
      <c r="AE279" s="329">
        <f t="shared" ref="AE279:AF294" si="110">AE278+K279</f>
        <v>151020.45</v>
      </c>
      <c r="AF279" s="329">
        <f t="shared" si="110"/>
        <v>160719.97</v>
      </c>
      <c r="AG279" s="401">
        <f t="shared" si="103"/>
        <v>383857.909999998</v>
      </c>
      <c r="AH279" s="439"/>
      <c r="AI279" s="400"/>
      <c r="AJ279" s="400"/>
      <c r="AK279" s="400"/>
      <c r="AL279" s="400"/>
      <c r="AM279" s="400"/>
      <c r="AN279" s="400"/>
      <c r="AO279" s="400"/>
      <c r="AP279" s="400"/>
      <c r="AQ279" s="400"/>
      <c r="AR279" s="400"/>
      <c r="AS279" s="400"/>
      <c r="AT279" s="400"/>
      <c r="AU279" s="400"/>
      <c r="AV279" s="400"/>
      <c r="AW279" s="400"/>
      <c r="AX279" s="400"/>
      <c r="AY279" s="400"/>
      <c r="AZ279" s="400"/>
      <c r="BA279" s="400"/>
      <c r="BB279" s="400"/>
      <c r="BC279" s="400"/>
    </row>
    <row r="280" s="366" customFormat="1" ht="15" customHeight="1" spans="1:55">
      <c r="A280" s="390">
        <v>43010</v>
      </c>
      <c r="B280" s="443" t="s">
        <v>35</v>
      </c>
      <c r="C280" s="377"/>
      <c r="D280" s="329"/>
      <c r="E280" s="329"/>
      <c r="F280" s="378"/>
      <c r="G280" s="329"/>
      <c r="H280" s="376"/>
      <c r="I280" s="376"/>
      <c r="J280" s="399">
        <f t="shared" si="98"/>
        <v>0</v>
      </c>
      <c r="K280" s="329"/>
      <c r="L280" s="329"/>
      <c r="M280" s="401">
        <f t="shared" si="100"/>
        <v>0</v>
      </c>
      <c r="N280" s="396">
        <f t="shared" ref="N280:P295" si="111">C280+N279</f>
        <v>0</v>
      </c>
      <c r="O280" s="368">
        <f t="shared" si="111"/>
        <v>0</v>
      </c>
      <c r="P280" s="398">
        <f t="shared" si="111"/>
        <v>0</v>
      </c>
      <c r="Q280" s="414">
        <f t="shared" ref="Q280:S308" si="112">Q$278+N280</f>
        <v>17568633.3</v>
      </c>
      <c r="R280" s="402">
        <f t="shared" si="112"/>
        <v>10914439.8</v>
      </c>
      <c r="S280" s="415">
        <f t="shared" si="112"/>
        <v>29178671.43</v>
      </c>
      <c r="T280" s="416">
        <f>N280/'2018'!N280-1</f>
        <v>-1</v>
      </c>
      <c r="U280" s="417">
        <f>O280/'2018'!O280-1</f>
        <v>-1</v>
      </c>
      <c r="V280" s="417">
        <f>P280/'2018'!P280-1</f>
        <v>-1</v>
      </c>
      <c r="W280" s="417">
        <f>Q280/'2018'!Q280-1</f>
        <v>-0.00343583289235583</v>
      </c>
      <c r="X280" s="417">
        <f>R280/'2018'!R280-1</f>
        <v>-0.00519956875853878</v>
      </c>
      <c r="Y280" s="424">
        <f>S280/'2018'!S280-1</f>
        <v>-0.00451281913792501</v>
      </c>
      <c r="Z280" s="425"/>
      <c r="AA280" s="426">
        <f t="shared" si="99"/>
        <v>1756.86333</v>
      </c>
      <c r="AB280" s="427"/>
      <c r="AC280" s="401"/>
      <c r="AD280" s="427">
        <f t="shared" si="101"/>
        <v>18264231.63</v>
      </c>
      <c r="AE280" s="329">
        <f t="shared" si="110"/>
        <v>151020.45</v>
      </c>
      <c r="AF280" s="329">
        <f t="shared" si="110"/>
        <v>160719.97</v>
      </c>
      <c r="AG280" s="401">
        <f t="shared" si="103"/>
        <v>383857.909999998</v>
      </c>
      <c r="AH280" s="439"/>
      <c r="AI280" s="400"/>
      <c r="AJ280" s="400"/>
      <c r="AK280" s="400"/>
      <c r="AL280" s="400"/>
      <c r="AM280" s="400"/>
      <c r="AN280" s="400"/>
      <c r="AO280" s="400"/>
      <c r="AP280" s="400"/>
      <c r="AQ280" s="400"/>
      <c r="AR280" s="400"/>
      <c r="AS280" s="400"/>
      <c r="AT280" s="400"/>
      <c r="AU280" s="400"/>
      <c r="AV280" s="400"/>
      <c r="AW280" s="400"/>
      <c r="AX280" s="400"/>
      <c r="AY280" s="400"/>
      <c r="AZ280" s="400"/>
      <c r="BA280" s="400"/>
      <c r="BB280" s="400"/>
      <c r="BC280" s="400"/>
    </row>
    <row r="281" s="366" customFormat="1" ht="15" customHeight="1" spans="1:55">
      <c r="A281" s="390">
        <v>43011</v>
      </c>
      <c r="B281" s="191" t="s">
        <v>36</v>
      </c>
      <c r="C281" s="377"/>
      <c r="D281" s="329"/>
      <c r="E281" s="329"/>
      <c r="F281" s="378"/>
      <c r="G281" s="329"/>
      <c r="H281" s="376"/>
      <c r="I281" s="376"/>
      <c r="J281" s="399">
        <f t="shared" si="98"/>
        <v>0</v>
      </c>
      <c r="K281" s="329"/>
      <c r="L281" s="329"/>
      <c r="M281" s="401">
        <f t="shared" si="100"/>
        <v>0</v>
      </c>
      <c r="N281" s="396">
        <f t="shared" si="111"/>
        <v>0</v>
      </c>
      <c r="O281" s="368">
        <f t="shared" si="111"/>
        <v>0</v>
      </c>
      <c r="P281" s="398">
        <f t="shared" si="111"/>
        <v>0</v>
      </c>
      <c r="Q281" s="414">
        <f t="shared" si="112"/>
        <v>17568633.3</v>
      </c>
      <c r="R281" s="402">
        <f t="shared" si="112"/>
        <v>10914439.8</v>
      </c>
      <c r="S281" s="415">
        <f t="shared" si="112"/>
        <v>29178671.43</v>
      </c>
      <c r="T281" s="416">
        <f>N281/'2018'!N281-1</f>
        <v>-1</v>
      </c>
      <c r="U281" s="417">
        <f>O281/'2018'!O281-1</f>
        <v>-1</v>
      </c>
      <c r="V281" s="417">
        <f>P281/'2018'!P281-1</f>
        <v>-1</v>
      </c>
      <c r="W281" s="417">
        <f>Q281/'2018'!Q281-1</f>
        <v>-0.00577414559630951</v>
      </c>
      <c r="X281" s="417">
        <f>R281/'2018'!R281-1</f>
        <v>-0.00780731634529852</v>
      </c>
      <c r="Y281" s="424">
        <f>S281/'2018'!S281-1</f>
        <v>-0.0071456443124539</v>
      </c>
      <c r="Z281" s="425"/>
      <c r="AA281" s="426">
        <f t="shared" si="99"/>
        <v>1756.86333</v>
      </c>
      <c r="AB281" s="427"/>
      <c r="AC281" s="401"/>
      <c r="AD281" s="427">
        <f t="shared" si="101"/>
        <v>18264231.63</v>
      </c>
      <c r="AE281" s="329">
        <f t="shared" si="110"/>
        <v>151020.45</v>
      </c>
      <c r="AF281" s="329">
        <f t="shared" si="110"/>
        <v>160719.97</v>
      </c>
      <c r="AG281" s="401">
        <f t="shared" si="103"/>
        <v>383857.909999998</v>
      </c>
      <c r="AH281" s="439"/>
      <c r="AI281" s="400"/>
      <c r="AJ281" s="400"/>
      <c r="AK281" s="400"/>
      <c r="AL281" s="400"/>
      <c r="AM281" s="400"/>
      <c r="AN281" s="400"/>
      <c r="AO281" s="400"/>
      <c r="AP281" s="400"/>
      <c r="AQ281" s="400"/>
      <c r="AR281" s="400"/>
      <c r="AS281" s="400"/>
      <c r="AT281" s="400"/>
      <c r="AU281" s="400"/>
      <c r="AV281" s="400"/>
      <c r="AW281" s="400"/>
      <c r="AX281" s="400"/>
      <c r="AY281" s="400"/>
      <c r="AZ281" s="400"/>
      <c r="BA281" s="400"/>
      <c r="BB281" s="400"/>
      <c r="BC281" s="400"/>
    </row>
    <row r="282" s="366" customFormat="1" ht="15" customHeight="1" spans="1:55">
      <c r="A282" s="390">
        <v>43012</v>
      </c>
      <c r="B282" s="443" t="s">
        <v>37</v>
      </c>
      <c r="C282" s="377"/>
      <c r="D282" s="329"/>
      <c r="E282" s="329"/>
      <c r="F282" s="378"/>
      <c r="G282" s="329"/>
      <c r="H282" s="376"/>
      <c r="I282" s="376"/>
      <c r="J282" s="399">
        <f t="shared" si="98"/>
        <v>0</v>
      </c>
      <c r="K282" s="329"/>
      <c r="L282" s="329"/>
      <c r="M282" s="401">
        <f t="shared" si="100"/>
        <v>0</v>
      </c>
      <c r="N282" s="396">
        <f t="shared" si="111"/>
        <v>0</v>
      </c>
      <c r="O282" s="368">
        <f t="shared" si="111"/>
        <v>0</v>
      </c>
      <c r="P282" s="398">
        <f t="shared" si="111"/>
        <v>0</v>
      </c>
      <c r="Q282" s="414">
        <f t="shared" si="112"/>
        <v>17568633.3</v>
      </c>
      <c r="R282" s="402">
        <f t="shared" si="112"/>
        <v>10914439.8</v>
      </c>
      <c r="S282" s="415">
        <f t="shared" si="112"/>
        <v>29178671.43</v>
      </c>
      <c r="T282" s="416">
        <f>N282/'2018'!N282-1</f>
        <v>-1</v>
      </c>
      <c r="U282" s="417">
        <f>O282/'2018'!O282-1</f>
        <v>-1</v>
      </c>
      <c r="V282" s="417">
        <f>P282/'2018'!P282-1</f>
        <v>-1</v>
      </c>
      <c r="W282" s="417">
        <f>Q282/'2018'!Q282-1</f>
        <v>-0.00843175131579121</v>
      </c>
      <c r="X282" s="417">
        <f>R282/'2018'!R282-1</f>
        <v>-0.0107218241924293</v>
      </c>
      <c r="Y282" s="424">
        <f>S282/'2018'!S282-1</f>
        <v>-0.0100972976752023</v>
      </c>
      <c r="Z282" s="425"/>
      <c r="AA282" s="426">
        <f t="shared" si="99"/>
        <v>1756.86333</v>
      </c>
      <c r="AB282" s="427"/>
      <c r="AC282" s="401"/>
      <c r="AD282" s="427">
        <f t="shared" si="101"/>
        <v>18264231.63</v>
      </c>
      <c r="AE282" s="329">
        <f t="shared" si="110"/>
        <v>151020.45</v>
      </c>
      <c r="AF282" s="329">
        <f t="shared" si="110"/>
        <v>160719.97</v>
      </c>
      <c r="AG282" s="401">
        <f t="shared" si="103"/>
        <v>383857.909999998</v>
      </c>
      <c r="AH282" s="439"/>
      <c r="AI282" s="400"/>
      <c r="AJ282" s="400"/>
      <c r="AK282" s="400"/>
      <c r="AL282" s="400"/>
      <c r="AM282" s="400"/>
      <c r="AN282" s="400"/>
      <c r="AO282" s="400"/>
      <c r="AP282" s="400"/>
      <c r="AQ282" s="400"/>
      <c r="AR282" s="400"/>
      <c r="AS282" s="400"/>
      <c r="AT282" s="400"/>
      <c r="AU282" s="400"/>
      <c r="AV282" s="400"/>
      <c r="AW282" s="400"/>
      <c r="AX282" s="400"/>
      <c r="AY282" s="400"/>
      <c r="AZ282" s="400"/>
      <c r="BA282" s="400"/>
      <c r="BB282" s="400"/>
      <c r="BC282" s="400"/>
    </row>
    <row r="283" s="366" customFormat="1" ht="15" customHeight="1" spans="1:55">
      <c r="A283" s="390">
        <v>43013</v>
      </c>
      <c r="B283" s="443" t="s">
        <v>38</v>
      </c>
      <c r="C283" s="377"/>
      <c r="D283" s="329"/>
      <c r="E283" s="329"/>
      <c r="F283" s="378"/>
      <c r="G283" s="329"/>
      <c r="H283" s="376"/>
      <c r="I283" s="376"/>
      <c r="J283" s="399">
        <f t="shared" si="98"/>
        <v>0</v>
      </c>
      <c r="K283" s="329"/>
      <c r="L283" s="384"/>
      <c r="M283" s="401">
        <f t="shared" si="100"/>
        <v>0</v>
      </c>
      <c r="N283" s="396">
        <f t="shared" si="111"/>
        <v>0</v>
      </c>
      <c r="O283" s="368">
        <f t="shared" si="111"/>
        <v>0</v>
      </c>
      <c r="P283" s="398">
        <f t="shared" si="111"/>
        <v>0</v>
      </c>
      <c r="Q283" s="414">
        <f t="shared" si="112"/>
        <v>17568633.3</v>
      </c>
      <c r="R283" s="402">
        <f t="shared" si="112"/>
        <v>10914439.8</v>
      </c>
      <c r="S283" s="415">
        <f t="shared" si="112"/>
        <v>29178671.43</v>
      </c>
      <c r="T283" s="416">
        <f>N283/'2018'!N283-1</f>
        <v>-1</v>
      </c>
      <c r="U283" s="417">
        <f>O283/'2018'!O283-1</f>
        <v>-1</v>
      </c>
      <c r="V283" s="417">
        <f>P283/'2018'!P283-1</f>
        <v>-1</v>
      </c>
      <c r="W283" s="417">
        <f>Q283/'2018'!Q283-1</f>
        <v>-0.011199473280084</v>
      </c>
      <c r="X283" s="417">
        <f>R283/'2018'!R283-1</f>
        <v>-0.0138553433415122</v>
      </c>
      <c r="Y283" s="424">
        <f>S283/'2018'!S283-1</f>
        <v>-0.0132104935578949</v>
      </c>
      <c r="Z283" s="425"/>
      <c r="AA283" s="426">
        <f t="shared" si="99"/>
        <v>1756.86333</v>
      </c>
      <c r="AB283" s="427"/>
      <c r="AC283" s="401"/>
      <c r="AD283" s="427">
        <f t="shared" si="101"/>
        <v>18264231.63</v>
      </c>
      <c r="AE283" s="329">
        <f t="shared" si="110"/>
        <v>151020.45</v>
      </c>
      <c r="AF283" s="329">
        <f t="shared" si="110"/>
        <v>160719.97</v>
      </c>
      <c r="AG283" s="401">
        <f t="shared" si="103"/>
        <v>383857.909999998</v>
      </c>
      <c r="AH283" s="439"/>
      <c r="AI283" s="400"/>
      <c r="AJ283" s="400"/>
      <c r="AK283" s="400"/>
      <c r="AL283" s="400"/>
      <c r="AM283" s="400"/>
      <c r="AN283" s="400"/>
      <c r="AO283" s="400"/>
      <c r="AP283" s="400"/>
      <c r="AQ283" s="400"/>
      <c r="AR283" s="400"/>
      <c r="AS283" s="400"/>
      <c r="AT283" s="400"/>
      <c r="AU283" s="400"/>
      <c r="AV283" s="400"/>
      <c r="AW283" s="400"/>
      <c r="AX283" s="400"/>
      <c r="AY283" s="400"/>
      <c r="AZ283" s="400"/>
      <c r="BA283" s="400"/>
      <c r="BB283" s="400"/>
      <c r="BC283" s="400"/>
    </row>
    <row r="284" s="366" customFormat="1" ht="15" customHeight="1" spans="1:55">
      <c r="A284" s="390">
        <v>43014</v>
      </c>
      <c r="B284" s="443" t="s">
        <v>1</v>
      </c>
      <c r="C284" s="377"/>
      <c r="D284" s="329"/>
      <c r="E284" s="329"/>
      <c r="F284" s="378"/>
      <c r="G284" s="329"/>
      <c r="H284" s="376"/>
      <c r="I284" s="376"/>
      <c r="J284" s="399">
        <f t="shared" si="98"/>
        <v>0</v>
      </c>
      <c r="K284" s="329"/>
      <c r="L284" s="384"/>
      <c r="M284" s="401">
        <f t="shared" si="100"/>
        <v>0</v>
      </c>
      <c r="N284" s="396">
        <f t="shared" si="111"/>
        <v>0</v>
      </c>
      <c r="O284" s="368">
        <f t="shared" si="111"/>
        <v>0</v>
      </c>
      <c r="P284" s="398">
        <f t="shared" si="111"/>
        <v>0</v>
      </c>
      <c r="Q284" s="414">
        <f t="shared" si="112"/>
        <v>17568633.3</v>
      </c>
      <c r="R284" s="402">
        <f t="shared" si="112"/>
        <v>10914439.8</v>
      </c>
      <c r="S284" s="415">
        <f t="shared" si="112"/>
        <v>29178671.43</v>
      </c>
      <c r="T284" s="416">
        <f>N284/'2018'!N284-1</f>
        <v>-1</v>
      </c>
      <c r="U284" s="417">
        <f>O284/'2018'!O284-1</f>
        <v>-1</v>
      </c>
      <c r="V284" s="417">
        <f>P284/'2018'!P284-1</f>
        <v>-1</v>
      </c>
      <c r="W284" s="417">
        <f>Q284/'2018'!Q284-1</f>
        <v>-0.0139004269424865</v>
      </c>
      <c r="X284" s="417">
        <f>R284/'2018'!R284-1</f>
        <v>-0.0172124954531927</v>
      </c>
      <c r="Y284" s="424">
        <f>S284/'2018'!S284-1</f>
        <v>-0.016377520612268</v>
      </c>
      <c r="Z284" s="425"/>
      <c r="AA284" s="426">
        <f t="shared" si="99"/>
        <v>1756.86333</v>
      </c>
      <c r="AB284" s="427"/>
      <c r="AC284" s="401"/>
      <c r="AD284" s="427">
        <f t="shared" si="101"/>
        <v>18264231.63</v>
      </c>
      <c r="AE284" s="329">
        <f t="shared" si="110"/>
        <v>151020.45</v>
      </c>
      <c r="AF284" s="329">
        <f t="shared" si="110"/>
        <v>160719.97</v>
      </c>
      <c r="AG284" s="401">
        <f t="shared" si="103"/>
        <v>383857.909999998</v>
      </c>
      <c r="AH284" s="439"/>
      <c r="AI284" s="400"/>
      <c r="AJ284" s="400"/>
      <c r="AK284" s="400"/>
      <c r="AL284" s="400"/>
      <c r="AM284" s="400"/>
      <c r="AN284" s="400"/>
      <c r="AO284" s="400"/>
      <c r="AP284" s="400"/>
      <c r="AQ284" s="400"/>
      <c r="AR284" s="400"/>
      <c r="AS284" s="400"/>
      <c r="AT284" s="400"/>
      <c r="AU284" s="400"/>
      <c r="AV284" s="400"/>
      <c r="AW284" s="400"/>
      <c r="AX284" s="400"/>
      <c r="AY284" s="400"/>
      <c r="AZ284" s="400"/>
      <c r="BA284" s="400"/>
      <c r="BB284" s="400"/>
      <c r="BC284" s="400"/>
    </row>
    <row r="285" s="366" customFormat="1" ht="15" customHeight="1" spans="1:55">
      <c r="A285" s="395">
        <v>43015</v>
      </c>
      <c r="B285" s="443" t="s">
        <v>39</v>
      </c>
      <c r="C285" s="377"/>
      <c r="D285" s="329"/>
      <c r="E285" s="329"/>
      <c r="F285" s="378"/>
      <c r="G285" s="329"/>
      <c r="H285" s="376"/>
      <c r="I285" s="376"/>
      <c r="J285" s="399">
        <f t="shared" si="98"/>
        <v>0</v>
      </c>
      <c r="K285" s="329"/>
      <c r="L285" s="384"/>
      <c r="M285" s="401">
        <f t="shared" si="100"/>
        <v>0</v>
      </c>
      <c r="N285" s="396">
        <f t="shared" si="111"/>
        <v>0</v>
      </c>
      <c r="O285" s="368">
        <f t="shared" si="111"/>
        <v>0</v>
      </c>
      <c r="P285" s="398">
        <f t="shared" si="111"/>
        <v>0</v>
      </c>
      <c r="Q285" s="414">
        <f t="shared" si="112"/>
        <v>17568633.3</v>
      </c>
      <c r="R285" s="402">
        <f t="shared" si="112"/>
        <v>10914439.8</v>
      </c>
      <c r="S285" s="415">
        <f t="shared" si="112"/>
        <v>29178671.43</v>
      </c>
      <c r="T285" s="416">
        <f>N285/'2018'!N285-1</f>
        <v>-1</v>
      </c>
      <c r="U285" s="417">
        <f>O285/'2018'!O285-1</f>
        <v>-1</v>
      </c>
      <c r="V285" s="417">
        <f>P285/'2018'!P285-1</f>
        <v>-1</v>
      </c>
      <c r="W285" s="417">
        <f>Q285/'2018'!Q285-1</f>
        <v>-0.016588867122609</v>
      </c>
      <c r="X285" s="417">
        <f>R285/'2018'!R285-1</f>
        <v>-0.0206915218434505</v>
      </c>
      <c r="Y285" s="424">
        <f>S285/'2018'!S285-1</f>
        <v>-0.0195569657834159</v>
      </c>
      <c r="Z285" s="425"/>
      <c r="AA285" s="426">
        <f t="shared" si="99"/>
        <v>1756.86333</v>
      </c>
      <c r="AB285" s="427"/>
      <c r="AC285" s="401"/>
      <c r="AD285" s="427">
        <f t="shared" si="101"/>
        <v>18264231.63</v>
      </c>
      <c r="AE285" s="329">
        <f t="shared" si="110"/>
        <v>151020.45</v>
      </c>
      <c r="AF285" s="329">
        <f t="shared" si="110"/>
        <v>160719.97</v>
      </c>
      <c r="AG285" s="401">
        <f t="shared" si="103"/>
        <v>383857.909999998</v>
      </c>
      <c r="AH285" s="439"/>
      <c r="AI285" s="400"/>
      <c r="AJ285" s="400"/>
      <c r="AK285" s="400"/>
      <c r="AL285" s="400"/>
      <c r="AM285" s="400"/>
      <c r="AN285" s="400"/>
      <c r="AO285" s="400"/>
      <c r="AP285" s="400"/>
      <c r="AQ285" s="400"/>
      <c r="AR285" s="400"/>
      <c r="AS285" s="400"/>
      <c r="AT285" s="400"/>
      <c r="AU285" s="400"/>
      <c r="AV285" s="400"/>
      <c r="AW285" s="400"/>
      <c r="AX285" s="400"/>
      <c r="AY285" s="400"/>
      <c r="AZ285" s="400"/>
      <c r="BA285" s="400"/>
      <c r="BB285" s="400"/>
      <c r="BC285" s="400"/>
    </row>
    <row r="286" s="366" customFormat="1" ht="15" customHeight="1" spans="1:55">
      <c r="A286" s="395">
        <v>43016</v>
      </c>
      <c r="B286" s="443" t="s">
        <v>34</v>
      </c>
      <c r="C286" s="377"/>
      <c r="D286" s="329"/>
      <c r="E286" s="329"/>
      <c r="F286" s="378"/>
      <c r="G286" s="329"/>
      <c r="H286" s="376"/>
      <c r="I286" s="376"/>
      <c r="J286" s="399">
        <f t="shared" si="98"/>
        <v>0</v>
      </c>
      <c r="K286" s="329"/>
      <c r="L286" s="384"/>
      <c r="M286" s="401">
        <f t="shared" si="100"/>
        <v>0</v>
      </c>
      <c r="N286" s="396">
        <f t="shared" si="111"/>
        <v>0</v>
      </c>
      <c r="O286" s="368">
        <f t="shared" si="111"/>
        <v>0</v>
      </c>
      <c r="P286" s="398">
        <f t="shared" si="111"/>
        <v>0</v>
      </c>
      <c r="Q286" s="414">
        <f t="shared" si="112"/>
        <v>17568633.3</v>
      </c>
      <c r="R286" s="402">
        <f t="shared" si="112"/>
        <v>10914439.8</v>
      </c>
      <c r="S286" s="415">
        <f t="shared" si="112"/>
        <v>29178671.43</v>
      </c>
      <c r="T286" s="416">
        <f>N286/'2018'!N286-1</f>
        <v>-1</v>
      </c>
      <c r="U286" s="417">
        <f>O286/'2018'!O286-1</f>
        <v>-1</v>
      </c>
      <c r="V286" s="417">
        <f>P286/'2018'!P286-1</f>
        <v>-1</v>
      </c>
      <c r="W286" s="417">
        <f>Q286/'2018'!Q286-1</f>
        <v>-0.0193196772157507</v>
      </c>
      <c r="X286" s="417">
        <f>R286/'2018'!R286-1</f>
        <v>-0.0244683754579648</v>
      </c>
      <c r="Y286" s="424">
        <f>S286/'2018'!S286-1</f>
        <v>-0.0228623123221371</v>
      </c>
      <c r="Z286" s="425"/>
      <c r="AA286" s="426">
        <f t="shared" si="99"/>
        <v>1756.86333</v>
      </c>
      <c r="AB286" s="427"/>
      <c r="AC286" s="401"/>
      <c r="AD286" s="427">
        <f t="shared" si="101"/>
        <v>18264231.63</v>
      </c>
      <c r="AE286" s="329">
        <f t="shared" si="110"/>
        <v>151020.45</v>
      </c>
      <c r="AF286" s="329">
        <f t="shared" si="110"/>
        <v>160719.97</v>
      </c>
      <c r="AG286" s="401">
        <f t="shared" si="103"/>
        <v>383857.909999998</v>
      </c>
      <c r="AH286" s="439"/>
      <c r="AI286" s="400"/>
      <c r="AJ286" s="400"/>
      <c r="AK286" s="400"/>
      <c r="AL286" s="400"/>
      <c r="AM286" s="400"/>
      <c r="AN286" s="400"/>
      <c r="AO286" s="400"/>
      <c r="AP286" s="400"/>
      <c r="AQ286" s="400"/>
      <c r="AR286" s="400"/>
      <c r="AS286" s="400"/>
      <c r="AT286" s="400"/>
      <c r="AU286" s="400"/>
      <c r="AV286" s="400"/>
      <c r="AW286" s="400"/>
      <c r="AX286" s="400"/>
      <c r="AY286" s="400"/>
      <c r="AZ286" s="400"/>
      <c r="BA286" s="400"/>
      <c r="BB286" s="400"/>
      <c r="BC286" s="400"/>
    </row>
    <row r="287" s="366" customFormat="1" ht="15" customHeight="1" spans="1:55">
      <c r="A287" s="395">
        <v>43017</v>
      </c>
      <c r="B287" s="443" t="s">
        <v>35</v>
      </c>
      <c r="C287" s="377"/>
      <c r="D287" s="329"/>
      <c r="E287" s="329"/>
      <c r="F287" s="378"/>
      <c r="G287" s="329"/>
      <c r="H287" s="376"/>
      <c r="I287" s="376"/>
      <c r="J287" s="399">
        <f t="shared" si="98"/>
        <v>0</v>
      </c>
      <c r="K287" s="329"/>
      <c r="L287" s="384"/>
      <c r="M287" s="401">
        <f t="shared" si="100"/>
        <v>0</v>
      </c>
      <c r="N287" s="396">
        <f t="shared" si="111"/>
        <v>0</v>
      </c>
      <c r="O287" s="368">
        <f t="shared" si="111"/>
        <v>0</v>
      </c>
      <c r="P287" s="398">
        <f t="shared" si="111"/>
        <v>0</v>
      </c>
      <c r="Q287" s="414">
        <f t="shared" si="112"/>
        <v>17568633.3</v>
      </c>
      <c r="R287" s="402">
        <f t="shared" si="112"/>
        <v>10914439.8</v>
      </c>
      <c r="S287" s="415">
        <f t="shared" si="112"/>
        <v>29178671.43</v>
      </c>
      <c r="T287" s="416">
        <f>N287/'2018'!N287-1</f>
        <v>-1</v>
      </c>
      <c r="U287" s="417">
        <f>O287/'2018'!O287-1</f>
        <v>-1</v>
      </c>
      <c r="V287" s="417">
        <f>P287/'2018'!P287-1</f>
        <v>-1</v>
      </c>
      <c r="W287" s="417">
        <f>Q287/'2018'!Q287-1</f>
        <v>-0.0222900701692504</v>
      </c>
      <c r="X287" s="417">
        <f>R287/'2018'!R287-1</f>
        <v>-0.0282816168920407</v>
      </c>
      <c r="Y287" s="424">
        <f>S287/'2018'!S287-1</f>
        <v>-0.0262415489723905</v>
      </c>
      <c r="Z287" s="425"/>
      <c r="AA287" s="426">
        <f t="shared" si="99"/>
        <v>1756.86333</v>
      </c>
      <c r="AB287" s="427"/>
      <c r="AC287" s="401"/>
      <c r="AD287" s="427">
        <f t="shared" si="101"/>
        <v>18264231.63</v>
      </c>
      <c r="AE287" s="329">
        <f t="shared" si="110"/>
        <v>151020.45</v>
      </c>
      <c r="AF287" s="329">
        <f t="shared" si="110"/>
        <v>160719.97</v>
      </c>
      <c r="AG287" s="401">
        <f t="shared" si="103"/>
        <v>383857.909999998</v>
      </c>
      <c r="AH287" s="439"/>
      <c r="AI287" s="400"/>
      <c r="AJ287" s="400"/>
      <c r="AK287" s="400"/>
      <c r="AL287" s="400"/>
      <c r="AM287" s="400"/>
      <c r="AN287" s="400"/>
      <c r="AO287" s="400"/>
      <c r="AP287" s="400"/>
      <c r="AQ287" s="400"/>
      <c r="AR287" s="400"/>
      <c r="AS287" s="400"/>
      <c r="AT287" s="400"/>
      <c r="AU287" s="400"/>
      <c r="AV287" s="400"/>
      <c r="AW287" s="400"/>
      <c r="AX287" s="400"/>
      <c r="AY287" s="400"/>
      <c r="AZ287" s="400"/>
      <c r="BA287" s="400"/>
      <c r="BB287" s="400"/>
      <c r="BC287" s="400"/>
    </row>
    <row r="288" s="366" customFormat="1" ht="15" customHeight="1" spans="1:55">
      <c r="A288" s="395">
        <v>43018</v>
      </c>
      <c r="B288" s="191" t="s">
        <v>36</v>
      </c>
      <c r="C288" s="377"/>
      <c r="D288" s="329"/>
      <c r="E288" s="329"/>
      <c r="F288" s="378"/>
      <c r="G288" s="329"/>
      <c r="H288" s="376"/>
      <c r="I288" s="376"/>
      <c r="J288" s="399">
        <f t="shared" si="98"/>
        <v>0</v>
      </c>
      <c r="K288" s="329"/>
      <c r="L288" s="384"/>
      <c r="M288" s="401">
        <f t="shared" si="100"/>
        <v>0</v>
      </c>
      <c r="N288" s="396">
        <f t="shared" si="111"/>
        <v>0</v>
      </c>
      <c r="O288" s="368">
        <f t="shared" si="111"/>
        <v>0</v>
      </c>
      <c r="P288" s="398">
        <f t="shared" si="111"/>
        <v>0</v>
      </c>
      <c r="Q288" s="414">
        <f t="shared" si="112"/>
        <v>17568633.3</v>
      </c>
      <c r="R288" s="402">
        <f t="shared" si="112"/>
        <v>10914439.8</v>
      </c>
      <c r="S288" s="415">
        <f t="shared" si="112"/>
        <v>29178671.43</v>
      </c>
      <c r="T288" s="416">
        <f>N288/'2018'!N288-1</f>
        <v>-1</v>
      </c>
      <c r="U288" s="417">
        <f>O288/'2018'!O288-1</f>
        <v>-1</v>
      </c>
      <c r="V288" s="417">
        <f>P288/'2018'!P288-1</f>
        <v>-1</v>
      </c>
      <c r="W288" s="417">
        <f>Q288/'2018'!Q288-1</f>
        <v>-0.0251199574450902</v>
      </c>
      <c r="X288" s="417">
        <f>R288/'2018'!R288-1</f>
        <v>-0.032172194262401</v>
      </c>
      <c r="Y288" s="424">
        <f>S288/'2018'!S288-1</f>
        <v>-0.0295722875288079</v>
      </c>
      <c r="Z288" s="425"/>
      <c r="AA288" s="426">
        <f t="shared" si="99"/>
        <v>1756.86333</v>
      </c>
      <c r="AB288" s="427"/>
      <c r="AC288" s="401"/>
      <c r="AD288" s="427">
        <f t="shared" si="101"/>
        <v>18264231.63</v>
      </c>
      <c r="AE288" s="329">
        <f t="shared" si="110"/>
        <v>151020.45</v>
      </c>
      <c r="AF288" s="329">
        <f t="shared" si="110"/>
        <v>160719.97</v>
      </c>
      <c r="AG288" s="401">
        <f t="shared" si="103"/>
        <v>383857.909999998</v>
      </c>
      <c r="AH288" s="439"/>
      <c r="AI288" s="400"/>
      <c r="AJ288" s="400"/>
      <c r="AK288" s="400"/>
      <c r="AL288" s="400"/>
      <c r="AM288" s="400"/>
      <c r="AN288" s="400"/>
      <c r="AO288" s="400"/>
      <c r="AP288" s="400"/>
      <c r="AQ288" s="400"/>
      <c r="AR288" s="400"/>
      <c r="AS288" s="400"/>
      <c r="AT288" s="400"/>
      <c r="AU288" s="400"/>
      <c r="AV288" s="400"/>
      <c r="AW288" s="400"/>
      <c r="AX288" s="400"/>
      <c r="AY288" s="400"/>
      <c r="AZ288" s="400"/>
      <c r="BA288" s="400"/>
      <c r="BB288" s="400"/>
      <c r="BC288" s="400"/>
    </row>
    <row r="289" s="366" customFormat="1" spans="1:55">
      <c r="A289" s="395">
        <v>43019</v>
      </c>
      <c r="B289" s="443" t="s">
        <v>37</v>
      </c>
      <c r="C289" s="377"/>
      <c r="D289" s="329"/>
      <c r="E289" s="329"/>
      <c r="F289" s="378"/>
      <c r="G289" s="329"/>
      <c r="H289" s="376"/>
      <c r="I289" s="376"/>
      <c r="J289" s="399">
        <f t="shared" si="98"/>
        <v>0</v>
      </c>
      <c r="K289" s="329"/>
      <c r="L289" s="384"/>
      <c r="M289" s="401">
        <f t="shared" si="100"/>
        <v>0</v>
      </c>
      <c r="N289" s="396">
        <f t="shared" si="111"/>
        <v>0</v>
      </c>
      <c r="O289" s="368">
        <f t="shared" si="111"/>
        <v>0</v>
      </c>
      <c r="P289" s="398">
        <f t="shared" si="111"/>
        <v>0</v>
      </c>
      <c r="Q289" s="414">
        <f t="shared" si="112"/>
        <v>17568633.3</v>
      </c>
      <c r="R289" s="402">
        <f t="shared" si="112"/>
        <v>10914439.8</v>
      </c>
      <c r="S289" s="415">
        <f t="shared" si="112"/>
        <v>29178671.43</v>
      </c>
      <c r="T289" s="416">
        <f>N289/'2018'!N289-1</f>
        <v>-1</v>
      </c>
      <c r="U289" s="417">
        <f>O289/'2018'!O289-1</f>
        <v>-1</v>
      </c>
      <c r="V289" s="417">
        <f>P289/'2018'!P289-1</f>
        <v>-1</v>
      </c>
      <c r="W289" s="417">
        <f>Q289/'2018'!Q289-1</f>
        <v>-0.0275538076214417</v>
      </c>
      <c r="X289" s="417">
        <f>R289/'2018'!R289-1</f>
        <v>-0.0361670921848982</v>
      </c>
      <c r="Y289" s="424">
        <f>S289/'2018'!S289-1</f>
        <v>-0.0327808735508323</v>
      </c>
      <c r="Z289" s="425"/>
      <c r="AA289" s="426">
        <f t="shared" si="99"/>
        <v>1756.86333</v>
      </c>
      <c r="AB289" s="427"/>
      <c r="AC289" s="401"/>
      <c r="AD289" s="427">
        <f t="shared" si="101"/>
        <v>18264231.63</v>
      </c>
      <c r="AE289" s="329">
        <f t="shared" si="110"/>
        <v>151020.45</v>
      </c>
      <c r="AF289" s="329">
        <f t="shared" si="110"/>
        <v>160719.97</v>
      </c>
      <c r="AG289" s="401">
        <f t="shared" si="103"/>
        <v>383857.909999998</v>
      </c>
      <c r="AH289" s="439"/>
      <c r="AI289" s="400"/>
      <c r="AJ289" s="400"/>
      <c r="AK289" s="400"/>
      <c r="AL289" s="400"/>
      <c r="AM289" s="400"/>
      <c r="AN289" s="400"/>
      <c r="AO289" s="400"/>
      <c r="AP289" s="400"/>
      <c r="AQ289" s="400"/>
      <c r="AR289" s="400"/>
      <c r="AS289" s="400"/>
      <c r="AT289" s="400"/>
      <c r="AU289" s="400"/>
      <c r="AV289" s="400"/>
      <c r="AW289" s="400"/>
      <c r="AX289" s="400"/>
      <c r="AY289" s="400"/>
      <c r="AZ289" s="400"/>
      <c r="BA289" s="400"/>
      <c r="BB289" s="400"/>
      <c r="BC289" s="400"/>
    </row>
    <row r="290" s="366" customFormat="1" ht="15" customHeight="1" spans="1:55">
      <c r="A290" s="395">
        <v>43020</v>
      </c>
      <c r="B290" s="443" t="s">
        <v>38</v>
      </c>
      <c r="C290" s="377"/>
      <c r="D290" s="329"/>
      <c r="E290" s="329"/>
      <c r="F290" s="378"/>
      <c r="G290" s="329"/>
      <c r="H290" s="376"/>
      <c r="I290" s="376"/>
      <c r="J290" s="399">
        <f t="shared" si="98"/>
        <v>0</v>
      </c>
      <c r="K290" s="329"/>
      <c r="L290" s="384"/>
      <c r="M290" s="401">
        <f t="shared" si="100"/>
        <v>0</v>
      </c>
      <c r="N290" s="396">
        <f t="shared" si="111"/>
        <v>0</v>
      </c>
      <c r="O290" s="368">
        <f t="shared" si="111"/>
        <v>0</v>
      </c>
      <c r="P290" s="398">
        <f t="shared" si="111"/>
        <v>0</v>
      </c>
      <c r="Q290" s="414">
        <f t="shared" si="112"/>
        <v>17568633.3</v>
      </c>
      <c r="R290" s="402">
        <f t="shared" si="112"/>
        <v>10914439.8</v>
      </c>
      <c r="S290" s="415">
        <f t="shared" si="112"/>
        <v>29178671.43</v>
      </c>
      <c r="T290" s="416">
        <f>N290/'2018'!N290-1</f>
        <v>-1</v>
      </c>
      <c r="U290" s="417">
        <f>O290/'2018'!O290-1</f>
        <v>-1</v>
      </c>
      <c r="V290" s="417">
        <f>P290/'2018'!P290-1</f>
        <v>-1</v>
      </c>
      <c r="W290" s="417">
        <f>Q290/'2018'!Q290-1</f>
        <v>-0.0298877454153205</v>
      </c>
      <c r="X290" s="417">
        <f>R290/'2018'!R290-1</f>
        <v>-0.0403613181559558</v>
      </c>
      <c r="Y290" s="424">
        <f>S290/'2018'!S290-1</f>
        <v>-0.0360118815960833</v>
      </c>
      <c r="Z290" s="425"/>
      <c r="AA290" s="426">
        <f t="shared" si="99"/>
        <v>1756.86333</v>
      </c>
      <c r="AB290" s="427"/>
      <c r="AC290" s="401"/>
      <c r="AD290" s="427">
        <f t="shared" si="101"/>
        <v>18264231.63</v>
      </c>
      <c r="AE290" s="329">
        <f t="shared" si="110"/>
        <v>151020.45</v>
      </c>
      <c r="AF290" s="329">
        <f t="shared" si="110"/>
        <v>160719.97</v>
      </c>
      <c r="AG290" s="401">
        <f t="shared" si="103"/>
        <v>383857.909999998</v>
      </c>
      <c r="AH290" s="439"/>
      <c r="AI290" s="400"/>
      <c r="AJ290" s="400"/>
      <c r="AK290" s="400"/>
      <c r="AL290" s="400"/>
      <c r="AM290" s="400"/>
      <c r="AN290" s="400"/>
      <c r="AO290" s="400"/>
      <c r="AP290" s="400"/>
      <c r="AQ290" s="400"/>
      <c r="AR290" s="400"/>
      <c r="AS290" s="400"/>
      <c r="AT290" s="400"/>
      <c r="AU290" s="400"/>
      <c r="AV290" s="400"/>
      <c r="AW290" s="400"/>
      <c r="AX290" s="400"/>
      <c r="AY290" s="400"/>
      <c r="AZ290" s="400"/>
      <c r="BA290" s="400"/>
      <c r="BB290" s="400"/>
      <c r="BC290" s="400"/>
    </row>
    <row r="291" s="366" customFormat="1" ht="15" customHeight="1" spans="1:55">
      <c r="A291" s="395">
        <v>43021</v>
      </c>
      <c r="B291" s="443" t="s">
        <v>1</v>
      </c>
      <c r="C291" s="377"/>
      <c r="D291" s="329"/>
      <c r="E291" s="329"/>
      <c r="F291" s="378"/>
      <c r="G291" s="329"/>
      <c r="H291" s="376"/>
      <c r="I291" s="376"/>
      <c r="J291" s="399">
        <f t="shared" si="98"/>
        <v>0</v>
      </c>
      <c r="K291" s="329"/>
      <c r="L291" s="384"/>
      <c r="M291" s="401">
        <f t="shared" si="100"/>
        <v>0</v>
      </c>
      <c r="N291" s="396">
        <f t="shared" si="111"/>
        <v>0</v>
      </c>
      <c r="O291" s="368">
        <f t="shared" si="111"/>
        <v>0</v>
      </c>
      <c r="P291" s="398">
        <f t="shared" si="111"/>
        <v>0</v>
      </c>
      <c r="Q291" s="414">
        <f t="shared" si="112"/>
        <v>17568633.3</v>
      </c>
      <c r="R291" s="402">
        <f t="shared" si="112"/>
        <v>10914439.8</v>
      </c>
      <c r="S291" s="415">
        <f t="shared" si="112"/>
        <v>29178671.43</v>
      </c>
      <c r="T291" s="416">
        <f>N291/'2018'!N291-1</f>
        <v>-1</v>
      </c>
      <c r="U291" s="417">
        <f>O291/'2018'!O291-1</f>
        <v>-1</v>
      </c>
      <c r="V291" s="417">
        <f>P291/'2018'!P291-1</f>
        <v>-1</v>
      </c>
      <c r="W291" s="417">
        <f>Q291/'2018'!Q291-1</f>
        <v>-0.0319717174019342</v>
      </c>
      <c r="X291" s="417">
        <f>R291/'2018'!R291-1</f>
        <v>-0.0449425920221636</v>
      </c>
      <c r="Y291" s="424">
        <f>S291/'2018'!S291-1</f>
        <v>-0.0392093216067625</v>
      </c>
      <c r="Z291" s="425"/>
      <c r="AA291" s="426">
        <f t="shared" si="99"/>
        <v>1756.86333</v>
      </c>
      <c r="AB291" s="427"/>
      <c r="AC291" s="401"/>
      <c r="AD291" s="427">
        <f t="shared" si="101"/>
        <v>18264231.63</v>
      </c>
      <c r="AE291" s="329">
        <f t="shared" si="110"/>
        <v>151020.45</v>
      </c>
      <c r="AF291" s="329">
        <f t="shared" si="110"/>
        <v>160719.97</v>
      </c>
      <c r="AG291" s="401">
        <f t="shared" si="103"/>
        <v>383857.909999998</v>
      </c>
      <c r="AH291" s="439"/>
      <c r="AI291" s="400"/>
      <c r="AJ291" s="400"/>
      <c r="AK291" s="400"/>
      <c r="AL291" s="400"/>
      <c r="AM291" s="400"/>
      <c r="AN291" s="400"/>
      <c r="AO291" s="400"/>
      <c r="AP291" s="400"/>
      <c r="AQ291" s="400"/>
      <c r="AR291" s="400"/>
      <c r="AS291" s="400"/>
      <c r="AT291" s="400"/>
      <c r="AU291" s="400"/>
      <c r="AV291" s="400"/>
      <c r="AW291" s="400"/>
      <c r="AX291" s="400"/>
      <c r="AY291" s="400"/>
      <c r="AZ291" s="400"/>
      <c r="BA291" s="400"/>
      <c r="BB291" s="400"/>
      <c r="BC291" s="400"/>
    </row>
    <row r="292" s="366" customFormat="1" ht="15" customHeight="1" spans="1:55">
      <c r="A292" s="395">
        <v>43022</v>
      </c>
      <c r="B292" s="443" t="s">
        <v>39</v>
      </c>
      <c r="C292" s="377"/>
      <c r="D292" s="329"/>
      <c r="E292" s="329"/>
      <c r="F292" s="378"/>
      <c r="G292" s="329"/>
      <c r="H292" s="376"/>
      <c r="I292" s="376"/>
      <c r="J292" s="399">
        <f t="shared" si="98"/>
        <v>0</v>
      </c>
      <c r="K292" s="329"/>
      <c r="L292" s="384"/>
      <c r="M292" s="401">
        <f t="shared" si="100"/>
        <v>0</v>
      </c>
      <c r="N292" s="396">
        <f t="shared" si="111"/>
        <v>0</v>
      </c>
      <c r="O292" s="368">
        <f t="shared" si="111"/>
        <v>0</v>
      </c>
      <c r="P292" s="398">
        <f t="shared" si="111"/>
        <v>0</v>
      </c>
      <c r="Q292" s="414">
        <f t="shared" si="112"/>
        <v>17568633.3</v>
      </c>
      <c r="R292" s="402">
        <f t="shared" si="112"/>
        <v>10914439.8</v>
      </c>
      <c r="S292" s="415">
        <f t="shared" si="112"/>
        <v>29178671.43</v>
      </c>
      <c r="T292" s="416">
        <f>N292/'2018'!N292-1</f>
        <v>-1</v>
      </c>
      <c r="U292" s="417">
        <f>O292/'2018'!O292-1</f>
        <v>-1</v>
      </c>
      <c r="V292" s="417">
        <f>P292/'2018'!P292-1</f>
        <v>-1</v>
      </c>
      <c r="W292" s="417">
        <f>Q292/'2018'!Q292-1</f>
        <v>-0.0338364478363657</v>
      </c>
      <c r="X292" s="417">
        <f>R292/'2018'!R292-1</f>
        <v>-0.0496194634270533</v>
      </c>
      <c r="Y292" s="424">
        <f>S292/'2018'!S292-1</f>
        <v>-0.0422781879202861</v>
      </c>
      <c r="Z292" s="425"/>
      <c r="AA292" s="426">
        <f t="shared" si="99"/>
        <v>1756.86333</v>
      </c>
      <c r="AB292" s="427"/>
      <c r="AC292" s="401"/>
      <c r="AD292" s="427">
        <f t="shared" si="101"/>
        <v>18264231.63</v>
      </c>
      <c r="AE292" s="329">
        <f t="shared" si="110"/>
        <v>151020.45</v>
      </c>
      <c r="AF292" s="329">
        <f t="shared" si="110"/>
        <v>160719.97</v>
      </c>
      <c r="AG292" s="401">
        <f t="shared" si="103"/>
        <v>383857.909999998</v>
      </c>
      <c r="AH292" s="439"/>
      <c r="AI292" s="400"/>
      <c r="AJ292" s="400"/>
      <c r="AK292" s="400"/>
      <c r="AL292" s="400"/>
      <c r="AM292" s="400"/>
      <c r="AN292" s="400"/>
      <c r="AO292" s="400"/>
      <c r="AP292" s="400"/>
      <c r="AQ292" s="400"/>
      <c r="AR292" s="400"/>
      <c r="AS292" s="400"/>
      <c r="AT292" s="400"/>
      <c r="AU292" s="400"/>
      <c r="AV292" s="400"/>
      <c r="AW292" s="400"/>
      <c r="AX292" s="400"/>
      <c r="AY292" s="400"/>
      <c r="AZ292" s="400"/>
      <c r="BA292" s="400"/>
      <c r="BB292" s="400"/>
      <c r="BC292" s="400"/>
    </row>
    <row r="293" s="366" customFormat="1" ht="15" customHeight="1" spans="1:55">
      <c r="A293" s="395">
        <v>43023</v>
      </c>
      <c r="B293" s="443" t="s">
        <v>34</v>
      </c>
      <c r="C293" s="377"/>
      <c r="D293" s="329"/>
      <c r="E293" s="329"/>
      <c r="F293" s="378"/>
      <c r="G293" s="329"/>
      <c r="H293" s="376"/>
      <c r="I293" s="376"/>
      <c r="J293" s="399">
        <f t="shared" si="98"/>
        <v>0</v>
      </c>
      <c r="K293" s="329"/>
      <c r="L293" s="384"/>
      <c r="M293" s="401">
        <f t="shared" si="100"/>
        <v>0</v>
      </c>
      <c r="N293" s="396">
        <f t="shared" si="111"/>
        <v>0</v>
      </c>
      <c r="O293" s="368">
        <f t="shared" si="111"/>
        <v>0</v>
      </c>
      <c r="P293" s="398">
        <f t="shared" si="111"/>
        <v>0</v>
      </c>
      <c r="Q293" s="414">
        <f t="shared" si="112"/>
        <v>17568633.3</v>
      </c>
      <c r="R293" s="402">
        <f t="shared" si="112"/>
        <v>10914439.8</v>
      </c>
      <c r="S293" s="415">
        <f t="shared" si="112"/>
        <v>29178671.43</v>
      </c>
      <c r="T293" s="416">
        <f>N293/'2018'!N293-1</f>
        <v>-1</v>
      </c>
      <c r="U293" s="417">
        <f>O293/'2018'!O293-1</f>
        <v>-1</v>
      </c>
      <c r="V293" s="417">
        <f>P293/'2018'!P293-1</f>
        <v>-1</v>
      </c>
      <c r="W293" s="417">
        <f>Q293/'2018'!Q293-1</f>
        <v>-0.0360703433255075</v>
      </c>
      <c r="X293" s="417">
        <f>R293/'2018'!R293-1</f>
        <v>-0.0541481402922046</v>
      </c>
      <c r="Y293" s="424">
        <f>S293/'2018'!S293-1</f>
        <v>-0.0454758558982818</v>
      </c>
      <c r="Z293" s="425"/>
      <c r="AA293" s="426">
        <f t="shared" si="99"/>
        <v>1756.86333</v>
      </c>
      <c r="AB293" s="427"/>
      <c r="AC293" s="401"/>
      <c r="AD293" s="427">
        <f t="shared" si="101"/>
        <v>18264231.63</v>
      </c>
      <c r="AE293" s="329">
        <f t="shared" si="110"/>
        <v>151020.45</v>
      </c>
      <c r="AF293" s="329">
        <f t="shared" si="110"/>
        <v>160719.97</v>
      </c>
      <c r="AG293" s="401">
        <f t="shared" si="103"/>
        <v>383857.909999998</v>
      </c>
      <c r="AH293" s="439"/>
      <c r="AI293" s="400"/>
      <c r="AJ293" s="400"/>
      <c r="AK293" s="400"/>
      <c r="AL293" s="400"/>
      <c r="AM293" s="400"/>
      <c r="AN293" s="400"/>
      <c r="AO293" s="400"/>
      <c r="AP293" s="400"/>
      <c r="AQ293" s="400"/>
      <c r="AR293" s="400"/>
      <c r="AS293" s="400"/>
      <c r="AT293" s="400"/>
      <c r="AU293" s="400"/>
      <c r="AV293" s="400"/>
      <c r="AW293" s="400"/>
      <c r="AX293" s="400"/>
      <c r="AY293" s="400"/>
      <c r="AZ293" s="400"/>
      <c r="BA293" s="400"/>
      <c r="BB293" s="400"/>
      <c r="BC293" s="400"/>
    </row>
    <row r="294" s="366" customFormat="1" ht="15" customHeight="1" spans="1:55">
      <c r="A294" s="395">
        <v>43024</v>
      </c>
      <c r="B294" s="443" t="s">
        <v>35</v>
      </c>
      <c r="C294" s="377"/>
      <c r="D294" s="329"/>
      <c r="E294" s="329"/>
      <c r="F294" s="378"/>
      <c r="G294" s="329"/>
      <c r="H294" s="376"/>
      <c r="I294" s="376"/>
      <c r="J294" s="399">
        <f t="shared" si="98"/>
        <v>0</v>
      </c>
      <c r="K294" s="329"/>
      <c r="L294" s="384"/>
      <c r="M294" s="401">
        <f t="shared" si="100"/>
        <v>0</v>
      </c>
      <c r="N294" s="396">
        <f t="shared" si="111"/>
        <v>0</v>
      </c>
      <c r="O294" s="368">
        <f t="shared" si="111"/>
        <v>0</v>
      </c>
      <c r="P294" s="398">
        <f t="shared" si="111"/>
        <v>0</v>
      </c>
      <c r="Q294" s="414">
        <f t="shared" si="112"/>
        <v>17568633.3</v>
      </c>
      <c r="R294" s="402">
        <f t="shared" si="112"/>
        <v>10914439.8</v>
      </c>
      <c r="S294" s="415">
        <f t="shared" si="112"/>
        <v>29178671.43</v>
      </c>
      <c r="T294" s="416">
        <f>N294/'2018'!N294-1</f>
        <v>-1</v>
      </c>
      <c r="U294" s="417">
        <f>O294/'2018'!O294-1</f>
        <v>-1</v>
      </c>
      <c r="V294" s="417">
        <f>P294/'2018'!P294-1</f>
        <v>-1</v>
      </c>
      <c r="W294" s="417">
        <f>Q294/'2018'!Q294-1</f>
        <v>-0.0382976702226894</v>
      </c>
      <c r="X294" s="417">
        <f>R294/'2018'!R294-1</f>
        <v>-0.058717483272383</v>
      </c>
      <c r="Y294" s="424">
        <f>S294/'2018'!S294-1</f>
        <v>-0.0486781102753056</v>
      </c>
      <c r="Z294" s="425"/>
      <c r="AA294" s="426">
        <f t="shared" si="99"/>
        <v>1756.86333</v>
      </c>
      <c r="AB294" s="427"/>
      <c r="AC294" s="401"/>
      <c r="AD294" s="427">
        <f t="shared" si="101"/>
        <v>18264231.63</v>
      </c>
      <c r="AE294" s="329">
        <f t="shared" si="110"/>
        <v>151020.45</v>
      </c>
      <c r="AF294" s="329">
        <f t="shared" si="110"/>
        <v>160719.97</v>
      </c>
      <c r="AG294" s="401">
        <f t="shared" si="103"/>
        <v>383857.909999998</v>
      </c>
      <c r="AH294" s="439"/>
      <c r="AI294" s="400"/>
      <c r="AJ294" s="400"/>
      <c r="AK294" s="400"/>
      <c r="AL294" s="400"/>
      <c r="AM294" s="400"/>
      <c r="AN294" s="400"/>
      <c r="AO294" s="400"/>
      <c r="AP294" s="400"/>
      <c r="AQ294" s="400"/>
      <c r="AR294" s="400"/>
      <c r="AS294" s="400"/>
      <c r="AT294" s="400"/>
      <c r="AU294" s="400"/>
      <c r="AV294" s="400"/>
      <c r="AW294" s="400"/>
      <c r="AX294" s="400"/>
      <c r="AY294" s="400"/>
      <c r="AZ294" s="400"/>
      <c r="BA294" s="400"/>
      <c r="BB294" s="400"/>
      <c r="BC294" s="400"/>
    </row>
    <row r="295" s="366" customFormat="1" ht="15" customHeight="1" spans="1:55">
      <c r="A295" s="395">
        <v>43025</v>
      </c>
      <c r="B295" s="191" t="s">
        <v>36</v>
      </c>
      <c r="C295" s="377"/>
      <c r="D295" s="329"/>
      <c r="E295" s="329"/>
      <c r="F295" s="378"/>
      <c r="G295" s="329"/>
      <c r="H295" s="376"/>
      <c r="I295" s="376"/>
      <c r="J295" s="399">
        <f t="shared" si="98"/>
        <v>0</v>
      </c>
      <c r="K295" s="329"/>
      <c r="L295" s="384"/>
      <c r="M295" s="401">
        <f t="shared" si="100"/>
        <v>0</v>
      </c>
      <c r="N295" s="396">
        <f t="shared" si="111"/>
        <v>0</v>
      </c>
      <c r="O295" s="368">
        <f t="shared" si="111"/>
        <v>0</v>
      </c>
      <c r="P295" s="398">
        <f t="shared" si="111"/>
        <v>0</v>
      </c>
      <c r="Q295" s="414">
        <f t="shared" si="112"/>
        <v>17568633.3</v>
      </c>
      <c r="R295" s="402">
        <f t="shared" si="112"/>
        <v>10914439.8</v>
      </c>
      <c r="S295" s="415">
        <f t="shared" si="112"/>
        <v>29178671.43</v>
      </c>
      <c r="T295" s="416">
        <f>N295/'2018'!N295-1</f>
        <v>-1</v>
      </c>
      <c r="U295" s="417">
        <f>O295/'2018'!O295-1</f>
        <v>-1</v>
      </c>
      <c r="V295" s="417">
        <f>P295/'2018'!P295-1</f>
        <v>-1</v>
      </c>
      <c r="W295" s="417">
        <f>Q295/'2018'!Q295-1</f>
        <v>-0.0403441323810221</v>
      </c>
      <c r="X295" s="417">
        <f>R295/'2018'!R295-1</f>
        <v>-0.0633289899547327</v>
      </c>
      <c r="Y295" s="424">
        <f>S295/'2018'!S295-1</f>
        <v>-0.0518082666952127</v>
      </c>
      <c r="Z295" s="425"/>
      <c r="AA295" s="426">
        <f t="shared" si="99"/>
        <v>1756.86333</v>
      </c>
      <c r="AB295" s="427"/>
      <c r="AC295" s="401"/>
      <c r="AD295" s="427">
        <f t="shared" si="101"/>
        <v>18264231.63</v>
      </c>
      <c r="AE295" s="329">
        <f t="shared" ref="AE295:AF310" si="113">AE294+K295</f>
        <v>151020.45</v>
      </c>
      <c r="AF295" s="329">
        <f t="shared" si="113"/>
        <v>160719.97</v>
      </c>
      <c r="AG295" s="401">
        <f t="shared" si="103"/>
        <v>383857.909999998</v>
      </c>
      <c r="AH295" s="439"/>
      <c r="AI295" s="400"/>
      <c r="AJ295" s="400"/>
      <c r="AK295" s="400"/>
      <c r="AL295" s="400"/>
      <c r="AM295" s="400"/>
      <c r="AN295" s="400"/>
      <c r="AO295" s="400"/>
      <c r="AP295" s="400"/>
      <c r="AQ295" s="400"/>
      <c r="AR295" s="400"/>
      <c r="AS295" s="400"/>
      <c r="AT295" s="400"/>
      <c r="AU295" s="400"/>
      <c r="AV295" s="400"/>
      <c r="AW295" s="400"/>
      <c r="AX295" s="400"/>
      <c r="AY295" s="400"/>
      <c r="AZ295" s="400"/>
      <c r="BA295" s="400"/>
      <c r="BB295" s="400"/>
      <c r="BC295" s="400"/>
    </row>
    <row r="296" s="366" customFormat="1" ht="15" customHeight="1" spans="1:55">
      <c r="A296" s="395">
        <v>43026</v>
      </c>
      <c r="B296" s="443" t="s">
        <v>37</v>
      </c>
      <c r="C296" s="377"/>
      <c r="D296" s="329"/>
      <c r="E296" s="329"/>
      <c r="F296" s="378"/>
      <c r="G296" s="329"/>
      <c r="H296" s="376"/>
      <c r="I296" s="376"/>
      <c r="J296" s="399">
        <f t="shared" si="98"/>
        <v>0</v>
      </c>
      <c r="K296" s="329"/>
      <c r="L296" s="384"/>
      <c r="M296" s="401">
        <f t="shared" si="100"/>
        <v>0</v>
      </c>
      <c r="N296" s="396">
        <f t="shared" ref="N296:P308" si="114">C296+N295</f>
        <v>0</v>
      </c>
      <c r="O296" s="368">
        <f t="shared" si="114"/>
        <v>0</v>
      </c>
      <c r="P296" s="398">
        <f t="shared" si="114"/>
        <v>0</v>
      </c>
      <c r="Q296" s="414">
        <f t="shared" si="112"/>
        <v>17568633.3</v>
      </c>
      <c r="R296" s="402">
        <f t="shared" si="112"/>
        <v>10914439.8</v>
      </c>
      <c r="S296" s="415">
        <f t="shared" si="112"/>
        <v>29178671.43</v>
      </c>
      <c r="T296" s="416">
        <f>N296/'2018'!N296-1</f>
        <v>-1</v>
      </c>
      <c r="U296" s="417">
        <f>O296/'2018'!O296-1</f>
        <v>-1</v>
      </c>
      <c r="V296" s="417">
        <f>P296/'2018'!P296-1</f>
        <v>-1</v>
      </c>
      <c r="W296" s="417">
        <f>Q296/'2018'!Q296-1</f>
        <v>-0.0424826855330165</v>
      </c>
      <c r="X296" s="417">
        <f>R296/'2018'!R296-1</f>
        <v>-0.0677703795555676</v>
      </c>
      <c r="Y296" s="424">
        <f>S296/'2018'!S296-1</f>
        <v>-0.0549329830610825</v>
      </c>
      <c r="Z296" s="425"/>
      <c r="AA296" s="426">
        <f t="shared" si="99"/>
        <v>1756.86333</v>
      </c>
      <c r="AB296" s="427"/>
      <c r="AC296" s="401"/>
      <c r="AD296" s="427">
        <f t="shared" si="101"/>
        <v>18264231.63</v>
      </c>
      <c r="AE296" s="329">
        <f t="shared" si="113"/>
        <v>151020.45</v>
      </c>
      <c r="AF296" s="329">
        <f t="shared" si="113"/>
        <v>160719.97</v>
      </c>
      <c r="AG296" s="401">
        <f t="shared" si="103"/>
        <v>383857.909999998</v>
      </c>
      <c r="AH296" s="439"/>
      <c r="AI296" s="400"/>
      <c r="AJ296" s="400"/>
      <c r="AK296" s="400"/>
      <c r="AL296" s="400"/>
      <c r="AM296" s="400"/>
      <c r="AN296" s="400"/>
      <c r="AO296" s="400"/>
      <c r="AP296" s="400"/>
      <c r="AQ296" s="400"/>
      <c r="AR296" s="400"/>
      <c r="AS296" s="400"/>
      <c r="AT296" s="400"/>
      <c r="AU296" s="400"/>
      <c r="AV296" s="400"/>
      <c r="AW296" s="400"/>
      <c r="AX296" s="400"/>
      <c r="AY296" s="400"/>
      <c r="AZ296" s="400"/>
      <c r="BA296" s="400"/>
      <c r="BB296" s="400"/>
      <c r="BC296" s="400"/>
    </row>
    <row r="297" s="366" customFormat="1" ht="15" customHeight="1" spans="1:55">
      <c r="A297" s="395">
        <v>43027</v>
      </c>
      <c r="B297" s="443" t="s">
        <v>38</v>
      </c>
      <c r="C297" s="377"/>
      <c r="D297" s="329"/>
      <c r="E297" s="329"/>
      <c r="F297" s="378"/>
      <c r="G297" s="329"/>
      <c r="H297" s="376"/>
      <c r="I297" s="376"/>
      <c r="J297" s="399">
        <f t="shared" si="98"/>
        <v>0</v>
      </c>
      <c r="K297" s="329"/>
      <c r="L297" s="384"/>
      <c r="M297" s="401">
        <f t="shared" si="100"/>
        <v>0</v>
      </c>
      <c r="N297" s="396">
        <f t="shared" si="114"/>
        <v>0</v>
      </c>
      <c r="O297" s="368">
        <f t="shared" si="114"/>
        <v>0</v>
      </c>
      <c r="P297" s="398">
        <f t="shared" si="114"/>
        <v>0</v>
      </c>
      <c r="Q297" s="414">
        <f t="shared" si="112"/>
        <v>17568633.3</v>
      </c>
      <c r="R297" s="402">
        <f t="shared" si="112"/>
        <v>10914439.8</v>
      </c>
      <c r="S297" s="415">
        <f t="shared" si="112"/>
        <v>29178671.43</v>
      </c>
      <c r="T297" s="416">
        <f>N297/'2018'!N297-1</f>
        <v>-1</v>
      </c>
      <c r="U297" s="417">
        <f>O297/'2018'!O297-1</f>
        <v>-1</v>
      </c>
      <c r="V297" s="417">
        <f>P297/'2018'!P297-1</f>
        <v>-1</v>
      </c>
      <c r="W297" s="417">
        <f>Q297/'2018'!Q297-1</f>
        <v>-0.0446190020768945</v>
      </c>
      <c r="X297" s="417">
        <f>R297/'2018'!R297-1</f>
        <v>-0.0722175651736647</v>
      </c>
      <c r="Y297" s="424">
        <f>S297/'2018'!S297-1</f>
        <v>-0.0580557519206152</v>
      </c>
      <c r="Z297" s="425"/>
      <c r="AA297" s="426">
        <f t="shared" si="99"/>
        <v>1756.86333</v>
      </c>
      <c r="AB297" s="427"/>
      <c r="AC297" s="401"/>
      <c r="AD297" s="427">
        <f t="shared" si="101"/>
        <v>18264231.63</v>
      </c>
      <c r="AE297" s="329">
        <f t="shared" si="113"/>
        <v>151020.45</v>
      </c>
      <c r="AF297" s="329">
        <f t="shared" si="113"/>
        <v>160719.97</v>
      </c>
      <c r="AG297" s="401">
        <f t="shared" si="103"/>
        <v>383857.909999998</v>
      </c>
      <c r="AH297" s="439"/>
      <c r="AI297" s="400"/>
      <c r="AJ297" s="400"/>
      <c r="AK297" s="400"/>
      <c r="AL297" s="400"/>
      <c r="AM297" s="400"/>
      <c r="AN297" s="400"/>
      <c r="AO297" s="400"/>
      <c r="AP297" s="400"/>
      <c r="AQ297" s="400"/>
      <c r="AR297" s="400"/>
      <c r="AS297" s="400"/>
      <c r="AT297" s="400"/>
      <c r="AU297" s="400"/>
      <c r="AV297" s="400"/>
      <c r="AW297" s="400"/>
      <c r="AX297" s="400"/>
      <c r="AY297" s="400"/>
      <c r="AZ297" s="400"/>
      <c r="BA297" s="400"/>
      <c r="BB297" s="400"/>
      <c r="BC297" s="400"/>
    </row>
    <row r="298" s="366" customFormat="1" ht="15" customHeight="1" spans="1:55">
      <c r="A298" s="395">
        <v>43028</v>
      </c>
      <c r="B298" s="443" t="s">
        <v>1</v>
      </c>
      <c r="C298" s="377"/>
      <c r="D298" s="329"/>
      <c r="E298" s="329"/>
      <c r="F298" s="378"/>
      <c r="G298" s="329"/>
      <c r="H298" s="376"/>
      <c r="I298" s="376"/>
      <c r="J298" s="399">
        <f t="shared" si="98"/>
        <v>0</v>
      </c>
      <c r="K298" s="329"/>
      <c r="L298" s="384"/>
      <c r="M298" s="401">
        <f t="shared" si="100"/>
        <v>0</v>
      </c>
      <c r="N298" s="396">
        <f t="shared" si="114"/>
        <v>0</v>
      </c>
      <c r="O298" s="368">
        <f t="shared" si="114"/>
        <v>0</v>
      </c>
      <c r="P298" s="398">
        <f t="shared" si="114"/>
        <v>0</v>
      </c>
      <c r="Q298" s="414">
        <f t="shared" si="112"/>
        <v>17568633.3</v>
      </c>
      <c r="R298" s="402">
        <f t="shared" si="112"/>
        <v>10914439.8</v>
      </c>
      <c r="S298" s="415">
        <f t="shared" si="112"/>
        <v>29178671.43</v>
      </c>
      <c r="T298" s="416">
        <f>N298/'2018'!N298-1</f>
        <v>-1</v>
      </c>
      <c r="U298" s="417">
        <f>O298/'2018'!O298-1</f>
        <v>-1</v>
      </c>
      <c r="V298" s="417">
        <f>P298/'2018'!P298-1</f>
        <v>-1</v>
      </c>
      <c r="W298" s="417">
        <f>Q298/'2018'!Q298-1</f>
        <v>-0.04684701734824</v>
      </c>
      <c r="X298" s="417">
        <f>R298/'2018'!R298-1</f>
        <v>-0.076518221048769</v>
      </c>
      <c r="Y298" s="424">
        <f>S298/'2018'!S298-1</f>
        <v>-0.0611650505088868</v>
      </c>
      <c r="Z298" s="425"/>
      <c r="AA298" s="426">
        <f t="shared" si="99"/>
        <v>1756.86333</v>
      </c>
      <c r="AB298" s="427"/>
      <c r="AC298" s="401"/>
      <c r="AD298" s="427">
        <f t="shared" si="101"/>
        <v>18264231.63</v>
      </c>
      <c r="AE298" s="329">
        <f t="shared" si="113"/>
        <v>151020.45</v>
      </c>
      <c r="AF298" s="329">
        <f t="shared" si="113"/>
        <v>160719.97</v>
      </c>
      <c r="AG298" s="401">
        <f t="shared" si="103"/>
        <v>383857.909999998</v>
      </c>
      <c r="AH298" s="439"/>
      <c r="AI298" s="400"/>
      <c r="AJ298" s="400"/>
      <c r="AK298" s="400"/>
      <c r="AL298" s="400"/>
      <c r="AM298" s="400"/>
      <c r="AN298" s="400"/>
      <c r="AO298" s="400"/>
      <c r="AP298" s="400"/>
      <c r="AQ298" s="400"/>
      <c r="AR298" s="400"/>
      <c r="AS298" s="400"/>
      <c r="AT298" s="400"/>
      <c r="AU298" s="400"/>
      <c r="AV298" s="400"/>
      <c r="AW298" s="400"/>
      <c r="AX298" s="400"/>
      <c r="AY298" s="400"/>
      <c r="AZ298" s="400"/>
      <c r="BA298" s="400"/>
      <c r="BB298" s="400"/>
      <c r="BC298" s="400"/>
    </row>
    <row r="299" s="366" customFormat="1" ht="15" customHeight="1" spans="1:55">
      <c r="A299" s="395">
        <v>43029</v>
      </c>
      <c r="B299" s="443" t="s">
        <v>39</v>
      </c>
      <c r="C299" s="377"/>
      <c r="D299" s="329"/>
      <c r="E299" s="329"/>
      <c r="F299" s="378"/>
      <c r="G299" s="329"/>
      <c r="H299" s="376"/>
      <c r="I299" s="376"/>
      <c r="J299" s="399">
        <f t="shared" si="98"/>
        <v>0</v>
      </c>
      <c r="K299" s="329"/>
      <c r="L299" s="384"/>
      <c r="M299" s="401">
        <f t="shared" si="100"/>
        <v>0</v>
      </c>
      <c r="N299" s="396">
        <f t="shared" si="114"/>
        <v>0</v>
      </c>
      <c r="O299" s="368">
        <f t="shared" si="114"/>
        <v>0</v>
      </c>
      <c r="P299" s="398">
        <f t="shared" si="114"/>
        <v>0</v>
      </c>
      <c r="Q299" s="414">
        <f t="shared" si="112"/>
        <v>17568633.3</v>
      </c>
      <c r="R299" s="402">
        <f t="shared" si="112"/>
        <v>10914439.8</v>
      </c>
      <c r="S299" s="415">
        <f t="shared" si="112"/>
        <v>29178671.43</v>
      </c>
      <c r="T299" s="416">
        <f>N299/'2018'!N299-1</f>
        <v>-1</v>
      </c>
      <c r="U299" s="417">
        <f>O299/'2018'!O299-1</f>
        <v>-1</v>
      </c>
      <c r="V299" s="417">
        <f>P299/'2018'!P299-1</f>
        <v>-1</v>
      </c>
      <c r="W299" s="417">
        <f>Q299/'2018'!Q299-1</f>
        <v>-0.0489736038140111</v>
      </c>
      <c r="X299" s="417">
        <f>R299/'2018'!R299-1</f>
        <v>-0.0805894786171875</v>
      </c>
      <c r="Y299" s="424">
        <f>S299/'2018'!S299-1</f>
        <v>-0.0641205407483305</v>
      </c>
      <c r="Z299" s="425"/>
      <c r="AA299" s="426">
        <f t="shared" si="99"/>
        <v>1756.86333</v>
      </c>
      <c r="AB299" s="427"/>
      <c r="AC299" s="401"/>
      <c r="AD299" s="427">
        <f t="shared" si="101"/>
        <v>18264231.63</v>
      </c>
      <c r="AE299" s="329">
        <f t="shared" si="113"/>
        <v>151020.45</v>
      </c>
      <c r="AF299" s="329">
        <f t="shared" si="113"/>
        <v>160719.97</v>
      </c>
      <c r="AG299" s="401">
        <f t="shared" si="103"/>
        <v>383857.909999998</v>
      </c>
      <c r="AH299" s="439"/>
      <c r="AI299" s="400"/>
      <c r="AJ299" s="400"/>
      <c r="AK299" s="400"/>
      <c r="AL299" s="400"/>
      <c r="AM299" s="400"/>
      <c r="AN299" s="400"/>
      <c r="AO299" s="400"/>
      <c r="AP299" s="400"/>
      <c r="AQ299" s="400"/>
      <c r="AR299" s="400"/>
      <c r="AS299" s="400"/>
      <c r="AT299" s="400"/>
      <c r="AU299" s="400"/>
      <c r="AV299" s="400"/>
      <c r="AW299" s="400"/>
      <c r="AX299" s="400"/>
      <c r="AY299" s="400"/>
      <c r="AZ299" s="400"/>
      <c r="BA299" s="400"/>
      <c r="BB299" s="400"/>
      <c r="BC299" s="400"/>
    </row>
    <row r="300" s="366" customFormat="1" ht="15" customHeight="1" spans="1:55">
      <c r="A300" s="395">
        <v>43030</v>
      </c>
      <c r="B300" s="443" t="s">
        <v>34</v>
      </c>
      <c r="C300" s="377"/>
      <c r="D300" s="329"/>
      <c r="E300" s="329"/>
      <c r="F300" s="378"/>
      <c r="G300" s="329"/>
      <c r="H300" s="376"/>
      <c r="I300" s="376"/>
      <c r="J300" s="399">
        <f t="shared" si="98"/>
        <v>0</v>
      </c>
      <c r="K300" s="329"/>
      <c r="L300" s="384"/>
      <c r="M300" s="401">
        <f t="shared" si="100"/>
        <v>0</v>
      </c>
      <c r="N300" s="396">
        <f t="shared" si="114"/>
        <v>0</v>
      </c>
      <c r="O300" s="368">
        <f t="shared" si="114"/>
        <v>0</v>
      </c>
      <c r="P300" s="398">
        <f t="shared" si="114"/>
        <v>0</v>
      </c>
      <c r="Q300" s="414">
        <f t="shared" si="112"/>
        <v>17568633.3</v>
      </c>
      <c r="R300" s="402">
        <f t="shared" si="112"/>
        <v>10914439.8</v>
      </c>
      <c r="S300" s="415">
        <f t="shared" si="112"/>
        <v>29178671.43</v>
      </c>
      <c r="T300" s="416">
        <f>N300/'2018'!N300-1</f>
        <v>-1</v>
      </c>
      <c r="U300" s="417">
        <f>O300/'2018'!O300-1</f>
        <v>-1</v>
      </c>
      <c r="V300" s="417">
        <f>P300/'2018'!P300-1</f>
        <v>-1</v>
      </c>
      <c r="W300" s="417">
        <f>Q300/'2018'!Q300-1</f>
        <v>-0.0511903969239803</v>
      </c>
      <c r="X300" s="417">
        <f>R300/'2018'!R300-1</f>
        <v>-0.0849116462208751</v>
      </c>
      <c r="Y300" s="424">
        <f>S300/'2018'!S300-1</f>
        <v>-0.0672177867578837</v>
      </c>
      <c r="Z300" s="425"/>
      <c r="AA300" s="426">
        <f t="shared" si="99"/>
        <v>1756.86333</v>
      </c>
      <c r="AB300" s="427"/>
      <c r="AC300" s="401"/>
      <c r="AD300" s="427">
        <f t="shared" si="101"/>
        <v>18264231.63</v>
      </c>
      <c r="AE300" s="329">
        <f t="shared" si="113"/>
        <v>151020.45</v>
      </c>
      <c r="AF300" s="329">
        <f t="shared" si="113"/>
        <v>160719.97</v>
      </c>
      <c r="AG300" s="401">
        <f t="shared" si="103"/>
        <v>383857.909999998</v>
      </c>
      <c r="AH300" s="439"/>
      <c r="AI300" s="400"/>
      <c r="AJ300" s="400"/>
      <c r="AK300" s="400"/>
      <c r="AL300" s="400"/>
      <c r="AM300" s="400"/>
      <c r="AN300" s="400"/>
      <c r="AO300" s="400"/>
      <c r="AP300" s="400"/>
      <c r="AQ300" s="400"/>
      <c r="AR300" s="400"/>
      <c r="AS300" s="400"/>
      <c r="AT300" s="400"/>
      <c r="AU300" s="400"/>
      <c r="AV300" s="400"/>
      <c r="AW300" s="400"/>
      <c r="AX300" s="400"/>
      <c r="AY300" s="400"/>
      <c r="AZ300" s="400"/>
      <c r="BA300" s="400"/>
      <c r="BB300" s="400"/>
      <c r="BC300" s="400"/>
    </row>
    <row r="301" s="366" customFormat="1" ht="15" customHeight="1" spans="1:55">
      <c r="A301" s="395">
        <v>43031</v>
      </c>
      <c r="B301" s="443" t="s">
        <v>35</v>
      </c>
      <c r="C301" s="377"/>
      <c r="D301" s="329"/>
      <c r="E301" s="329"/>
      <c r="F301" s="378"/>
      <c r="G301" s="329"/>
      <c r="H301" s="376"/>
      <c r="I301" s="376"/>
      <c r="J301" s="399">
        <f t="shared" si="98"/>
        <v>0</v>
      </c>
      <c r="K301" s="329"/>
      <c r="L301" s="384"/>
      <c r="M301" s="401">
        <f t="shared" si="100"/>
        <v>0</v>
      </c>
      <c r="N301" s="396">
        <f t="shared" si="114"/>
        <v>0</v>
      </c>
      <c r="O301" s="368">
        <f t="shared" si="114"/>
        <v>0</v>
      </c>
      <c r="P301" s="398">
        <f t="shared" si="114"/>
        <v>0</v>
      </c>
      <c r="Q301" s="414">
        <f t="shared" si="112"/>
        <v>17568633.3</v>
      </c>
      <c r="R301" s="402">
        <f t="shared" si="112"/>
        <v>10914439.8</v>
      </c>
      <c r="S301" s="415">
        <f t="shared" si="112"/>
        <v>29178671.43</v>
      </c>
      <c r="T301" s="416">
        <f>N301/'2018'!N301-1</f>
        <v>-1</v>
      </c>
      <c r="U301" s="417">
        <f>O301/'2018'!O301-1</f>
        <v>-1</v>
      </c>
      <c r="V301" s="417">
        <f>P301/'2018'!P301-1</f>
        <v>-1</v>
      </c>
      <c r="W301" s="417">
        <f>Q301/'2018'!Q301-1</f>
        <v>-0.0533884639961916</v>
      </c>
      <c r="X301" s="417">
        <f>R301/'2018'!R301-1</f>
        <v>-0.0891359022070815</v>
      </c>
      <c r="Y301" s="424">
        <f>S301/'2018'!S301-1</f>
        <v>-0.0702887939358598</v>
      </c>
      <c r="Z301" s="425"/>
      <c r="AA301" s="426">
        <f t="shared" si="99"/>
        <v>1756.86333</v>
      </c>
      <c r="AB301" s="427"/>
      <c r="AC301" s="401"/>
      <c r="AD301" s="427">
        <f t="shared" si="101"/>
        <v>18264231.63</v>
      </c>
      <c r="AE301" s="329">
        <f t="shared" si="113"/>
        <v>151020.45</v>
      </c>
      <c r="AF301" s="329">
        <f t="shared" si="113"/>
        <v>160719.97</v>
      </c>
      <c r="AG301" s="401">
        <f t="shared" si="103"/>
        <v>383857.909999998</v>
      </c>
      <c r="AH301" s="439"/>
      <c r="AI301" s="400"/>
      <c r="AJ301" s="400"/>
      <c r="AK301" s="400"/>
      <c r="AL301" s="400"/>
      <c r="AM301" s="400"/>
      <c r="AN301" s="400"/>
      <c r="AO301" s="400"/>
      <c r="AP301" s="400"/>
      <c r="AQ301" s="400"/>
      <c r="AR301" s="400"/>
      <c r="AS301" s="400"/>
      <c r="AT301" s="400"/>
      <c r="AU301" s="400"/>
      <c r="AV301" s="400"/>
      <c r="AW301" s="400"/>
      <c r="AX301" s="400"/>
      <c r="AY301" s="400"/>
      <c r="AZ301" s="400"/>
      <c r="BA301" s="400"/>
      <c r="BB301" s="400"/>
      <c r="BC301" s="400"/>
    </row>
    <row r="302" s="366" customFormat="1" ht="15" customHeight="1" spans="1:55">
      <c r="A302" s="395">
        <v>43032</v>
      </c>
      <c r="B302" s="191" t="s">
        <v>36</v>
      </c>
      <c r="C302" s="377"/>
      <c r="D302" s="329"/>
      <c r="E302" s="329"/>
      <c r="F302" s="378"/>
      <c r="G302" s="329"/>
      <c r="H302" s="376"/>
      <c r="I302" s="376"/>
      <c r="J302" s="399">
        <f t="shared" si="98"/>
        <v>0</v>
      </c>
      <c r="K302" s="329"/>
      <c r="L302" s="384"/>
      <c r="M302" s="401">
        <f t="shared" si="100"/>
        <v>0</v>
      </c>
      <c r="N302" s="396">
        <f t="shared" si="114"/>
        <v>0</v>
      </c>
      <c r="O302" s="368">
        <f t="shared" si="114"/>
        <v>0</v>
      </c>
      <c r="P302" s="398">
        <f t="shared" si="114"/>
        <v>0</v>
      </c>
      <c r="Q302" s="414">
        <f t="shared" si="112"/>
        <v>17568633.3</v>
      </c>
      <c r="R302" s="402">
        <f t="shared" si="112"/>
        <v>10914439.8</v>
      </c>
      <c r="S302" s="415">
        <f t="shared" si="112"/>
        <v>29178671.43</v>
      </c>
      <c r="T302" s="416">
        <f>N302/'2018'!N302-1</f>
        <v>-1</v>
      </c>
      <c r="U302" s="417">
        <f>O302/'2018'!O302-1</f>
        <v>-1</v>
      </c>
      <c r="V302" s="417">
        <f>P302/'2018'!P302-1</f>
        <v>-1</v>
      </c>
      <c r="W302" s="417">
        <f>Q302/'2018'!Q302-1</f>
        <v>-0.0555443341575717</v>
      </c>
      <c r="X302" s="417">
        <f>R302/'2018'!R302-1</f>
        <v>-0.0933171192557611</v>
      </c>
      <c r="Y302" s="424">
        <f>S302/'2018'!S302-1</f>
        <v>-0.0733258436507508</v>
      </c>
      <c r="Z302" s="425"/>
      <c r="AA302" s="426">
        <f t="shared" si="99"/>
        <v>1756.86333</v>
      </c>
      <c r="AB302" s="427"/>
      <c r="AC302" s="401"/>
      <c r="AD302" s="427">
        <f t="shared" si="101"/>
        <v>18264231.63</v>
      </c>
      <c r="AE302" s="329">
        <f t="shared" si="113"/>
        <v>151020.45</v>
      </c>
      <c r="AF302" s="329">
        <f t="shared" si="113"/>
        <v>160719.97</v>
      </c>
      <c r="AG302" s="401">
        <f t="shared" si="103"/>
        <v>383857.909999998</v>
      </c>
      <c r="AH302" s="439"/>
      <c r="AI302" s="400"/>
      <c r="AJ302" s="400"/>
      <c r="AK302" s="400"/>
      <c r="AL302" s="400"/>
      <c r="AM302" s="400"/>
      <c r="AN302" s="400"/>
      <c r="AO302" s="400"/>
      <c r="AP302" s="400"/>
      <c r="AQ302" s="400"/>
      <c r="AR302" s="400"/>
      <c r="AS302" s="400"/>
      <c r="AT302" s="400"/>
      <c r="AU302" s="400"/>
      <c r="AV302" s="400"/>
      <c r="AW302" s="400"/>
      <c r="AX302" s="400"/>
      <c r="AY302" s="400"/>
      <c r="AZ302" s="400"/>
      <c r="BA302" s="400"/>
      <c r="BB302" s="400"/>
      <c r="BC302" s="400"/>
    </row>
    <row r="303" s="366" customFormat="1" ht="15" customHeight="1" spans="1:55">
      <c r="A303" s="395">
        <v>43033</v>
      </c>
      <c r="B303" s="443" t="s">
        <v>37</v>
      </c>
      <c r="C303" s="377"/>
      <c r="D303" s="329"/>
      <c r="E303" s="329"/>
      <c r="F303" s="378"/>
      <c r="G303" s="329"/>
      <c r="H303" s="376"/>
      <c r="I303" s="376"/>
      <c r="J303" s="399">
        <f t="shared" si="98"/>
        <v>0</v>
      </c>
      <c r="K303" s="329"/>
      <c r="L303" s="384"/>
      <c r="M303" s="401">
        <f t="shared" si="100"/>
        <v>0</v>
      </c>
      <c r="N303" s="396">
        <f t="shared" si="114"/>
        <v>0</v>
      </c>
      <c r="O303" s="368">
        <f t="shared" si="114"/>
        <v>0</v>
      </c>
      <c r="P303" s="398">
        <f t="shared" si="114"/>
        <v>0</v>
      </c>
      <c r="Q303" s="414">
        <f t="shared" si="112"/>
        <v>17568633.3</v>
      </c>
      <c r="R303" s="402">
        <f t="shared" si="112"/>
        <v>10914439.8</v>
      </c>
      <c r="S303" s="415">
        <f t="shared" si="112"/>
        <v>29178671.43</v>
      </c>
      <c r="T303" s="416">
        <f>N303/'2018'!N303-1</f>
        <v>-1</v>
      </c>
      <c r="U303" s="417">
        <f>O303/'2018'!O303-1</f>
        <v>-1</v>
      </c>
      <c r="V303" s="417">
        <f>P303/'2018'!P303-1</f>
        <v>-1</v>
      </c>
      <c r="W303" s="417">
        <f>Q303/'2018'!Q303-1</f>
        <v>-0.0577920856025957</v>
      </c>
      <c r="X303" s="417">
        <f>R303/'2018'!R303-1</f>
        <v>-0.0974143725205324</v>
      </c>
      <c r="Y303" s="424">
        <f>S303/'2018'!S303-1</f>
        <v>-0.076374429383868</v>
      </c>
      <c r="Z303" s="425"/>
      <c r="AA303" s="426">
        <f t="shared" si="99"/>
        <v>1756.86333</v>
      </c>
      <c r="AB303" s="427"/>
      <c r="AC303" s="401"/>
      <c r="AD303" s="427">
        <f t="shared" si="101"/>
        <v>18264231.63</v>
      </c>
      <c r="AE303" s="329">
        <f t="shared" si="113"/>
        <v>151020.45</v>
      </c>
      <c r="AF303" s="329">
        <f t="shared" si="113"/>
        <v>160719.97</v>
      </c>
      <c r="AG303" s="401">
        <f t="shared" si="103"/>
        <v>383857.909999998</v>
      </c>
      <c r="AH303" s="439"/>
      <c r="AI303" s="400"/>
      <c r="AJ303" s="400"/>
      <c r="AK303" s="400"/>
      <c r="AL303" s="400"/>
      <c r="AM303" s="400"/>
      <c r="AN303" s="400"/>
      <c r="AO303" s="400"/>
      <c r="AP303" s="400"/>
      <c r="AQ303" s="400"/>
      <c r="AR303" s="400"/>
      <c r="AS303" s="400"/>
      <c r="AT303" s="400"/>
      <c r="AU303" s="400"/>
      <c r="AV303" s="400"/>
      <c r="AW303" s="400"/>
      <c r="AX303" s="400"/>
      <c r="AY303" s="400"/>
      <c r="AZ303" s="400"/>
      <c r="BA303" s="400"/>
      <c r="BB303" s="400"/>
      <c r="BC303" s="400"/>
    </row>
    <row r="304" s="366" customFormat="1" ht="15" customHeight="1" spans="1:55">
      <c r="A304" s="395">
        <v>43034</v>
      </c>
      <c r="B304" s="443" t="s">
        <v>38</v>
      </c>
      <c r="C304" s="377"/>
      <c r="D304" s="329"/>
      <c r="E304" s="329"/>
      <c r="F304" s="378"/>
      <c r="G304" s="329"/>
      <c r="H304" s="376"/>
      <c r="I304" s="376"/>
      <c r="J304" s="399">
        <f t="shared" si="98"/>
        <v>0</v>
      </c>
      <c r="K304" s="329"/>
      <c r="L304" s="329"/>
      <c r="M304" s="401">
        <f t="shared" si="100"/>
        <v>0</v>
      </c>
      <c r="N304" s="396">
        <f t="shared" si="114"/>
        <v>0</v>
      </c>
      <c r="O304" s="368">
        <f t="shared" si="114"/>
        <v>0</v>
      </c>
      <c r="P304" s="398">
        <f t="shared" si="114"/>
        <v>0</v>
      </c>
      <c r="Q304" s="414">
        <f t="shared" si="112"/>
        <v>17568633.3</v>
      </c>
      <c r="R304" s="402">
        <f t="shared" si="112"/>
        <v>10914439.8</v>
      </c>
      <c r="S304" s="415">
        <f t="shared" si="112"/>
        <v>29178671.43</v>
      </c>
      <c r="T304" s="416">
        <f>N304/'2018'!N304-1</f>
        <v>-1</v>
      </c>
      <c r="U304" s="417">
        <f>O304/'2018'!O304-1</f>
        <v>-1</v>
      </c>
      <c r="V304" s="417">
        <f>P304/'2018'!P304-1</f>
        <v>-1</v>
      </c>
      <c r="W304" s="417">
        <f>Q304/'2018'!Q304-1</f>
        <v>-0.0600121144276503</v>
      </c>
      <c r="X304" s="417">
        <f>R304/'2018'!R304-1</f>
        <v>-0.101455824947135</v>
      </c>
      <c r="Y304" s="424">
        <f>S304/'2018'!S304-1</f>
        <v>-0.0793878605123651</v>
      </c>
      <c r="Z304" s="425"/>
      <c r="AA304" s="426">
        <f t="shared" si="99"/>
        <v>1756.86333</v>
      </c>
      <c r="AB304" s="427"/>
      <c r="AC304" s="401"/>
      <c r="AD304" s="427">
        <f t="shared" si="101"/>
        <v>18264231.63</v>
      </c>
      <c r="AE304" s="329">
        <f t="shared" si="113"/>
        <v>151020.45</v>
      </c>
      <c r="AF304" s="329">
        <f t="shared" si="113"/>
        <v>160719.97</v>
      </c>
      <c r="AG304" s="401">
        <f t="shared" si="103"/>
        <v>383857.909999998</v>
      </c>
      <c r="AH304" s="439"/>
      <c r="AI304" s="400"/>
      <c r="AJ304" s="400"/>
      <c r="AK304" s="400"/>
      <c r="AL304" s="400"/>
      <c r="AM304" s="400"/>
      <c r="AN304" s="400"/>
      <c r="AO304" s="400"/>
      <c r="AP304" s="400"/>
      <c r="AQ304" s="400"/>
      <c r="AR304" s="400"/>
      <c r="AS304" s="400"/>
      <c r="AT304" s="400"/>
      <c r="AU304" s="400"/>
      <c r="AV304" s="400"/>
      <c r="AW304" s="400"/>
      <c r="AX304" s="400"/>
      <c r="AY304" s="400"/>
      <c r="AZ304" s="400"/>
      <c r="BA304" s="400"/>
      <c r="BB304" s="400"/>
      <c r="BC304" s="400"/>
    </row>
    <row r="305" s="366" customFormat="1" ht="15" customHeight="1" spans="1:55">
      <c r="A305" s="395">
        <v>43035</v>
      </c>
      <c r="B305" s="443" t="s">
        <v>1</v>
      </c>
      <c r="C305" s="377"/>
      <c r="D305" s="329"/>
      <c r="E305" s="329"/>
      <c r="F305" s="378"/>
      <c r="G305" s="329"/>
      <c r="H305" s="376"/>
      <c r="I305" s="376"/>
      <c r="J305" s="399">
        <f t="shared" si="98"/>
        <v>0</v>
      </c>
      <c r="K305" s="329"/>
      <c r="L305" s="329"/>
      <c r="M305" s="401">
        <f t="shared" si="100"/>
        <v>0</v>
      </c>
      <c r="N305" s="396">
        <f t="shared" si="114"/>
        <v>0</v>
      </c>
      <c r="O305" s="368">
        <f t="shared" si="114"/>
        <v>0</v>
      </c>
      <c r="P305" s="398">
        <f t="shared" si="114"/>
        <v>0</v>
      </c>
      <c r="Q305" s="414">
        <f t="shared" si="112"/>
        <v>17568633.3</v>
      </c>
      <c r="R305" s="402">
        <f t="shared" si="112"/>
        <v>10914439.8</v>
      </c>
      <c r="S305" s="415">
        <f t="shared" si="112"/>
        <v>29178671.43</v>
      </c>
      <c r="T305" s="416">
        <f>N305/'2018'!N305-1</f>
        <v>-1</v>
      </c>
      <c r="U305" s="417">
        <f>O305/'2018'!O305-1</f>
        <v>-1</v>
      </c>
      <c r="V305" s="417">
        <f>P305/'2018'!P305-1</f>
        <v>-1</v>
      </c>
      <c r="W305" s="417">
        <f>Q305/'2018'!Q305-1</f>
        <v>-0.0620948453041593</v>
      </c>
      <c r="X305" s="417">
        <f>R305/'2018'!R305-1</f>
        <v>-0.105327865271249</v>
      </c>
      <c r="Y305" s="424">
        <f>S305/'2018'!S305-1</f>
        <v>-0.0822740700587069</v>
      </c>
      <c r="Z305" s="425"/>
      <c r="AA305" s="426">
        <f t="shared" si="99"/>
        <v>1756.86333</v>
      </c>
      <c r="AB305" s="427"/>
      <c r="AC305" s="401"/>
      <c r="AD305" s="427">
        <f t="shared" si="101"/>
        <v>18264231.63</v>
      </c>
      <c r="AE305" s="329">
        <f t="shared" si="113"/>
        <v>151020.45</v>
      </c>
      <c r="AF305" s="329">
        <f t="shared" si="113"/>
        <v>160719.97</v>
      </c>
      <c r="AG305" s="401">
        <f t="shared" si="103"/>
        <v>383857.909999998</v>
      </c>
      <c r="AH305" s="439"/>
      <c r="AI305" s="400"/>
      <c r="AJ305" s="400"/>
      <c r="AK305" s="400"/>
      <c r="AL305" s="400"/>
      <c r="AM305" s="400"/>
      <c r="AN305" s="400"/>
      <c r="AO305" s="400"/>
      <c r="AP305" s="400"/>
      <c r="AQ305" s="400"/>
      <c r="AR305" s="400"/>
      <c r="AS305" s="400"/>
      <c r="AT305" s="400"/>
      <c r="AU305" s="400"/>
      <c r="AV305" s="400"/>
      <c r="AW305" s="400"/>
      <c r="AX305" s="400"/>
      <c r="AY305" s="400"/>
      <c r="AZ305" s="400"/>
      <c r="BA305" s="400"/>
      <c r="BB305" s="400"/>
      <c r="BC305" s="400"/>
    </row>
    <row r="306" s="366" customFormat="1" ht="15" customHeight="1" spans="1:55">
      <c r="A306" s="395">
        <v>43036</v>
      </c>
      <c r="B306" s="443" t="s">
        <v>39</v>
      </c>
      <c r="C306" s="377"/>
      <c r="D306" s="329"/>
      <c r="E306" s="329"/>
      <c r="F306" s="378"/>
      <c r="G306" s="329"/>
      <c r="H306" s="376"/>
      <c r="I306" s="376"/>
      <c r="J306" s="399">
        <f t="shared" si="98"/>
        <v>0</v>
      </c>
      <c r="K306" s="329"/>
      <c r="L306" s="329"/>
      <c r="M306" s="401">
        <f t="shared" si="100"/>
        <v>0</v>
      </c>
      <c r="N306" s="396">
        <f t="shared" si="114"/>
        <v>0</v>
      </c>
      <c r="O306" s="368">
        <f t="shared" si="114"/>
        <v>0</v>
      </c>
      <c r="P306" s="398">
        <f t="shared" si="114"/>
        <v>0</v>
      </c>
      <c r="Q306" s="414">
        <f t="shared" si="112"/>
        <v>17568633.3</v>
      </c>
      <c r="R306" s="402">
        <f t="shared" si="112"/>
        <v>10914439.8</v>
      </c>
      <c r="S306" s="415">
        <f t="shared" si="112"/>
        <v>29178671.43</v>
      </c>
      <c r="T306" s="416">
        <f>N306/'2018'!N306-1</f>
        <v>-1</v>
      </c>
      <c r="U306" s="417">
        <f>O306/'2018'!O306-1</f>
        <v>-1</v>
      </c>
      <c r="V306" s="417">
        <f>P306/'2018'!P306-1</f>
        <v>-1</v>
      </c>
      <c r="W306" s="417">
        <f>Q306/'2018'!Q306-1</f>
        <v>-0.0639324216817725</v>
      </c>
      <c r="X306" s="417">
        <f>R306/'2018'!R306-1</f>
        <v>-0.109054909099019</v>
      </c>
      <c r="Y306" s="424">
        <f>S306/'2018'!S306-1</f>
        <v>-0.0849888967048966</v>
      </c>
      <c r="Z306" s="425"/>
      <c r="AA306" s="426">
        <f t="shared" si="99"/>
        <v>1756.86333</v>
      </c>
      <c r="AB306" s="427"/>
      <c r="AC306" s="401"/>
      <c r="AD306" s="427">
        <f t="shared" si="101"/>
        <v>18264231.63</v>
      </c>
      <c r="AE306" s="329">
        <f t="shared" si="113"/>
        <v>151020.45</v>
      </c>
      <c r="AF306" s="329">
        <f t="shared" si="113"/>
        <v>160719.97</v>
      </c>
      <c r="AG306" s="401">
        <f t="shared" si="103"/>
        <v>383857.909999998</v>
      </c>
      <c r="AH306" s="439"/>
      <c r="AI306" s="400"/>
      <c r="AJ306" s="400"/>
      <c r="AK306" s="400"/>
      <c r="AL306" s="400"/>
      <c r="AM306" s="400"/>
      <c r="AN306" s="400"/>
      <c r="AO306" s="400"/>
      <c r="AP306" s="400"/>
      <c r="AQ306" s="400"/>
      <c r="AR306" s="400"/>
      <c r="AS306" s="400"/>
      <c r="AT306" s="400"/>
      <c r="AU306" s="400"/>
      <c r="AV306" s="400"/>
      <c r="AW306" s="400"/>
      <c r="AX306" s="400"/>
      <c r="AY306" s="400"/>
      <c r="AZ306" s="400"/>
      <c r="BA306" s="400"/>
      <c r="BB306" s="400"/>
      <c r="BC306" s="400"/>
    </row>
    <row r="307" s="366" customFormat="1" ht="15" customHeight="1" spans="1:55">
      <c r="A307" s="395">
        <v>43037</v>
      </c>
      <c r="B307" s="443" t="s">
        <v>34</v>
      </c>
      <c r="C307" s="377"/>
      <c r="D307" s="329"/>
      <c r="E307" s="329"/>
      <c r="F307" s="378"/>
      <c r="G307" s="329"/>
      <c r="H307" s="376"/>
      <c r="I307" s="376"/>
      <c r="J307" s="399">
        <f t="shared" si="98"/>
        <v>0</v>
      </c>
      <c r="K307" s="329"/>
      <c r="L307" s="329"/>
      <c r="M307" s="401">
        <f t="shared" si="100"/>
        <v>0</v>
      </c>
      <c r="N307" s="396">
        <f t="shared" si="114"/>
        <v>0</v>
      </c>
      <c r="O307" s="368">
        <f t="shared" si="114"/>
        <v>0</v>
      </c>
      <c r="P307" s="398">
        <f t="shared" si="114"/>
        <v>0</v>
      </c>
      <c r="Q307" s="414">
        <f t="shared" si="112"/>
        <v>17568633.3</v>
      </c>
      <c r="R307" s="402">
        <f t="shared" si="112"/>
        <v>10914439.8</v>
      </c>
      <c r="S307" s="415">
        <f t="shared" si="112"/>
        <v>29178671.43</v>
      </c>
      <c r="T307" s="416">
        <f>N307/'2018'!N307-1</f>
        <v>-1</v>
      </c>
      <c r="U307" s="417">
        <f>O307/'2018'!O307-1</f>
        <v>-1</v>
      </c>
      <c r="V307" s="417">
        <f>P307/'2018'!P307-1</f>
        <v>-1</v>
      </c>
      <c r="W307" s="417">
        <f>Q307/'2018'!Q307-1</f>
        <v>-0.0658358843305962</v>
      </c>
      <c r="X307" s="417">
        <f>R307/'2018'!R307-1</f>
        <v>-0.112950051412527</v>
      </c>
      <c r="Y307" s="424">
        <f>S307/'2018'!S307-1</f>
        <v>-0.0878282283640027</v>
      </c>
      <c r="Z307" s="425"/>
      <c r="AA307" s="426">
        <f t="shared" si="99"/>
        <v>1756.86333</v>
      </c>
      <c r="AB307" s="427"/>
      <c r="AC307" s="401"/>
      <c r="AD307" s="427">
        <f t="shared" si="101"/>
        <v>18264231.63</v>
      </c>
      <c r="AE307" s="329">
        <f t="shared" si="113"/>
        <v>151020.45</v>
      </c>
      <c r="AF307" s="329">
        <f t="shared" si="113"/>
        <v>160719.97</v>
      </c>
      <c r="AG307" s="401">
        <f t="shared" si="103"/>
        <v>383857.909999998</v>
      </c>
      <c r="AH307" s="439"/>
      <c r="AI307" s="400"/>
      <c r="AJ307" s="400"/>
      <c r="AK307" s="400"/>
      <c r="AL307" s="400"/>
      <c r="AM307" s="400"/>
      <c r="AN307" s="400"/>
      <c r="AO307" s="400"/>
      <c r="AP307" s="400"/>
      <c r="AQ307" s="400"/>
      <c r="AR307" s="400"/>
      <c r="AS307" s="400"/>
      <c r="AT307" s="400"/>
      <c r="AU307" s="400"/>
      <c r="AV307" s="400"/>
      <c r="AW307" s="400"/>
      <c r="AX307" s="400"/>
      <c r="AY307" s="400"/>
      <c r="AZ307" s="400"/>
      <c r="BA307" s="400"/>
      <c r="BB307" s="400"/>
      <c r="BC307" s="400"/>
    </row>
    <row r="308" s="366" customFormat="1" ht="15" customHeight="1" spans="1:55">
      <c r="A308" s="395">
        <v>43038</v>
      </c>
      <c r="B308" s="443" t="s">
        <v>35</v>
      </c>
      <c r="C308" s="377"/>
      <c r="D308" s="329"/>
      <c r="E308" s="329"/>
      <c r="F308" s="378"/>
      <c r="G308" s="329"/>
      <c r="H308" s="376"/>
      <c r="I308" s="376"/>
      <c r="J308" s="399">
        <f t="shared" si="98"/>
        <v>0</v>
      </c>
      <c r="K308" s="329"/>
      <c r="L308" s="329"/>
      <c r="M308" s="401">
        <f t="shared" si="100"/>
        <v>0</v>
      </c>
      <c r="N308" s="396">
        <f t="shared" si="114"/>
        <v>0</v>
      </c>
      <c r="O308" s="368">
        <f t="shared" si="114"/>
        <v>0</v>
      </c>
      <c r="P308" s="398">
        <f t="shared" si="114"/>
        <v>0</v>
      </c>
      <c r="Q308" s="414">
        <f>Q$278+N308</f>
        <v>17568633.3</v>
      </c>
      <c r="R308" s="402">
        <f t="shared" si="112"/>
        <v>10914439.8</v>
      </c>
      <c r="S308" s="415">
        <f t="shared" si="112"/>
        <v>29178671.43</v>
      </c>
      <c r="T308" s="416">
        <f>N308/'2018'!N308-1</f>
        <v>-1</v>
      </c>
      <c r="U308" s="417">
        <f>O308/'2018'!O308-1</f>
        <v>-1</v>
      </c>
      <c r="V308" s="417">
        <f>P308/'2018'!P308-1</f>
        <v>-1</v>
      </c>
      <c r="W308" s="417">
        <f>Q308/'2018'!Q308-1</f>
        <v>-0.0677904872881117</v>
      </c>
      <c r="X308" s="417">
        <f>R308/'2018'!R308-1</f>
        <v>-0.116781623660909</v>
      </c>
      <c r="Y308" s="424">
        <f>S308/'2018'!S308-1</f>
        <v>-0.0906953630581562</v>
      </c>
      <c r="Z308" s="425"/>
      <c r="AA308" s="426">
        <f t="shared" si="99"/>
        <v>1756.86333</v>
      </c>
      <c r="AB308" s="427"/>
      <c r="AC308" s="401"/>
      <c r="AD308" s="427">
        <f t="shared" si="101"/>
        <v>18264231.63</v>
      </c>
      <c r="AE308" s="329">
        <f t="shared" si="113"/>
        <v>151020.45</v>
      </c>
      <c r="AF308" s="329">
        <f t="shared" si="113"/>
        <v>160719.97</v>
      </c>
      <c r="AG308" s="401">
        <f t="shared" si="103"/>
        <v>383857.909999998</v>
      </c>
      <c r="AH308" s="439"/>
      <c r="AI308" s="400"/>
      <c r="AJ308" s="400"/>
      <c r="AK308" s="400"/>
      <c r="AL308" s="400"/>
      <c r="AM308" s="400"/>
      <c r="AN308" s="400"/>
      <c r="AO308" s="400"/>
      <c r="AP308" s="400"/>
      <c r="AQ308" s="400"/>
      <c r="AR308" s="400"/>
      <c r="AS308" s="400"/>
      <c r="AT308" s="400"/>
      <c r="AU308" s="400"/>
      <c r="AV308" s="400"/>
      <c r="AW308" s="400"/>
      <c r="AX308" s="400"/>
      <c r="AY308" s="400"/>
      <c r="AZ308" s="400"/>
      <c r="BA308" s="400"/>
      <c r="BB308" s="400"/>
      <c r="BC308" s="400"/>
    </row>
    <row r="309" s="366" customFormat="1" ht="15" customHeight="1" spans="1:55">
      <c r="A309" s="385">
        <v>43039</v>
      </c>
      <c r="B309" s="292" t="s">
        <v>36</v>
      </c>
      <c r="C309" s="391"/>
      <c r="D309" s="392"/>
      <c r="E309" s="392"/>
      <c r="F309" s="394"/>
      <c r="G309" s="392"/>
      <c r="H309" s="389"/>
      <c r="I309" s="389"/>
      <c r="J309" s="405">
        <f t="shared" si="98"/>
        <v>0</v>
      </c>
      <c r="K309" s="392"/>
      <c r="L309" s="392"/>
      <c r="M309" s="406">
        <f t="shared" si="100"/>
        <v>0</v>
      </c>
      <c r="N309" s="407">
        <f t="shared" ref="N309" si="115">C309+N308</f>
        <v>0</v>
      </c>
      <c r="O309" s="411">
        <f t="shared" ref="O309" si="116">D309+O308</f>
        <v>0</v>
      </c>
      <c r="P309" s="412">
        <f t="shared" ref="P309" si="117">E309+P308</f>
        <v>0</v>
      </c>
      <c r="Q309" s="418">
        <f>[9]表2、统调口径电量!$I$10</f>
        <v>18885074.22</v>
      </c>
      <c r="R309" s="408">
        <f>[9]表2、统调口径电量!$I$14</f>
        <v>12411110.8</v>
      </c>
      <c r="S309" s="419">
        <f>[9]表2、统调口径电量!$I$3</f>
        <v>32189402.91</v>
      </c>
      <c r="T309" s="451">
        <f>N309/'2018'!N309-1</f>
        <v>-1</v>
      </c>
      <c r="U309" s="444">
        <f>O309/'2018'!O309-1</f>
        <v>-1</v>
      </c>
      <c r="V309" s="444">
        <f>P309/'2018'!P309-1</f>
        <v>-1</v>
      </c>
      <c r="W309" s="444">
        <f>Q309/'2018'!Q309-1</f>
        <v>0</v>
      </c>
      <c r="X309" s="444">
        <f>R309/'2018'!R309-1</f>
        <v>0</v>
      </c>
      <c r="Y309" s="445">
        <f>S309/'2018'!S309-1</f>
        <v>0</v>
      </c>
      <c r="Z309" s="432"/>
      <c r="AA309" s="433">
        <f>[9]表2、统调口径电量!$I$11/10000</f>
        <v>1778.833214</v>
      </c>
      <c r="AB309" s="435"/>
      <c r="AC309" s="406" t="e">
        <f t="shared" si="109"/>
        <v>#DIV/0!</v>
      </c>
      <c r="AD309" s="435">
        <f>[9]表2、统调口径电量!$I$4</f>
        <v>19778292.11</v>
      </c>
      <c r="AE309" s="392">
        <f>[9]表2、统调口径电量!$I$13</f>
        <v>194521.13</v>
      </c>
      <c r="AF309" s="392">
        <f>[9]表2、统调口径电量!$I$17</f>
        <v>436642.62</v>
      </c>
      <c r="AG309" s="406">
        <f t="shared" si="103"/>
        <v>262054.140000001</v>
      </c>
      <c r="AH309" s="439"/>
      <c r="AI309" s="400"/>
      <c r="AJ309" s="400"/>
      <c r="AK309" s="400"/>
      <c r="AL309" s="400"/>
      <c r="AM309" s="400"/>
      <c r="AN309" s="400"/>
      <c r="AO309" s="400"/>
      <c r="AP309" s="400"/>
      <c r="AQ309" s="400"/>
      <c r="AR309" s="400"/>
      <c r="AS309" s="400"/>
      <c r="AT309" s="400"/>
      <c r="AU309" s="400"/>
      <c r="AV309" s="400"/>
      <c r="AW309" s="400"/>
      <c r="AX309" s="400"/>
      <c r="AY309" s="400"/>
      <c r="AZ309" s="400"/>
      <c r="BA309" s="400"/>
      <c r="BB309" s="400"/>
      <c r="BC309" s="400"/>
    </row>
    <row r="310" s="366" customFormat="1" ht="15" customHeight="1" spans="1:55">
      <c r="A310" s="395">
        <v>43040</v>
      </c>
      <c r="B310" s="443" t="s">
        <v>37</v>
      </c>
      <c r="C310" s="377"/>
      <c r="D310" s="329"/>
      <c r="E310" s="329"/>
      <c r="F310" s="378"/>
      <c r="G310" s="329"/>
      <c r="H310" s="376"/>
      <c r="I310" s="376"/>
      <c r="J310" s="399">
        <f t="shared" si="98"/>
        <v>0</v>
      </c>
      <c r="K310" s="329"/>
      <c r="L310" s="329"/>
      <c r="M310" s="401">
        <f t="shared" si="100"/>
        <v>0</v>
      </c>
      <c r="N310" s="396">
        <f>C310</f>
        <v>0</v>
      </c>
      <c r="O310" s="368">
        <f>D310</f>
        <v>0</v>
      </c>
      <c r="P310" s="398">
        <f>E310</f>
        <v>0</v>
      </c>
      <c r="Q310" s="414">
        <f>Q$309+N310</f>
        <v>18885074.22</v>
      </c>
      <c r="R310" s="402">
        <f>R$309+O310</f>
        <v>12411110.8</v>
      </c>
      <c r="S310" s="415">
        <f>S$309+P310</f>
        <v>32189402.91</v>
      </c>
      <c r="T310" s="416">
        <f>N310/'2018'!N310-1</f>
        <v>-1</v>
      </c>
      <c r="U310" s="417">
        <f>O310/'2018'!O310-1</f>
        <v>-1</v>
      </c>
      <c r="V310" s="417">
        <f>P310/'2018'!P310-1</f>
        <v>-1</v>
      </c>
      <c r="W310" s="417">
        <f>Q310/'2018'!Q310-1</f>
        <v>-0.00190174362783313</v>
      </c>
      <c r="X310" s="417">
        <f>R310/'2018'!R310-1</f>
        <v>-0.00425077066178459</v>
      </c>
      <c r="Y310" s="424">
        <f>S310/'2018'!S310-1</f>
        <v>-0.00301208057308033</v>
      </c>
      <c r="Z310" s="425"/>
      <c r="AA310" s="426">
        <f t="shared" si="99"/>
        <v>1888.507422</v>
      </c>
      <c r="AB310" s="427"/>
      <c r="AC310" s="401"/>
      <c r="AD310" s="427">
        <f t="shared" si="101"/>
        <v>19778292.11</v>
      </c>
      <c r="AE310" s="329">
        <f t="shared" si="113"/>
        <v>194521.13</v>
      </c>
      <c r="AF310" s="329">
        <f t="shared" si="113"/>
        <v>436642.62</v>
      </c>
      <c r="AG310" s="401">
        <f t="shared" si="103"/>
        <v>262054.140000001</v>
      </c>
      <c r="AH310" s="439"/>
      <c r="AI310" s="400"/>
      <c r="AJ310" s="400"/>
      <c r="AK310" s="400"/>
      <c r="AL310" s="400"/>
      <c r="AM310" s="400"/>
      <c r="AN310" s="400"/>
      <c r="AO310" s="400"/>
      <c r="AP310" s="400"/>
      <c r="AQ310" s="400"/>
      <c r="AR310" s="400"/>
      <c r="AS310" s="400"/>
      <c r="AT310" s="400"/>
      <c r="AU310" s="400"/>
      <c r="AV310" s="400"/>
      <c r="AW310" s="400"/>
      <c r="AX310" s="400"/>
      <c r="AY310" s="400"/>
      <c r="AZ310" s="400"/>
      <c r="BA310" s="400"/>
      <c r="BB310" s="400"/>
      <c r="BC310" s="400"/>
    </row>
    <row r="311" s="366" customFormat="1" ht="15" customHeight="1" spans="1:55">
      <c r="A311" s="395">
        <v>43041</v>
      </c>
      <c r="B311" s="443" t="s">
        <v>38</v>
      </c>
      <c r="C311" s="377"/>
      <c r="D311" s="329"/>
      <c r="E311" s="329"/>
      <c r="F311" s="378"/>
      <c r="G311" s="329"/>
      <c r="H311" s="376"/>
      <c r="I311" s="376"/>
      <c r="J311" s="399">
        <f t="shared" si="98"/>
        <v>0</v>
      </c>
      <c r="K311" s="329"/>
      <c r="L311" s="329"/>
      <c r="M311" s="401">
        <f t="shared" si="100"/>
        <v>0</v>
      </c>
      <c r="N311" s="396">
        <f t="shared" ref="N311:P326" si="118">C311+N310</f>
        <v>0</v>
      </c>
      <c r="O311" s="368">
        <f t="shared" si="118"/>
        <v>0</v>
      </c>
      <c r="P311" s="398">
        <f t="shared" si="118"/>
        <v>0</v>
      </c>
      <c r="Q311" s="414">
        <f t="shared" ref="Q311:S338" si="119">Q$309+N311</f>
        <v>18885074.22</v>
      </c>
      <c r="R311" s="402">
        <f t="shared" si="119"/>
        <v>12411110.8</v>
      </c>
      <c r="S311" s="415">
        <f t="shared" si="119"/>
        <v>32189402.91</v>
      </c>
      <c r="T311" s="416">
        <f>N311/'2018'!N311-1</f>
        <v>-1</v>
      </c>
      <c r="U311" s="417">
        <f>O311/'2018'!O311-1</f>
        <v>-1</v>
      </c>
      <c r="V311" s="417">
        <f>P311/'2018'!P311-1</f>
        <v>-1</v>
      </c>
      <c r="W311" s="417">
        <f>Q311/'2018'!Q311-1</f>
        <v>-0.00401414737995509</v>
      </c>
      <c r="X311" s="417">
        <f>R311/'2018'!R311-1</f>
        <v>-0.0085401706762368</v>
      </c>
      <c r="Y311" s="424">
        <f>S311/'2018'!S311-1</f>
        <v>-0.00614797951612056</v>
      </c>
      <c r="Z311" s="425"/>
      <c r="AA311" s="426">
        <f t="shared" si="99"/>
        <v>1888.507422</v>
      </c>
      <c r="AB311" s="427"/>
      <c r="AC311" s="401"/>
      <c r="AD311" s="427">
        <f t="shared" si="101"/>
        <v>19778292.11</v>
      </c>
      <c r="AE311" s="329">
        <f t="shared" ref="AE311:AF326" si="120">AE310+K311</f>
        <v>194521.13</v>
      </c>
      <c r="AF311" s="329">
        <f t="shared" si="120"/>
        <v>436642.62</v>
      </c>
      <c r="AG311" s="401">
        <f t="shared" si="103"/>
        <v>262054.140000001</v>
      </c>
      <c r="AH311" s="439"/>
      <c r="AI311" s="400"/>
      <c r="AJ311" s="400"/>
      <c r="AK311" s="400"/>
      <c r="AL311" s="400"/>
      <c r="AM311" s="400"/>
      <c r="AN311" s="400"/>
      <c r="AO311" s="400"/>
      <c r="AP311" s="400"/>
      <c r="AQ311" s="400"/>
      <c r="AR311" s="400"/>
      <c r="AS311" s="400"/>
      <c r="AT311" s="400"/>
      <c r="AU311" s="400"/>
      <c r="AV311" s="400"/>
      <c r="AW311" s="400"/>
      <c r="AX311" s="400"/>
      <c r="AY311" s="400"/>
      <c r="AZ311" s="400"/>
      <c r="BA311" s="400"/>
      <c r="BB311" s="400"/>
      <c r="BC311" s="400"/>
    </row>
    <row r="312" s="366" customFormat="1" ht="15" customHeight="1" spans="1:55">
      <c r="A312" s="395">
        <v>43042</v>
      </c>
      <c r="B312" s="443" t="s">
        <v>1</v>
      </c>
      <c r="C312" s="377"/>
      <c r="D312" s="329"/>
      <c r="E312" s="329"/>
      <c r="F312" s="378"/>
      <c r="G312" s="329"/>
      <c r="H312" s="376"/>
      <c r="I312" s="376"/>
      <c r="J312" s="399">
        <f t="shared" si="98"/>
        <v>0</v>
      </c>
      <c r="K312" s="329"/>
      <c r="L312" s="329"/>
      <c r="M312" s="401">
        <f t="shared" si="100"/>
        <v>0</v>
      </c>
      <c r="N312" s="396">
        <f t="shared" si="118"/>
        <v>0</v>
      </c>
      <c r="O312" s="368">
        <f t="shared" si="118"/>
        <v>0</v>
      </c>
      <c r="P312" s="398">
        <f t="shared" si="118"/>
        <v>0</v>
      </c>
      <c r="Q312" s="414">
        <f t="shared" si="119"/>
        <v>18885074.22</v>
      </c>
      <c r="R312" s="402">
        <f t="shared" si="119"/>
        <v>12411110.8</v>
      </c>
      <c r="S312" s="415">
        <f t="shared" si="119"/>
        <v>32189402.91</v>
      </c>
      <c r="T312" s="416">
        <f>N312/'2018'!N312-1</f>
        <v>-1</v>
      </c>
      <c r="U312" s="417">
        <f>O312/'2018'!O312-1</f>
        <v>-1</v>
      </c>
      <c r="V312" s="417">
        <f>P312/'2018'!P312-1</f>
        <v>-1</v>
      </c>
      <c r="W312" s="417">
        <f>Q312/'2018'!Q312-1</f>
        <v>-0.00619629046849501</v>
      </c>
      <c r="X312" s="417">
        <f>R312/'2018'!R312-1</f>
        <v>-0.0125634289665588</v>
      </c>
      <c r="Y312" s="424">
        <f>S312/'2018'!S312-1</f>
        <v>-0.00925082648088582</v>
      </c>
      <c r="Z312" s="425"/>
      <c r="AA312" s="426">
        <f t="shared" si="99"/>
        <v>1888.507422</v>
      </c>
      <c r="AB312" s="427"/>
      <c r="AC312" s="401"/>
      <c r="AD312" s="427">
        <f t="shared" si="101"/>
        <v>19778292.11</v>
      </c>
      <c r="AE312" s="329">
        <f t="shared" si="120"/>
        <v>194521.13</v>
      </c>
      <c r="AF312" s="329">
        <f t="shared" si="120"/>
        <v>436642.62</v>
      </c>
      <c r="AG312" s="401">
        <f t="shared" si="103"/>
        <v>262054.140000001</v>
      </c>
      <c r="AH312" s="439"/>
      <c r="AI312" s="400"/>
      <c r="AJ312" s="400"/>
      <c r="AK312" s="400"/>
      <c r="AL312" s="400"/>
      <c r="AM312" s="400"/>
      <c r="AN312" s="400"/>
      <c r="AO312" s="400"/>
      <c r="AP312" s="400"/>
      <c r="AQ312" s="400"/>
      <c r="AR312" s="400"/>
      <c r="AS312" s="400"/>
      <c r="AT312" s="400"/>
      <c r="AU312" s="400"/>
      <c r="AV312" s="400"/>
      <c r="AW312" s="400"/>
      <c r="AX312" s="400"/>
      <c r="AY312" s="400"/>
      <c r="AZ312" s="400"/>
      <c r="BA312" s="400"/>
      <c r="BB312" s="400"/>
      <c r="BC312" s="400"/>
    </row>
    <row r="313" s="366" customFormat="1" ht="15" customHeight="1" spans="1:55">
      <c r="A313" s="395">
        <v>43043</v>
      </c>
      <c r="B313" s="443" t="s">
        <v>39</v>
      </c>
      <c r="C313" s="377"/>
      <c r="D313" s="329"/>
      <c r="E313" s="329"/>
      <c r="F313" s="378"/>
      <c r="G313" s="329"/>
      <c r="H313" s="376"/>
      <c r="I313" s="376"/>
      <c r="J313" s="399">
        <f t="shared" si="98"/>
        <v>0</v>
      </c>
      <c r="K313" s="329"/>
      <c r="L313" s="329"/>
      <c r="M313" s="401">
        <f t="shared" si="100"/>
        <v>0</v>
      </c>
      <c r="N313" s="396">
        <f t="shared" si="118"/>
        <v>0</v>
      </c>
      <c r="O313" s="368">
        <f t="shared" si="118"/>
        <v>0</v>
      </c>
      <c r="P313" s="398">
        <f t="shared" si="118"/>
        <v>0</v>
      </c>
      <c r="Q313" s="414">
        <f t="shared" si="119"/>
        <v>18885074.22</v>
      </c>
      <c r="R313" s="402">
        <f t="shared" si="119"/>
        <v>12411110.8</v>
      </c>
      <c r="S313" s="415">
        <f t="shared" si="119"/>
        <v>32189402.91</v>
      </c>
      <c r="T313" s="416">
        <f>N313/'2018'!N313-1</f>
        <v>-1</v>
      </c>
      <c r="U313" s="417">
        <f>O313/'2018'!O313-1</f>
        <v>-1</v>
      </c>
      <c r="V313" s="417">
        <f>P313/'2018'!P313-1</f>
        <v>-1</v>
      </c>
      <c r="W313" s="417">
        <f>Q313/'2018'!Q313-1</f>
        <v>-0.00820609728421051</v>
      </c>
      <c r="X313" s="417">
        <f>R313/'2018'!R313-1</f>
        <v>-0.0163411454112522</v>
      </c>
      <c r="Y313" s="424">
        <f>S313/'2018'!S313-1</f>
        <v>-0.012135946274305</v>
      </c>
      <c r="Z313" s="425"/>
      <c r="AA313" s="426">
        <f t="shared" si="99"/>
        <v>1888.507422</v>
      </c>
      <c r="AB313" s="427"/>
      <c r="AC313" s="401"/>
      <c r="AD313" s="427">
        <f t="shared" si="101"/>
        <v>19778292.11</v>
      </c>
      <c r="AE313" s="329">
        <f t="shared" si="120"/>
        <v>194521.13</v>
      </c>
      <c r="AF313" s="329">
        <f t="shared" si="120"/>
        <v>436642.62</v>
      </c>
      <c r="AG313" s="401">
        <f t="shared" si="103"/>
        <v>262054.140000001</v>
      </c>
      <c r="AH313" s="439"/>
      <c r="AI313" s="400"/>
      <c r="AJ313" s="400"/>
      <c r="AK313" s="400"/>
      <c r="AL313" s="400"/>
      <c r="AM313" s="400"/>
      <c r="AN313" s="400"/>
      <c r="AO313" s="400"/>
      <c r="AP313" s="400"/>
      <c r="AQ313" s="400"/>
      <c r="AR313" s="400"/>
      <c r="AS313" s="400"/>
      <c r="AT313" s="400"/>
      <c r="AU313" s="400"/>
      <c r="AV313" s="400"/>
      <c r="AW313" s="400"/>
      <c r="AX313" s="400"/>
      <c r="AY313" s="400"/>
      <c r="AZ313" s="400"/>
      <c r="BA313" s="400"/>
      <c r="BB313" s="400"/>
      <c r="BC313" s="400"/>
    </row>
    <row r="314" s="366" customFormat="1" ht="15" customHeight="1" spans="1:55">
      <c r="A314" s="395">
        <v>43044</v>
      </c>
      <c r="B314" s="443" t="s">
        <v>34</v>
      </c>
      <c r="C314" s="377"/>
      <c r="D314" s="329"/>
      <c r="E314" s="329"/>
      <c r="F314" s="378"/>
      <c r="G314" s="329"/>
      <c r="H314" s="376"/>
      <c r="I314" s="376"/>
      <c r="J314" s="399">
        <f t="shared" si="98"/>
        <v>0</v>
      </c>
      <c r="K314" s="329"/>
      <c r="L314" s="329"/>
      <c r="M314" s="401">
        <f t="shared" si="100"/>
        <v>0</v>
      </c>
      <c r="N314" s="396">
        <f t="shared" si="118"/>
        <v>0</v>
      </c>
      <c r="O314" s="368">
        <f t="shared" si="118"/>
        <v>0</v>
      </c>
      <c r="P314" s="398">
        <f t="shared" si="118"/>
        <v>0</v>
      </c>
      <c r="Q314" s="414">
        <f t="shared" si="119"/>
        <v>18885074.22</v>
      </c>
      <c r="R314" s="402">
        <f t="shared" si="119"/>
        <v>12411110.8</v>
      </c>
      <c r="S314" s="415">
        <f t="shared" si="119"/>
        <v>32189402.91</v>
      </c>
      <c r="T314" s="416">
        <f>N314/'2018'!N314-1</f>
        <v>-1</v>
      </c>
      <c r="U314" s="417">
        <f>O314/'2018'!O314-1</f>
        <v>-1</v>
      </c>
      <c r="V314" s="417">
        <f>P314/'2018'!P314-1</f>
        <v>-1</v>
      </c>
      <c r="W314" s="417">
        <f>Q314/'2018'!Q314-1</f>
        <v>-0.0105256913461261</v>
      </c>
      <c r="X314" s="417">
        <f>R314/'2018'!R314-1</f>
        <v>-0.0201227148164587</v>
      </c>
      <c r="Y314" s="424">
        <f>S314/'2018'!S314-1</f>
        <v>-0.0151847017675735</v>
      </c>
      <c r="Z314" s="425"/>
      <c r="AA314" s="426">
        <f t="shared" si="99"/>
        <v>1888.507422</v>
      </c>
      <c r="AB314" s="427"/>
      <c r="AC314" s="401"/>
      <c r="AD314" s="427">
        <f t="shared" si="101"/>
        <v>19778292.11</v>
      </c>
      <c r="AE314" s="329">
        <f t="shared" si="120"/>
        <v>194521.13</v>
      </c>
      <c r="AF314" s="329">
        <f t="shared" si="120"/>
        <v>436642.62</v>
      </c>
      <c r="AG314" s="401">
        <f t="shared" si="103"/>
        <v>262054.140000001</v>
      </c>
      <c r="AH314" s="439"/>
      <c r="AI314" s="400"/>
      <c r="AJ314" s="400"/>
      <c r="AK314" s="400"/>
      <c r="AL314" s="400"/>
      <c r="AM314" s="400"/>
      <c r="AN314" s="400"/>
      <c r="AO314" s="400"/>
      <c r="AP314" s="400"/>
      <c r="AQ314" s="400"/>
      <c r="AR314" s="400"/>
      <c r="AS314" s="400"/>
      <c r="AT314" s="400"/>
      <c r="AU314" s="400"/>
      <c r="AV314" s="400"/>
      <c r="AW314" s="400"/>
      <c r="AX314" s="400"/>
      <c r="AY314" s="400"/>
      <c r="AZ314" s="400"/>
      <c r="BA314" s="400"/>
      <c r="BB314" s="400"/>
      <c r="BC314" s="400"/>
    </row>
    <row r="315" s="366" customFormat="1" ht="15" customHeight="1" spans="1:55">
      <c r="A315" s="395">
        <v>43045</v>
      </c>
      <c r="B315" s="443" t="s">
        <v>35</v>
      </c>
      <c r="C315" s="377"/>
      <c r="D315" s="329"/>
      <c r="E315" s="329"/>
      <c r="F315" s="378"/>
      <c r="G315" s="329"/>
      <c r="H315" s="376"/>
      <c r="I315" s="376"/>
      <c r="J315" s="399">
        <f t="shared" si="98"/>
        <v>0</v>
      </c>
      <c r="K315" s="329"/>
      <c r="L315" s="329"/>
      <c r="M315" s="401">
        <f t="shared" si="100"/>
        <v>0</v>
      </c>
      <c r="N315" s="396">
        <f t="shared" si="118"/>
        <v>0</v>
      </c>
      <c r="O315" s="368">
        <f t="shared" si="118"/>
        <v>0</v>
      </c>
      <c r="P315" s="398">
        <f t="shared" si="118"/>
        <v>0</v>
      </c>
      <c r="Q315" s="414">
        <f t="shared" si="119"/>
        <v>18885074.22</v>
      </c>
      <c r="R315" s="402">
        <f t="shared" si="119"/>
        <v>12411110.8</v>
      </c>
      <c r="S315" s="415">
        <f t="shared" si="119"/>
        <v>32189402.91</v>
      </c>
      <c r="T315" s="416">
        <f>N315/'2018'!N315-1</f>
        <v>-1</v>
      </c>
      <c r="U315" s="417">
        <f>O315/'2018'!O315-1</f>
        <v>-1</v>
      </c>
      <c r="V315" s="417">
        <f>P315/'2018'!P315-1</f>
        <v>-1</v>
      </c>
      <c r="W315" s="417">
        <f>Q315/'2018'!Q315-1</f>
        <v>-0.0128827055828127</v>
      </c>
      <c r="X315" s="417">
        <f>R315/'2018'!R315-1</f>
        <v>-0.0239685883479609</v>
      </c>
      <c r="Y315" s="424">
        <f>S315/'2018'!S315-1</f>
        <v>-0.0182776067697034</v>
      </c>
      <c r="Z315" s="425"/>
      <c r="AA315" s="426">
        <f t="shared" si="99"/>
        <v>1888.507422</v>
      </c>
      <c r="AB315" s="427"/>
      <c r="AC315" s="401"/>
      <c r="AD315" s="427">
        <f t="shared" si="101"/>
        <v>19778292.11</v>
      </c>
      <c r="AE315" s="329">
        <f t="shared" si="120"/>
        <v>194521.13</v>
      </c>
      <c r="AF315" s="329">
        <f t="shared" si="120"/>
        <v>436642.62</v>
      </c>
      <c r="AG315" s="401">
        <f t="shared" si="103"/>
        <v>262054.140000001</v>
      </c>
      <c r="AH315" s="439"/>
      <c r="AI315" s="400"/>
      <c r="AJ315" s="400"/>
      <c r="AK315" s="400"/>
      <c r="AL315" s="400"/>
      <c r="AM315" s="400"/>
      <c r="AN315" s="400"/>
      <c r="AO315" s="400"/>
      <c r="AP315" s="400"/>
      <c r="AQ315" s="400"/>
      <c r="AR315" s="400"/>
      <c r="AS315" s="400"/>
      <c r="AT315" s="400"/>
      <c r="AU315" s="400"/>
      <c r="AV315" s="400"/>
      <c r="AW315" s="400"/>
      <c r="AX315" s="400"/>
      <c r="AY315" s="400"/>
      <c r="AZ315" s="400"/>
      <c r="BA315" s="400"/>
      <c r="BB315" s="400"/>
      <c r="BC315" s="400"/>
    </row>
    <row r="316" s="366" customFormat="1" ht="15" customHeight="1" spans="1:55">
      <c r="A316" s="395">
        <v>43046</v>
      </c>
      <c r="B316" s="191" t="s">
        <v>36</v>
      </c>
      <c r="C316" s="377"/>
      <c r="D316" s="329"/>
      <c r="E316" s="329"/>
      <c r="F316" s="378"/>
      <c r="G316" s="329"/>
      <c r="H316" s="376"/>
      <c r="I316" s="376"/>
      <c r="J316" s="399">
        <f t="shared" si="98"/>
        <v>0</v>
      </c>
      <c r="K316" s="329"/>
      <c r="L316" s="329"/>
      <c r="M316" s="401">
        <f t="shared" si="100"/>
        <v>0</v>
      </c>
      <c r="N316" s="396">
        <f t="shared" si="118"/>
        <v>0</v>
      </c>
      <c r="O316" s="368">
        <f t="shared" si="118"/>
        <v>0</v>
      </c>
      <c r="P316" s="398">
        <f t="shared" si="118"/>
        <v>0</v>
      </c>
      <c r="Q316" s="414">
        <f t="shared" si="119"/>
        <v>18885074.22</v>
      </c>
      <c r="R316" s="402">
        <f t="shared" si="119"/>
        <v>12411110.8</v>
      </c>
      <c r="S316" s="415">
        <f t="shared" si="119"/>
        <v>32189402.91</v>
      </c>
      <c r="T316" s="416">
        <f>N316/'2018'!N316-1</f>
        <v>-1</v>
      </c>
      <c r="U316" s="417">
        <f>O316/'2018'!O316-1</f>
        <v>-1</v>
      </c>
      <c r="V316" s="417">
        <f>P316/'2018'!P316-1</f>
        <v>-1</v>
      </c>
      <c r="W316" s="417">
        <f>Q316/'2018'!Q316-1</f>
        <v>-0.0152660023674966</v>
      </c>
      <c r="X316" s="417">
        <f>R316/'2018'!R316-1</f>
        <v>-0.0277613907260718</v>
      </c>
      <c r="Y316" s="424">
        <f>S316/'2018'!S316-1</f>
        <v>-0.0213723891507651</v>
      </c>
      <c r="Z316" s="425"/>
      <c r="AA316" s="426">
        <f t="shared" si="99"/>
        <v>1888.507422</v>
      </c>
      <c r="AB316" s="427"/>
      <c r="AC316" s="401"/>
      <c r="AD316" s="427">
        <f t="shared" si="101"/>
        <v>19778292.11</v>
      </c>
      <c r="AE316" s="329">
        <f t="shared" si="120"/>
        <v>194521.13</v>
      </c>
      <c r="AF316" s="329">
        <f t="shared" si="120"/>
        <v>436642.62</v>
      </c>
      <c r="AG316" s="401">
        <f t="shared" si="103"/>
        <v>262054.140000001</v>
      </c>
      <c r="AH316" s="439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</row>
    <row r="317" s="366" customFormat="1" ht="15" customHeight="1" spans="1:55">
      <c r="A317" s="395">
        <v>43047</v>
      </c>
      <c r="B317" s="443" t="s">
        <v>37</v>
      </c>
      <c r="C317" s="377"/>
      <c r="D317" s="329"/>
      <c r="E317" s="329"/>
      <c r="F317" s="378"/>
      <c r="G317" s="329"/>
      <c r="H317" s="376"/>
      <c r="I317" s="376"/>
      <c r="J317" s="399">
        <f t="shared" si="98"/>
        <v>0</v>
      </c>
      <c r="K317" s="329"/>
      <c r="L317" s="329"/>
      <c r="M317" s="401">
        <f t="shared" si="100"/>
        <v>0</v>
      </c>
      <c r="N317" s="396">
        <f>C317+N316</f>
        <v>0</v>
      </c>
      <c r="O317" s="368">
        <f t="shared" si="118"/>
        <v>0</v>
      </c>
      <c r="P317" s="398">
        <f t="shared" si="118"/>
        <v>0</v>
      </c>
      <c r="Q317" s="414">
        <f t="shared" si="119"/>
        <v>18885074.22</v>
      </c>
      <c r="R317" s="402">
        <f t="shared" si="119"/>
        <v>12411110.8</v>
      </c>
      <c r="S317" s="415">
        <f t="shared" si="119"/>
        <v>32189402.91</v>
      </c>
      <c r="T317" s="416">
        <f>N317/'2018'!N317-1</f>
        <v>-1</v>
      </c>
      <c r="U317" s="417">
        <f>O317/'2018'!O317-1</f>
        <v>-1</v>
      </c>
      <c r="V317" s="417">
        <f>P317/'2018'!P317-1</f>
        <v>-1</v>
      </c>
      <c r="W317" s="417">
        <f>Q317/'2018'!Q317-1</f>
        <v>-0.0176307153925424</v>
      </c>
      <c r="X317" s="417">
        <f>R317/'2018'!R317-1</f>
        <v>-0.0315515820627507</v>
      </c>
      <c r="Y317" s="424">
        <f>S317/'2018'!S317-1</f>
        <v>-0.0244597835164098</v>
      </c>
      <c r="Z317" s="425"/>
      <c r="AA317" s="426">
        <f t="shared" si="99"/>
        <v>1888.507422</v>
      </c>
      <c r="AB317" s="427"/>
      <c r="AC317" s="401"/>
      <c r="AD317" s="427">
        <f t="shared" si="101"/>
        <v>19778292.11</v>
      </c>
      <c r="AE317" s="329">
        <f t="shared" si="120"/>
        <v>194521.13</v>
      </c>
      <c r="AF317" s="329">
        <f t="shared" si="120"/>
        <v>436642.62</v>
      </c>
      <c r="AG317" s="401">
        <f t="shared" si="103"/>
        <v>262054.140000001</v>
      </c>
      <c r="AH317" s="439"/>
      <c r="AI317" s="400"/>
      <c r="AJ317" s="400"/>
      <c r="AK317" s="400"/>
      <c r="AL317" s="400"/>
      <c r="AM317" s="400"/>
      <c r="AN317" s="400"/>
      <c r="AO317" s="400"/>
      <c r="AP317" s="400"/>
      <c r="AQ317" s="400"/>
      <c r="AR317" s="400"/>
      <c r="AS317" s="400"/>
      <c r="AT317" s="400"/>
      <c r="AU317" s="400"/>
      <c r="AV317" s="400"/>
      <c r="AW317" s="400"/>
      <c r="AX317" s="400"/>
      <c r="AY317" s="400"/>
      <c r="AZ317" s="400"/>
      <c r="BA317" s="400"/>
      <c r="BB317" s="400"/>
      <c r="BC317" s="400"/>
    </row>
    <row r="318" s="366" customFormat="1" ht="15" customHeight="1" spans="1:55">
      <c r="A318" s="395">
        <v>43048</v>
      </c>
      <c r="B318" s="443" t="s">
        <v>38</v>
      </c>
      <c r="C318" s="377"/>
      <c r="D318" s="329"/>
      <c r="E318" s="329"/>
      <c r="F318" s="378"/>
      <c r="G318" s="329"/>
      <c r="H318" s="376"/>
      <c r="I318" s="376"/>
      <c r="J318" s="399">
        <f t="shared" si="98"/>
        <v>0</v>
      </c>
      <c r="K318" s="329"/>
      <c r="L318" s="329"/>
      <c r="M318" s="401">
        <f t="shared" si="100"/>
        <v>0</v>
      </c>
      <c r="N318" s="396">
        <f>C318+N317</f>
        <v>0</v>
      </c>
      <c r="O318" s="368">
        <f t="shared" si="118"/>
        <v>0</v>
      </c>
      <c r="P318" s="398">
        <f t="shared" si="118"/>
        <v>0</v>
      </c>
      <c r="Q318" s="414">
        <f>Q$309+N318</f>
        <v>18885074.22</v>
      </c>
      <c r="R318" s="402">
        <f t="shared" si="119"/>
        <v>12411110.8</v>
      </c>
      <c r="S318" s="415">
        <f t="shared" si="119"/>
        <v>32189402.91</v>
      </c>
      <c r="T318" s="416">
        <f>N318/'2018'!N318-1</f>
        <v>-1</v>
      </c>
      <c r="U318" s="417">
        <f>O318/'2018'!O318-1</f>
        <v>-1</v>
      </c>
      <c r="V318" s="417">
        <f>P318/'2018'!P318-1</f>
        <v>-1</v>
      </c>
      <c r="W318" s="417">
        <f>Q318/'2018'!Q318-1</f>
        <v>-0.0198656391115082</v>
      </c>
      <c r="X318" s="417">
        <f>R318/'2018'!R318-1</f>
        <v>-0.0352745437536827</v>
      </c>
      <c r="Y318" s="424">
        <f>S318/'2018'!S318-1</f>
        <v>-0.0274566556817012</v>
      </c>
      <c r="Z318" s="425"/>
      <c r="AA318" s="426">
        <f t="shared" si="99"/>
        <v>1888.507422</v>
      </c>
      <c r="AB318" s="427"/>
      <c r="AC318" s="401"/>
      <c r="AD318" s="427">
        <f t="shared" si="101"/>
        <v>19778292.11</v>
      </c>
      <c r="AE318" s="329">
        <f t="shared" si="120"/>
        <v>194521.13</v>
      </c>
      <c r="AF318" s="329">
        <f t="shared" si="120"/>
        <v>436642.62</v>
      </c>
      <c r="AG318" s="401">
        <f t="shared" si="103"/>
        <v>262054.140000001</v>
      </c>
      <c r="AH318" s="439"/>
      <c r="AI318" s="400"/>
      <c r="AJ318" s="400"/>
      <c r="AK318" s="400"/>
      <c r="AL318" s="400"/>
      <c r="AM318" s="400"/>
      <c r="AN318" s="400"/>
      <c r="AO318" s="400"/>
      <c r="AP318" s="400"/>
      <c r="AQ318" s="400"/>
      <c r="AR318" s="400"/>
      <c r="AS318" s="400"/>
      <c r="AT318" s="400"/>
      <c r="AU318" s="400"/>
      <c r="AV318" s="400"/>
      <c r="AW318" s="400"/>
      <c r="AX318" s="400"/>
      <c r="AY318" s="400"/>
      <c r="AZ318" s="400"/>
      <c r="BA318" s="400"/>
      <c r="BB318" s="400"/>
      <c r="BC318" s="400"/>
    </row>
    <row r="319" s="366" customFormat="1" ht="15" customHeight="1" spans="1:55">
      <c r="A319" s="395">
        <v>43049</v>
      </c>
      <c r="B319" s="443" t="s">
        <v>1</v>
      </c>
      <c r="C319" s="377"/>
      <c r="D319" s="329"/>
      <c r="E319" s="329"/>
      <c r="F319" s="378"/>
      <c r="G319" s="329"/>
      <c r="H319" s="376"/>
      <c r="I319" s="376"/>
      <c r="J319" s="399">
        <f t="shared" si="98"/>
        <v>0</v>
      </c>
      <c r="K319" s="329"/>
      <c r="L319" s="329"/>
      <c r="M319" s="401">
        <f t="shared" si="100"/>
        <v>0</v>
      </c>
      <c r="N319" s="396">
        <f t="shared" si="118"/>
        <v>0</v>
      </c>
      <c r="O319" s="368">
        <f t="shared" si="118"/>
        <v>0</v>
      </c>
      <c r="P319" s="398">
        <f t="shared" si="118"/>
        <v>0</v>
      </c>
      <c r="Q319" s="414">
        <f t="shared" si="119"/>
        <v>18885074.22</v>
      </c>
      <c r="R319" s="402">
        <f t="shared" si="119"/>
        <v>12411110.8</v>
      </c>
      <c r="S319" s="415">
        <f t="shared" si="119"/>
        <v>32189402.91</v>
      </c>
      <c r="T319" s="416">
        <f>N319/'2018'!N319-1</f>
        <v>-1</v>
      </c>
      <c r="U319" s="417">
        <f>O319/'2018'!O319-1</f>
        <v>-1</v>
      </c>
      <c r="V319" s="417">
        <f>P319/'2018'!P319-1</f>
        <v>-1</v>
      </c>
      <c r="W319" s="417">
        <f>Q319/'2018'!Q319-1</f>
        <v>-0.0220901636657956</v>
      </c>
      <c r="X319" s="417">
        <f>R319/'2018'!R319-1</f>
        <v>-0.0388913692719858</v>
      </c>
      <c r="Y319" s="424">
        <f>S319/'2018'!S319-1</f>
        <v>-0.0303927362609192</v>
      </c>
      <c r="Z319" s="425"/>
      <c r="AA319" s="426">
        <f t="shared" si="99"/>
        <v>1888.507422</v>
      </c>
      <c r="AB319" s="427"/>
      <c r="AC319" s="401"/>
      <c r="AD319" s="427">
        <f t="shared" si="101"/>
        <v>19778292.11</v>
      </c>
      <c r="AE319" s="329">
        <f t="shared" si="120"/>
        <v>194521.13</v>
      </c>
      <c r="AF319" s="329">
        <f t="shared" si="120"/>
        <v>436642.62</v>
      </c>
      <c r="AG319" s="401">
        <f t="shared" si="103"/>
        <v>262054.140000001</v>
      </c>
      <c r="AH319" s="439"/>
      <c r="AI319" s="400"/>
      <c r="AJ319" s="400"/>
      <c r="AK319" s="400"/>
      <c r="AL319" s="400"/>
      <c r="AM319" s="400"/>
      <c r="AN319" s="400"/>
      <c r="AO319" s="400"/>
      <c r="AP319" s="400"/>
      <c r="AQ319" s="400"/>
      <c r="AR319" s="400"/>
      <c r="AS319" s="400"/>
      <c r="AT319" s="400"/>
      <c r="AU319" s="400"/>
      <c r="AV319" s="400"/>
      <c r="AW319" s="400"/>
      <c r="AX319" s="400"/>
      <c r="AY319" s="400"/>
      <c r="AZ319" s="400"/>
      <c r="BA319" s="400"/>
      <c r="BB319" s="400"/>
      <c r="BC319" s="400"/>
    </row>
    <row r="320" s="366" customFormat="1" ht="15" customHeight="1" spans="1:55">
      <c r="A320" s="395">
        <v>43050</v>
      </c>
      <c r="B320" s="443" t="s">
        <v>39</v>
      </c>
      <c r="C320" s="377"/>
      <c r="D320" s="329"/>
      <c r="E320" s="329"/>
      <c r="F320" s="378"/>
      <c r="G320" s="329"/>
      <c r="H320" s="376"/>
      <c r="I320" s="376"/>
      <c r="J320" s="399">
        <f t="shared" si="98"/>
        <v>0</v>
      </c>
      <c r="K320" s="329"/>
      <c r="L320" s="329"/>
      <c r="M320" s="401">
        <f t="shared" si="100"/>
        <v>0</v>
      </c>
      <c r="N320" s="396">
        <f t="shared" si="118"/>
        <v>0</v>
      </c>
      <c r="O320" s="368">
        <f t="shared" si="118"/>
        <v>0</v>
      </c>
      <c r="P320" s="398">
        <f t="shared" si="118"/>
        <v>0</v>
      </c>
      <c r="Q320" s="414">
        <f t="shared" si="119"/>
        <v>18885074.22</v>
      </c>
      <c r="R320" s="402">
        <f t="shared" si="119"/>
        <v>12411110.8</v>
      </c>
      <c r="S320" s="415">
        <f t="shared" si="119"/>
        <v>32189402.91</v>
      </c>
      <c r="T320" s="416">
        <f>N320/'2018'!N320-1</f>
        <v>-1</v>
      </c>
      <c r="U320" s="417">
        <f>O320/'2018'!O320-1</f>
        <v>-1</v>
      </c>
      <c r="V320" s="417">
        <f>P320/'2018'!P320-1</f>
        <v>-1</v>
      </c>
      <c r="W320" s="417">
        <f>Q320/'2018'!Q320-1</f>
        <v>-0.0241343518962617</v>
      </c>
      <c r="X320" s="417">
        <f>R320/'2018'!R320-1</f>
        <v>-0.0423797386367384</v>
      </c>
      <c r="Y320" s="424">
        <f>S320/'2018'!S320-1</f>
        <v>-0.0331653561789939</v>
      </c>
      <c r="Z320" s="425"/>
      <c r="AA320" s="426">
        <f t="shared" si="99"/>
        <v>1888.507422</v>
      </c>
      <c r="AB320" s="427"/>
      <c r="AC320" s="401"/>
      <c r="AD320" s="427">
        <f t="shared" si="101"/>
        <v>19778292.11</v>
      </c>
      <c r="AE320" s="329">
        <f t="shared" si="120"/>
        <v>194521.13</v>
      </c>
      <c r="AF320" s="329">
        <f t="shared" si="120"/>
        <v>436642.62</v>
      </c>
      <c r="AG320" s="401">
        <f t="shared" si="103"/>
        <v>262054.140000001</v>
      </c>
      <c r="AH320" s="439"/>
      <c r="AI320" s="400"/>
      <c r="AJ320" s="400"/>
      <c r="AK320" s="400"/>
      <c r="AL320" s="400"/>
      <c r="AM320" s="400"/>
      <c r="AN320" s="400"/>
      <c r="AO320" s="400"/>
      <c r="AP320" s="400"/>
      <c r="AQ320" s="400"/>
      <c r="AR320" s="400"/>
      <c r="AS320" s="400"/>
      <c r="AT320" s="400"/>
      <c r="AU320" s="400"/>
      <c r="AV320" s="400"/>
      <c r="AW320" s="400"/>
      <c r="AX320" s="400"/>
      <c r="AY320" s="400"/>
      <c r="AZ320" s="400"/>
      <c r="BA320" s="400"/>
      <c r="BB320" s="400"/>
      <c r="BC320" s="400"/>
    </row>
    <row r="321" s="366" customFormat="1" spans="1:55">
      <c r="A321" s="395">
        <v>43051</v>
      </c>
      <c r="B321" s="443" t="s">
        <v>34</v>
      </c>
      <c r="C321" s="377"/>
      <c r="D321" s="378"/>
      <c r="E321" s="329"/>
      <c r="F321" s="452"/>
      <c r="G321" s="329"/>
      <c r="H321" s="376"/>
      <c r="I321" s="376"/>
      <c r="J321" s="399">
        <f t="shared" si="98"/>
        <v>0</v>
      </c>
      <c r="K321" s="329"/>
      <c r="L321" s="329"/>
      <c r="M321" s="401">
        <f t="shared" si="100"/>
        <v>0</v>
      </c>
      <c r="N321" s="396">
        <f t="shared" si="118"/>
        <v>0</v>
      </c>
      <c r="O321" s="368">
        <f t="shared" si="118"/>
        <v>0</v>
      </c>
      <c r="P321" s="398">
        <f>E321+P320</f>
        <v>0</v>
      </c>
      <c r="Q321" s="414">
        <f t="shared" si="119"/>
        <v>18885074.22</v>
      </c>
      <c r="R321" s="402">
        <f t="shared" si="119"/>
        <v>12411110.8</v>
      </c>
      <c r="S321" s="415">
        <f t="shared" si="119"/>
        <v>32189402.91</v>
      </c>
      <c r="T321" s="416">
        <f>N321/'2018'!N321-1</f>
        <v>-1</v>
      </c>
      <c r="U321" s="417">
        <f>O321/'2018'!O321-1</f>
        <v>-1</v>
      </c>
      <c r="V321" s="417">
        <f>P321/'2018'!P321-1</f>
        <v>-1</v>
      </c>
      <c r="W321" s="417">
        <f>Q321/'2018'!Q321-1</f>
        <v>-0.0265506556444999</v>
      </c>
      <c r="X321" s="417">
        <f>R321/'2018'!R321-1</f>
        <v>-0.0458617291552593</v>
      </c>
      <c r="Y321" s="424">
        <f>S321/'2018'!S321-1</f>
        <v>-0.0361384998920529</v>
      </c>
      <c r="Z321" s="425"/>
      <c r="AA321" s="426">
        <f t="shared" si="99"/>
        <v>1888.507422</v>
      </c>
      <c r="AB321" s="427"/>
      <c r="AC321" s="401"/>
      <c r="AD321" s="427">
        <f t="shared" si="101"/>
        <v>19778292.11</v>
      </c>
      <c r="AE321" s="329">
        <f t="shared" si="120"/>
        <v>194521.13</v>
      </c>
      <c r="AF321" s="329">
        <f t="shared" si="120"/>
        <v>436642.62</v>
      </c>
      <c r="AG321" s="401">
        <f t="shared" si="103"/>
        <v>262054.140000001</v>
      </c>
      <c r="AH321" s="439"/>
      <c r="AI321" s="400"/>
      <c r="AJ321" s="400"/>
      <c r="AK321" s="400"/>
      <c r="AL321" s="400"/>
      <c r="AM321" s="400"/>
      <c r="AN321" s="400"/>
      <c r="AO321" s="400"/>
      <c r="AP321" s="400"/>
      <c r="AQ321" s="400"/>
      <c r="AR321" s="400"/>
      <c r="AS321" s="400"/>
      <c r="AT321" s="400"/>
      <c r="AU321" s="400"/>
      <c r="AV321" s="400"/>
      <c r="AW321" s="400"/>
      <c r="AX321" s="400"/>
      <c r="AY321" s="400"/>
      <c r="AZ321" s="400"/>
      <c r="BA321" s="400"/>
      <c r="BB321" s="400"/>
      <c r="BC321" s="400"/>
    </row>
    <row r="322" s="366" customFormat="1" spans="1:55">
      <c r="A322" s="395">
        <v>43052</v>
      </c>
      <c r="B322" s="443" t="s">
        <v>35</v>
      </c>
      <c r="C322" s="377"/>
      <c r="E322" s="329"/>
      <c r="F322" s="378"/>
      <c r="G322" s="329"/>
      <c r="H322" s="376"/>
      <c r="I322" s="376"/>
      <c r="J322" s="399">
        <f t="shared" si="98"/>
        <v>0</v>
      </c>
      <c r="K322" s="329"/>
      <c r="L322" s="329"/>
      <c r="M322" s="401">
        <f t="shared" si="100"/>
        <v>0</v>
      </c>
      <c r="N322" s="396">
        <f t="shared" si="118"/>
        <v>0</v>
      </c>
      <c r="O322" s="368">
        <f t="shared" si="118"/>
        <v>0</v>
      </c>
      <c r="P322" s="398">
        <f t="shared" si="118"/>
        <v>0</v>
      </c>
      <c r="Q322" s="414">
        <f t="shared" si="119"/>
        <v>18885074.22</v>
      </c>
      <c r="R322" s="402">
        <f t="shared" si="119"/>
        <v>12411110.8</v>
      </c>
      <c r="S322" s="415">
        <f t="shared" si="119"/>
        <v>32189402.91</v>
      </c>
      <c r="T322" s="416">
        <f>N322/'2018'!N322-1</f>
        <v>-1</v>
      </c>
      <c r="U322" s="417">
        <f>O322/'2018'!O322-1</f>
        <v>-1</v>
      </c>
      <c r="V322" s="417">
        <f>P322/'2018'!P322-1</f>
        <v>-1</v>
      </c>
      <c r="W322" s="417">
        <f>Q322/'2018'!Q322-1</f>
        <v>-0.0286710890903583</v>
      </c>
      <c r="X322" s="417">
        <f>R322/'2018'!R322-1</f>
        <v>-0.049657716734186</v>
      </c>
      <c r="Y322" s="424">
        <f>S322/'2018'!S322-1</f>
        <v>-0.039084607781858</v>
      </c>
      <c r="Z322" s="425"/>
      <c r="AA322" s="426">
        <f t="shared" si="99"/>
        <v>1888.507422</v>
      </c>
      <c r="AB322" s="427"/>
      <c r="AC322" s="401"/>
      <c r="AD322" s="427">
        <f t="shared" si="101"/>
        <v>19778292.11</v>
      </c>
      <c r="AE322" s="329">
        <f t="shared" si="120"/>
        <v>194521.13</v>
      </c>
      <c r="AF322" s="329">
        <f t="shared" si="120"/>
        <v>436642.62</v>
      </c>
      <c r="AG322" s="401">
        <f t="shared" si="103"/>
        <v>262054.140000001</v>
      </c>
      <c r="AH322" s="439"/>
      <c r="AI322" s="400"/>
      <c r="AJ322" s="400"/>
      <c r="AK322" s="400"/>
      <c r="AL322" s="400"/>
      <c r="AM322" s="400"/>
      <c r="AN322" s="400"/>
      <c r="AO322" s="400"/>
      <c r="AP322" s="400"/>
      <c r="AQ322" s="400"/>
      <c r="AR322" s="400"/>
      <c r="AS322" s="400"/>
      <c r="AT322" s="400"/>
      <c r="AU322" s="400"/>
      <c r="AV322" s="400"/>
      <c r="AW322" s="400"/>
      <c r="AX322" s="400"/>
      <c r="AY322" s="400"/>
      <c r="AZ322" s="400"/>
      <c r="BA322" s="400"/>
      <c r="BB322" s="400"/>
      <c r="BC322" s="400"/>
    </row>
    <row r="323" s="366" customFormat="1" spans="1:55">
      <c r="A323" s="395">
        <v>43053</v>
      </c>
      <c r="B323" s="191" t="s">
        <v>36</v>
      </c>
      <c r="C323" s="377"/>
      <c r="D323" s="329"/>
      <c r="E323" s="329"/>
      <c r="F323" s="378"/>
      <c r="G323" s="329"/>
      <c r="H323" s="376"/>
      <c r="I323" s="376"/>
      <c r="J323" s="399">
        <f t="shared" si="98"/>
        <v>0</v>
      </c>
      <c r="K323" s="329"/>
      <c r="L323" s="329"/>
      <c r="M323" s="401">
        <f t="shared" si="100"/>
        <v>0</v>
      </c>
      <c r="N323" s="396">
        <f t="shared" si="118"/>
        <v>0</v>
      </c>
      <c r="O323" s="368">
        <f t="shared" si="118"/>
        <v>0</v>
      </c>
      <c r="P323" s="398">
        <f t="shared" si="118"/>
        <v>0</v>
      </c>
      <c r="Q323" s="414">
        <f t="shared" si="119"/>
        <v>18885074.22</v>
      </c>
      <c r="R323" s="402">
        <f t="shared" si="119"/>
        <v>12411110.8</v>
      </c>
      <c r="S323" s="415">
        <f t="shared" si="119"/>
        <v>32189402.91</v>
      </c>
      <c r="T323" s="416">
        <f>N323/'2018'!N323-1</f>
        <v>-1</v>
      </c>
      <c r="U323" s="417">
        <f>O323/'2018'!O323-1</f>
        <v>-1</v>
      </c>
      <c r="V323" s="417">
        <f>P323/'2018'!P323-1</f>
        <v>-1</v>
      </c>
      <c r="W323" s="417">
        <f>Q323/'2018'!Q323-1</f>
        <v>-0.0309024668452408</v>
      </c>
      <c r="X323" s="417">
        <f>R323/'2018'!R323-1</f>
        <v>-0.0533944524940664</v>
      </c>
      <c r="Y323" s="424">
        <f>S323/'2018'!S323-1</f>
        <v>-0.0420607700595039</v>
      </c>
      <c r="Z323" s="425"/>
      <c r="AA323" s="426">
        <f t="shared" si="99"/>
        <v>1888.507422</v>
      </c>
      <c r="AB323" s="427"/>
      <c r="AC323" s="401"/>
      <c r="AD323" s="427">
        <f t="shared" si="101"/>
        <v>19778292.11</v>
      </c>
      <c r="AE323" s="329">
        <f t="shared" si="120"/>
        <v>194521.13</v>
      </c>
      <c r="AF323" s="329">
        <f t="shared" si="120"/>
        <v>436642.62</v>
      </c>
      <c r="AG323" s="401">
        <f t="shared" si="103"/>
        <v>262054.140000001</v>
      </c>
      <c r="AH323" s="439"/>
      <c r="AI323" s="400"/>
      <c r="AJ323" s="400"/>
      <c r="AK323" s="400"/>
      <c r="AL323" s="400"/>
      <c r="AM323" s="400"/>
      <c r="AN323" s="400"/>
      <c r="AO323" s="400"/>
      <c r="AP323" s="400"/>
      <c r="AQ323" s="400"/>
      <c r="AR323" s="400"/>
      <c r="AS323" s="400"/>
      <c r="AT323" s="400"/>
      <c r="AU323" s="400"/>
      <c r="AV323" s="400"/>
      <c r="AW323" s="400"/>
      <c r="AX323" s="400"/>
      <c r="AY323" s="400"/>
      <c r="AZ323" s="400"/>
      <c r="BA323" s="400"/>
      <c r="BB323" s="400"/>
      <c r="BC323" s="400"/>
    </row>
    <row r="324" s="366" customFormat="1" spans="1:55">
      <c r="A324" s="395">
        <v>43054</v>
      </c>
      <c r="B324" s="443" t="s">
        <v>37</v>
      </c>
      <c r="C324" s="377"/>
      <c r="D324" s="329"/>
      <c r="E324" s="329"/>
      <c r="F324" s="378"/>
      <c r="G324" s="329"/>
      <c r="H324" s="376"/>
      <c r="I324" s="376"/>
      <c r="J324" s="399">
        <f t="shared" si="98"/>
        <v>0</v>
      </c>
      <c r="K324" s="329"/>
      <c r="L324" s="329"/>
      <c r="M324" s="401">
        <f t="shared" si="100"/>
        <v>0</v>
      </c>
      <c r="N324" s="396">
        <f t="shared" si="118"/>
        <v>0</v>
      </c>
      <c r="O324" s="368">
        <f t="shared" si="118"/>
        <v>0</v>
      </c>
      <c r="P324" s="398">
        <f t="shared" si="118"/>
        <v>0</v>
      </c>
      <c r="Q324" s="414">
        <f t="shared" si="119"/>
        <v>18885074.22</v>
      </c>
      <c r="R324" s="402">
        <f t="shared" si="119"/>
        <v>12411110.8</v>
      </c>
      <c r="S324" s="415">
        <f t="shared" si="119"/>
        <v>32189402.91</v>
      </c>
      <c r="T324" s="416">
        <f>N324/'2018'!N324-1</f>
        <v>-1</v>
      </c>
      <c r="U324" s="417">
        <f>O324/'2018'!O324-1</f>
        <v>-1</v>
      </c>
      <c r="V324" s="417">
        <f>P324/'2018'!P324-1</f>
        <v>-1</v>
      </c>
      <c r="W324" s="417">
        <f>Q324/'2018'!Q324-1</f>
        <v>-0.0331565833103745</v>
      </c>
      <c r="X324" s="417">
        <f>R324/'2018'!R324-1</f>
        <v>-0.0570961153496878</v>
      </c>
      <c r="Y324" s="424">
        <f>S324/'2018'!S324-1</f>
        <v>-0.0450276764375237</v>
      </c>
      <c r="Z324" s="425"/>
      <c r="AA324" s="426">
        <f t="shared" si="99"/>
        <v>1888.507422</v>
      </c>
      <c r="AB324" s="427"/>
      <c r="AC324" s="401"/>
      <c r="AD324" s="427">
        <f t="shared" si="101"/>
        <v>19778292.11</v>
      </c>
      <c r="AE324" s="329">
        <f t="shared" si="120"/>
        <v>194521.13</v>
      </c>
      <c r="AF324" s="329">
        <f t="shared" si="120"/>
        <v>436642.62</v>
      </c>
      <c r="AG324" s="401">
        <f t="shared" si="103"/>
        <v>262054.140000001</v>
      </c>
      <c r="AH324" s="439"/>
      <c r="AI324" s="400"/>
      <c r="AJ324" s="400"/>
      <c r="AK324" s="400"/>
      <c r="AL324" s="400"/>
      <c r="AM324" s="400"/>
      <c r="AN324" s="400"/>
      <c r="AO324" s="400"/>
      <c r="AP324" s="400"/>
      <c r="AQ324" s="400"/>
      <c r="AR324" s="400"/>
      <c r="AS324" s="400"/>
      <c r="AT324" s="400"/>
      <c r="AU324" s="400"/>
      <c r="AV324" s="400"/>
      <c r="AW324" s="400"/>
      <c r="AX324" s="400"/>
      <c r="AY324" s="400"/>
      <c r="AZ324" s="400"/>
      <c r="BA324" s="400"/>
      <c r="BB324" s="400"/>
      <c r="BC324" s="400"/>
    </row>
    <row r="325" s="366" customFormat="1" spans="1:55">
      <c r="A325" s="395">
        <v>43055</v>
      </c>
      <c r="B325" s="443" t="s">
        <v>38</v>
      </c>
      <c r="C325" s="377"/>
      <c r="D325" s="329"/>
      <c r="E325" s="329"/>
      <c r="F325" s="378"/>
      <c r="G325" s="329"/>
      <c r="H325" s="376"/>
      <c r="I325" s="376"/>
      <c r="J325" s="399">
        <f t="shared" ref="J325:J370" si="121">E325-D325</f>
        <v>0</v>
      </c>
      <c r="K325" s="329"/>
      <c r="L325" s="329"/>
      <c r="M325" s="401">
        <f t="shared" si="100"/>
        <v>0</v>
      </c>
      <c r="N325" s="396">
        <f t="shared" si="118"/>
        <v>0</v>
      </c>
      <c r="O325" s="368">
        <f t="shared" si="118"/>
        <v>0</v>
      </c>
      <c r="P325" s="398">
        <f t="shared" si="118"/>
        <v>0</v>
      </c>
      <c r="Q325" s="414">
        <f t="shared" si="119"/>
        <v>18885074.22</v>
      </c>
      <c r="R325" s="402">
        <f t="shared" si="119"/>
        <v>12411110.8</v>
      </c>
      <c r="S325" s="415">
        <f t="shared" si="119"/>
        <v>32189402.91</v>
      </c>
      <c r="T325" s="416">
        <f>N325/'2018'!N325-1</f>
        <v>-1</v>
      </c>
      <c r="U325" s="417">
        <f>O325/'2018'!O325-1</f>
        <v>-1</v>
      </c>
      <c r="V325" s="417">
        <f>P325/'2018'!P325-1</f>
        <v>-1</v>
      </c>
      <c r="W325" s="417">
        <f>Q325/'2018'!Q325-1</f>
        <v>-0.0355018696527426</v>
      </c>
      <c r="X325" s="417">
        <f>R325/'2018'!R325-1</f>
        <v>-0.0605543075225273</v>
      </c>
      <c r="Y325" s="424">
        <f>S325/'2018'!S325-1</f>
        <v>-0.047955875568868</v>
      </c>
      <c r="Z325" s="425"/>
      <c r="AA325" s="426">
        <f t="shared" ref="AA325:AA369" si="122">Q325/10000-Z325</f>
        <v>1888.507422</v>
      </c>
      <c r="AB325" s="427"/>
      <c r="AC325" s="401"/>
      <c r="AD325" s="427">
        <f t="shared" si="101"/>
        <v>19778292.11</v>
      </c>
      <c r="AE325" s="329">
        <f t="shared" si="120"/>
        <v>194521.13</v>
      </c>
      <c r="AF325" s="329">
        <f t="shared" si="120"/>
        <v>436642.62</v>
      </c>
      <c r="AG325" s="401">
        <f t="shared" si="103"/>
        <v>262054.140000001</v>
      </c>
      <c r="AH325" s="439"/>
      <c r="AI325" s="400"/>
      <c r="AJ325" s="400"/>
      <c r="AK325" s="400"/>
      <c r="AL325" s="400"/>
      <c r="AM325" s="400"/>
      <c r="AN325" s="400"/>
      <c r="AO325" s="400"/>
      <c r="AP325" s="400"/>
      <c r="AQ325" s="400"/>
      <c r="AR325" s="400"/>
      <c r="AS325" s="400"/>
      <c r="AT325" s="400"/>
      <c r="AU325" s="400"/>
      <c r="AV325" s="400"/>
      <c r="AW325" s="400"/>
      <c r="AX325" s="400"/>
      <c r="AY325" s="400"/>
      <c r="AZ325" s="400"/>
      <c r="BA325" s="400"/>
      <c r="BB325" s="400"/>
      <c r="BC325" s="400"/>
    </row>
    <row r="326" s="366" customFormat="1" spans="1:55">
      <c r="A326" s="395">
        <v>43056</v>
      </c>
      <c r="B326" s="443" t="s">
        <v>1</v>
      </c>
      <c r="C326" s="377"/>
      <c r="D326" s="329"/>
      <c r="E326" s="329"/>
      <c r="F326" s="378"/>
      <c r="G326" s="329"/>
      <c r="H326" s="376"/>
      <c r="I326" s="376"/>
      <c r="J326" s="399">
        <f t="shared" si="121"/>
        <v>0</v>
      </c>
      <c r="K326" s="329"/>
      <c r="L326" s="329"/>
      <c r="M326" s="401">
        <f t="shared" ref="M326:M370" si="123">J326-K326-L326-C326</f>
        <v>0</v>
      </c>
      <c r="N326" s="396">
        <f t="shared" si="118"/>
        <v>0</v>
      </c>
      <c r="O326" s="368">
        <f t="shared" si="118"/>
        <v>0</v>
      </c>
      <c r="P326" s="398">
        <f t="shared" si="118"/>
        <v>0</v>
      </c>
      <c r="Q326" s="414">
        <f t="shared" si="119"/>
        <v>18885074.22</v>
      </c>
      <c r="R326" s="402">
        <f t="shared" si="119"/>
        <v>12411110.8</v>
      </c>
      <c r="S326" s="415">
        <f t="shared" si="119"/>
        <v>32189402.91</v>
      </c>
      <c r="T326" s="416">
        <f>N326/'2018'!N326-1</f>
        <v>-1</v>
      </c>
      <c r="U326" s="417">
        <f>O326/'2018'!O326-1</f>
        <v>-1</v>
      </c>
      <c r="V326" s="417">
        <f>P326/'2018'!P326-1</f>
        <v>-1</v>
      </c>
      <c r="W326" s="417">
        <f>Q326/'2018'!Q326-1</f>
        <v>-0.0379098211298649</v>
      </c>
      <c r="X326" s="417">
        <f>R326/'2018'!R326-1</f>
        <v>-0.06379948521576</v>
      </c>
      <c r="Y326" s="424">
        <f>S326/'2018'!S326-1</f>
        <v>-0.0508409002209962</v>
      </c>
      <c r="Z326" s="425"/>
      <c r="AA326" s="426">
        <f t="shared" si="122"/>
        <v>1888.507422</v>
      </c>
      <c r="AB326" s="427"/>
      <c r="AC326" s="401"/>
      <c r="AD326" s="427">
        <f t="shared" ref="AD326:AD369" si="124">S326-R326</f>
        <v>19778292.11</v>
      </c>
      <c r="AE326" s="329">
        <f t="shared" si="120"/>
        <v>194521.13</v>
      </c>
      <c r="AF326" s="329">
        <f t="shared" si="120"/>
        <v>436642.62</v>
      </c>
      <c r="AG326" s="401">
        <f t="shared" si="103"/>
        <v>262054.140000001</v>
      </c>
      <c r="AH326" s="439"/>
      <c r="AI326" s="400"/>
      <c r="AJ326" s="400"/>
      <c r="AK326" s="400"/>
      <c r="AL326" s="400"/>
      <c r="AM326" s="400"/>
      <c r="AN326" s="400"/>
      <c r="AO326" s="400"/>
      <c r="AP326" s="400"/>
      <c r="AQ326" s="400"/>
      <c r="AR326" s="400"/>
      <c r="AS326" s="400"/>
      <c r="AT326" s="400"/>
      <c r="AU326" s="400"/>
      <c r="AV326" s="400"/>
      <c r="AW326" s="400"/>
      <c r="AX326" s="400"/>
      <c r="AY326" s="400"/>
      <c r="AZ326" s="400"/>
      <c r="BA326" s="400"/>
      <c r="BB326" s="400"/>
      <c r="BC326" s="400"/>
    </row>
    <row r="327" s="366" customFormat="1" spans="1:55">
      <c r="A327" s="395">
        <v>43057</v>
      </c>
      <c r="B327" s="443" t="s">
        <v>39</v>
      </c>
      <c r="C327" s="377"/>
      <c r="D327" s="329"/>
      <c r="E327" s="329"/>
      <c r="F327" s="378"/>
      <c r="G327" s="329"/>
      <c r="H327" s="376"/>
      <c r="I327" s="376"/>
      <c r="J327" s="399">
        <f t="shared" si="121"/>
        <v>0</v>
      </c>
      <c r="K327" s="329"/>
      <c r="L327" s="329"/>
      <c r="M327" s="401">
        <f t="shared" si="123"/>
        <v>0</v>
      </c>
      <c r="N327" s="396">
        <f t="shared" ref="N327:P338" si="125">C327+N326</f>
        <v>0</v>
      </c>
      <c r="O327" s="368">
        <f t="shared" si="125"/>
        <v>0</v>
      </c>
      <c r="P327" s="398">
        <f t="shared" si="125"/>
        <v>0</v>
      </c>
      <c r="Q327" s="414">
        <f t="shared" si="119"/>
        <v>18885074.22</v>
      </c>
      <c r="R327" s="402">
        <f t="shared" si="119"/>
        <v>12411110.8</v>
      </c>
      <c r="S327" s="415">
        <f t="shared" si="119"/>
        <v>32189402.91</v>
      </c>
      <c r="T327" s="416">
        <f>N327/'2018'!N327-1</f>
        <v>-1</v>
      </c>
      <c r="U327" s="417">
        <f>O327/'2018'!O327-1</f>
        <v>-1</v>
      </c>
      <c r="V327" s="417">
        <f>P327/'2018'!P327-1</f>
        <v>-1</v>
      </c>
      <c r="W327" s="417">
        <f>Q327/'2018'!Q327-1</f>
        <v>-0.0402189131454039</v>
      </c>
      <c r="X327" s="417">
        <f>R327/'2018'!R327-1</f>
        <v>-0.066790117053446</v>
      </c>
      <c r="Y327" s="424">
        <f>S327/'2018'!S327-1</f>
        <v>-0.0535591658752655</v>
      </c>
      <c r="Z327" s="425"/>
      <c r="AA327" s="426">
        <f t="shared" si="122"/>
        <v>1888.507422</v>
      </c>
      <c r="AB327" s="427"/>
      <c r="AC327" s="401"/>
      <c r="AD327" s="427">
        <f t="shared" si="124"/>
        <v>19778292.11</v>
      </c>
      <c r="AE327" s="329">
        <f t="shared" ref="AE327:AF342" si="126">AE326+K327</f>
        <v>194521.13</v>
      </c>
      <c r="AF327" s="329">
        <f t="shared" si="126"/>
        <v>436642.62</v>
      </c>
      <c r="AG327" s="401">
        <f t="shared" ref="AG327:AG370" si="127">AD327-Q327-AE327-AF327</f>
        <v>262054.140000001</v>
      </c>
      <c r="AH327" s="439"/>
      <c r="AI327" s="400"/>
      <c r="AJ327" s="400"/>
      <c r="AK327" s="400"/>
      <c r="AL327" s="400"/>
      <c r="AM327" s="400"/>
      <c r="AN327" s="400"/>
      <c r="AO327" s="400"/>
      <c r="AP327" s="400"/>
      <c r="AQ327" s="400"/>
      <c r="AR327" s="400"/>
      <c r="AS327" s="400"/>
      <c r="AT327" s="400"/>
      <c r="AU327" s="400"/>
      <c r="AV327" s="400"/>
      <c r="AW327" s="400"/>
      <c r="AX327" s="400"/>
      <c r="AY327" s="400"/>
      <c r="AZ327" s="400"/>
      <c r="BA327" s="400"/>
      <c r="BB327" s="400"/>
      <c r="BC327" s="400"/>
    </row>
    <row r="328" s="366" customFormat="1" spans="1:55">
      <c r="A328" s="395">
        <v>43058</v>
      </c>
      <c r="B328" s="443" t="s">
        <v>34</v>
      </c>
      <c r="C328" s="377"/>
      <c r="D328" s="329"/>
      <c r="E328" s="329"/>
      <c r="F328" s="378"/>
      <c r="G328" s="329"/>
      <c r="H328" s="376"/>
      <c r="I328" s="376"/>
      <c r="J328" s="399">
        <f t="shared" si="121"/>
        <v>0</v>
      </c>
      <c r="K328" s="329"/>
      <c r="L328" s="329"/>
      <c r="M328" s="401">
        <f t="shared" si="123"/>
        <v>0</v>
      </c>
      <c r="N328" s="396">
        <f t="shared" si="125"/>
        <v>0</v>
      </c>
      <c r="O328" s="368">
        <f t="shared" si="125"/>
        <v>0</v>
      </c>
      <c r="P328" s="398">
        <f t="shared" si="125"/>
        <v>0</v>
      </c>
      <c r="Q328" s="414">
        <f t="shared" si="119"/>
        <v>18885074.22</v>
      </c>
      <c r="R328" s="402">
        <f t="shared" si="119"/>
        <v>12411110.8</v>
      </c>
      <c r="S328" s="415">
        <f t="shared" si="119"/>
        <v>32189402.91</v>
      </c>
      <c r="T328" s="416">
        <f>N328/'2018'!N328-1</f>
        <v>-1</v>
      </c>
      <c r="U328" s="417">
        <f>O328/'2018'!O328-1</f>
        <v>-1</v>
      </c>
      <c r="V328" s="417">
        <f>P328/'2018'!P328-1</f>
        <v>-1</v>
      </c>
      <c r="W328" s="417">
        <f>Q328/'2018'!Q328-1</f>
        <v>-0.0426102904124341</v>
      </c>
      <c r="X328" s="417">
        <f>R328/'2018'!R328-1</f>
        <v>-0.0699336087951916</v>
      </c>
      <c r="Y328" s="424">
        <f>S328/'2018'!S328-1</f>
        <v>-0.0563903828207899</v>
      </c>
      <c r="Z328" s="425"/>
      <c r="AA328" s="426">
        <f t="shared" si="122"/>
        <v>1888.507422</v>
      </c>
      <c r="AB328" s="427"/>
      <c r="AC328" s="401"/>
      <c r="AD328" s="427">
        <f t="shared" si="124"/>
        <v>19778292.11</v>
      </c>
      <c r="AE328" s="329">
        <f t="shared" si="126"/>
        <v>194521.13</v>
      </c>
      <c r="AF328" s="329">
        <f t="shared" si="126"/>
        <v>436642.62</v>
      </c>
      <c r="AG328" s="401">
        <f t="shared" si="127"/>
        <v>262054.140000001</v>
      </c>
      <c r="AH328" s="439"/>
      <c r="AI328" s="400"/>
      <c r="AJ328" s="400"/>
      <c r="AK328" s="400"/>
      <c r="AL328" s="400"/>
      <c r="AM328" s="400"/>
      <c r="AN328" s="400"/>
      <c r="AO328" s="400"/>
      <c r="AP328" s="400"/>
      <c r="AQ328" s="400"/>
      <c r="AR328" s="400"/>
      <c r="AS328" s="400"/>
      <c r="AT328" s="400"/>
      <c r="AU328" s="400"/>
      <c r="AV328" s="400"/>
      <c r="AW328" s="400"/>
      <c r="AX328" s="400"/>
      <c r="AY328" s="400"/>
      <c r="AZ328" s="400"/>
      <c r="BA328" s="400"/>
      <c r="BB328" s="400"/>
      <c r="BC328" s="400"/>
    </row>
    <row r="329" s="366" customFormat="1" spans="1:55">
      <c r="A329" s="395">
        <v>43059</v>
      </c>
      <c r="B329" s="443" t="s">
        <v>35</v>
      </c>
      <c r="C329" s="377"/>
      <c r="D329" s="329"/>
      <c r="E329" s="329"/>
      <c r="F329" s="378"/>
      <c r="G329" s="329"/>
      <c r="H329" s="376"/>
      <c r="I329" s="376"/>
      <c r="J329" s="399">
        <f t="shared" si="121"/>
        <v>0</v>
      </c>
      <c r="K329" s="329"/>
      <c r="L329" s="329"/>
      <c r="M329" s="401">
        <f t="shared" si="123"/>
        <v>0</v>
      </c>
      <c r="N329" s="396">
        <f t="shared" si="125"/>
        <v>0</v>
      </c>
      <c r="O329" s="368">
        <f t="shared" si="125"/>
        <v>0</v>
      </c>
      <c r="P329" s="398">
        <f t="shared" si="125"/>
        <v>0</v>
      </c>
      <c r="Q329" s="414">
        <f t="shared" si="119"/>
        <v>18885074.22</v>
      </c>
      <c r="R329" s="402">
        <f t="shared" si="119"/>
        <v>12411110.8</v>
      </c>
      <c r="S329" s="415">
        <f t="shared" si="119"/>
        <v>32189402.91</v>
      </c>
      <c r="T329" s="416">
        <f>N329/'2018'!N329-1</f>
        <v>-1</v>
      </c>
      <c r="U329" s="417">
        <f>O329/'2018'!O329-1</f>
        <v>-1</v>
      </c>
      <c r="V329" s="417">
        <f>P329/'2018'!P329-1</f>
        <v>-1</v>
      </c>
      <c r="W329" s="417">
        <f>Q329/'2018'!Q329-1</f>
        <v>-0.0450736124803968</v>
      </c>
      <c r="X329" s="417">
        <f>R329/'2018'!R329-1</f>
        <v>-0.0729961060059338</v>
      </c>
      <c r="Y329" s="424">
        <f>S329/'2018'!S329-1</f>
        <v>-0.0592336369033636</v>
      </c>
      <c r="Z329" s="425"/>
      <c r="AA329" s="426">
        <f t="shared" si="122"/>
        <v>1888.507422</v>
      </c>
      <c r="AB329" s="427"/>
      <c r="AC329" s="401"/>
      <c r="AD329" s="427">
        <f t="shared" si="124"/>
        <v>19778292.11</v>
      </c>
      <c r="AE329" s="329">
        <f t="shared" si="126"/>
        <v>194521.13</v>
      </c>
      <c r="AF329" s="329">
        <f t="shared" si="126"/>
        <v>436642.62</v>
      </c>
      <c r="AG329" s="401">
        <f t="shared" si="127"/>
        <v>262054.140000001</v>
      </c>
      <c r="AH329" s="439"/>
      <c r="AI329" s="400"/>
      <c r="AJ329" s="400"/>
      <c r="AK329" s="400"/>
      <c r="AL329" s="400"/>
      <c r="AM329" s="400"/>
      <c r="AN329" s="400"/>
      <c r="AO329" s="400"/>
      <c r="AP329" s="400"/>
      <c r="AQ329" s="400"/>
      <c r="AR329" s="400"/>
      <c r="AS329" s="400"/>
      <c r="AT329" s="400"/>
      <c r="AU329" s="400"/>
      <c r="AV329" s="400"/>
      <c r="AW329" s="400"/>
      <c r="AX329" s="400"/>
      <c r="AY329" s="400"/>
      <c r="AZ329" s="400"/>
      <c r="BA329" s="400"/>
      <c r="BB329" s="400"/>
      <c r="BC329" s="400"/>
    </row>
    <row r="330" s="366" customFormat="1" spans="1:55">
      <c r="A330" s="395">
        <v>43060</v>
      </c>
      <c r="B330" s="191" t="s">
        <v>36</v>
      </c>
      <c r="C330" s="377"/>
      <c r="D330" s="329"/>
      <c r="E330" s="329"/>
      <c r="F330" s="378"/>
      <c r="G330" s="329"/>
      <c r="H330" s="376"/>
      <c r="I330" s="376"/>
      <c r="J330" s="399">
        <f t="shared" si="121"/>
        <v>0</v>
      </c>
      <c r="K330" s="329"/>
      <c r="L330" s="329"/>
      <c r="M330" s="401">
        <f t="shared" si="123"/>
        <v>0</v>
      </c>
      <c r="N330" s="396">
        <f t="shared" si="125"/>
        <v>0</v>
      </c>
      <c r="O330" s="368">
        <f t="shared" si="125"/>
        <v>0</v>
      </c>
      <c r="P330" s="398">
        <f t="shared" si="125"/>
        <v>0</v>
      </c>
      <c r="Q330" s="414">
        <f t="shared" si="119"/>
        <v>18885074.22</v>
      </c>
      <c r="R330" s="402">
        <f t="shared" si="119"/>
        <v>12411110.8</v>
      </c>
      <c r="S330" s="415">
        <f t="shared" si="119"/>
        <v>32189402.91</v>
      </c>
      <c r="T330" s="416">
        <f>N330/'2018'!N330-1</f>
        <v>-1</v>
      </c>
      <c r="U330" s="417">
        <f>O330/'2018'!O330-1</f>
        <v>-1</v>
      </c>
      <c r="V330" s="417">
        <f>P330/'2018'!P330-1</f>
        <v>-1</v>
      </c>
      <c r="W330" s="417">
        <f>Q330/'2018'!Q330-1</f>
        <v>-0.0475633447092069</v>
      </c>
      <c r="X330" s="417">
        <f>R330/'2018'!R330-1</f>
        <v>-0.0759904863978095</v>
      </c>
      <c r="Y330" s="424">
        <f>S330/'2018'!S330-1</f>
        <v>-0.0620681435891075</v>
      </c>
      <c r="Z330" s="425"/>
      <c r="AA330" s="426">
        <f t="shared" si="122"/>
        <v>1888.507422</v>
      </c>
      <c r="AB330" s="427"/>
      <c r="AC330" s="401"/>
      <c r="AD330" s="427">
        <f t="shared" si="124"/>
        <v>19778292.11</v>
      </c>
      <c r="AE330" s="329">
        <f t="shared" si="126"/>
        <v>194521.13</v>
      </c>
      <c r="AF330" s="329">
        <f t="shared" si="126"/>
        <v>436642.62</v>
      </c>
      <c r="AG330" s="401">
        <f t="shared" si="127"/>
        <v>262054.140000001</v>
      </c>
      <c r="AH330" s="439"/>
      <c r="AI330" s="400"/>
      <c r="AJ330" s="400"/>
      <c r="AK330" s="400"/>
      <c r="AL330" s="400"/>
      <c r="AM330" s="400"/>
      <c r="AN330" s="400"/>
      <c r="AO330" s="400"/>
      <c r="AP330" s="400"/>
      <c r="AQ330" s="400"/>
      <c r="AR330" s="400"/>
      <c r="AS330" s="400"/>
      <c r="AT330" s="400"/>
      <c r="AU330" s="400"/>
      <c r="AV330" s="400"/>
      <c r="AW330" s="400"/>
      <c r="AX330" s="400"/>
      <c r="AY330" s="400"/>
      <c r="AZ330" s="400"/>
      <c r="BA330" s="400"/>
      <c r="BB330" s="400"/>
      <c r="BC330" s="400"/>
    </row>
    <row r="331" s="366" customFormat="1" spans="1:55">
      <c r="A331" s="395">
        <v>43061</v>
      </c>
      <c r="B331" s="443" t="s">
        <v>37</v>
      </c>
      <c r="C331" s="377"/>
      <c r="D331" s="329"/>
      <c r="E331" s="329"/>
      <c r="F331" s="378"/>
      <c r="G331" s="329"/>
      <c r="H331" s="376"/>
      <c r="I331" s="376"/>
      <c r="J331" s="399">
        <f t="shared" si="121"/>
        <v>0</v>
      </c>
      <c r="K331" s="329"/>
      <c r="L331" s="329"/>
      <c r="M331" s="401">
        <f t="shared" si="123"/>
        <v>0</v>
      </c>
      <c r="N331" s="396">
        <f t="shared" si="125"/>
        <v>0</v>
      </c>
      <c r="O331" s="368">
        <f t="shared" si="125"/>
        <v>0</v>
      </c>
      <c r="P331" s="398">
        <f t="shared" si="125"/>
        <v>0</v>
      </c>
      <c r="Q331" s="414">
        <f t="shared" si="119"/>
        <v>18885074.22</v>
      </c>
      <c r="R331" s="402">
        <f t="shared" si="119"/>
        <v>12411110.8</v>
      </c>
      <c r="S331" s="415">
        <f t="shared" si="119"/>
        <v>32189402.91</v>
      </c>
      <c r="T331" s="416">
        <f>N331/'2018'!N331-1</f>
        <v>-1</v>
      </c>
      <c r="U331" s="417">
        <f>O331/'2018'!O331-1</f>
        <v>-1</v>
      </c>
      <c r="V331" s="417">
        <f>P331/'2018'!P331-1</f>
        <v>-1</v>
      </c>
      <c r="W331" s="417">
        <f>Q331/'2018'!Q331-1</f>
        <v>-0.0500643543785722</v>
      </c>
      <c r="X331" s="417">
        <f>R331/'2018'!R331-1</f>
        <v>-0.078803770536588</v>
      </c>
      <c r="Y331" s="424">
        <f>S331/'2018'!S331-1</f>
        <v>-0.0648363131298477</v>
      </c>
      <c r="Z331" s="425"/>
      <c r="AA331" s="426">
        <f t="shared" si="122"/>
        <v>1888.507422</v>
      </c>
      <c r="AB331" s="427"/>
      <c r="AC331" s="401"/>
      <c r="AD331" s="427">
        <f t="shared" si="124"/>
        <v>19778292.11</v>
      </c>
      <c r="AE331" s="329">
        <f t="shared" si="126"/>
        <v>194521.13</v>
      </c>
      <c r="AF331" s="329">
        <f t="shared" si="126"/>
        <v>436642.62</v>
      </c>
      <c r="AG331" s="401">
        <f t="shared" si="127"/>
        <v>262054.140000001</v>
      </c>
      <c r="AH331" s="439"/>
      <c r="AI331" s="400"/>
      <c r="AJ331" s="400"/>
      <c r="AK331" s="400"/>
      <c r="AL331" s="400"/>
      <c r="AM331" s="400"/>
      <c r="AN331" s="400"/>
      <c r="AO331" s="400"/>
      <c r="AP331" s="400"/>
      <c r="AQ331" s="400"/>
      <c r="AR331" s="400"/>
      <c r="AS331" s="400"/>
      <c r="AT331" s="400"/>
      <c r="AU331" s="400"/>
      <c r="AV331" s="400"/>
      <c r="AW331" s="400"/>
      <c r="AX331" s="400"/>
      <c r="AY331" s="400"/>
      <c r="AZ331" s="400"/>
      <c r="BA331" s="400"/>
      <c r="BB331" s="400"/>
      <c r="BC331" s="400"/>
    </row>
    <row r="332" s="366" customFormat="1" spans="1:55">
      <c r="A332" s="395">
        <v>43062</v>
      </c>
      <c r="B332" s="443" t="s">
        <v>38</v>
      </c>
      <c r="C332" s="377"/>
      <c r="D332" s="329"/>
      <c r="E332" s="329"/>
      <c r="F332" s="378"/>
      <c r="G332" s="329"/>
      <c r="H332" s="376"/>
      <c r="I332" s="376"/>
      <c r="J332" s="399">
        <f t="shared" si="121"/>
        <v>0</v>
      </c>
      <c r="K332" s="329"/>
      <c r="L332" s="329"/>
      <c r="M332" s="401">
        <f t="shared" si="123"/>
        <v>0</v>
      </c>
      <c r="N332" s="396">
        <f t="shared" si="125"/>
        <v>0</v>
      </c>
      <c r="O332" s="368">
        <f t="shared" si="125"/>
        <v>0</v>
      </c>
      <c r="P332" s="398">
        <f t="shared" si="125"/>
        <v>0</v>
      </c>
      <c r="Q332" s="414">
        <f t="shared" si="119"/>
        <v>18885074.22</v>
      </c>
      <c r="R332" s="402">
        <f t="shared" si="119"/>
        <v>12411110.8</v>
      </c>
      <c r="S332" s="415">
        <f t="shared" si="119"/>
        <v>32189402.91</v>
      </c>
      <c r="T332" s="416">
        <f>N332/'2018'!N332-1</f>
        <v>-1</v>
      </c>
      <c r="U332" s="417">
        <f>O332/'2018'!O332-1</f>
        <v>-1</v>
      </c>
      <c r="V332" s="417">
        <f>P332/'2018'!P332-1</f>
        <v>-1</v>
      </c>
      <c r="W332" s="417">
        <f>Q332/'2018'!Q332-1</f>
        <v>-0.0525254069167638</v>
      </c>
      <c r="X332" s="417">
        <f>R332/'2018'!R332-1</f>
        <v>-0.0817203170721666</v>
      </c>
      <c r="Y332" s="424">
        <f>S332/'2018'!S332-1</f>
        <v>-0.067619384980774</v>
      </c>
      <c r="Z332" s="425"/>
      <c r="AA332" s="426">
        <f t="shared" si="122"/>
        <v>1888.507422</v>
      </c>
      <c r="AB332" s="427"/>
      <c r="AC332" s="401"/>
      <c r="AD332" s="427">
        <f t="shared" si="124"/>
        <v>19778292.11</v>
      </c>
      <c r="AE332" s="329">
        <f t="shared" si="126"/>
        <v>194521.13</v>
      </c>
      <c r="AF332" s="329">
        <f t="shared" si="126"/>
        <v>436642.62</v>
      </c>
      <c r="AG332" s="401">
        <f t="shared" si="127"/>
        <v>262054.140000001</v>
      </c>
      <c r="AH332" s="439"/>
      <c r="AI332" s="400"/>
      <c r="AJ332" s="400"/>
      <c r="AK332" s="400"/>
      <c r="AL332" s="400"/>
      <c r="AM332" s="400"/>
      <c r="AN332" s="400"/>
      <c r="AO332" s="400"/>
      <c r="AP332" s="400"/>
      <c r="AQ332" s="400"/>
      <c r="AR332" s="400"/>
      <c r="AS332" s="400"/>
      <c r="AT332" s="400"/>
      <c r="AU332" s="400"/>
      <c r="AV332" s="400"/>
      <c r="AW332" s="400"/>
      <c r="AX332" s="400"/>
      <c r="AY332" s="400"/>
      <c r="AZ332" s="400"/>
      <c r="BA332" s="400"/>
      <c r="BB332" s="400"/>
      <c r="BC332" s="400"/>
    </row>
    <row r="333" s="366" customFormat="1" spans="1:55">
      <c r="A333" s="395">
        <v>43063</v>
      </c>
      <c r="B333" s="443" t="s">
        <v>1</v>
      </c>
      <c r="C333" s="377"/>
      <c r="D333" s="329"/>
      <c r="E333" s="329"/>
      <c r="F333" s="378"/>
      <c r="G333" s="329"/>
      <c r="H333" s="376"/>
      <c r="I333" s="376"/>
      <c r="J333" s="399">
        <f t="shared" si="121"/>
        <v>0</v>
      </c>
      <c r="K333" s="329"/>
      <c r="L333" s="329"/>
      <c r="M333" s="401">
        <f t="shared" si="123"/>
        <v>0</v>
      </c>
      <c r="N333" s="396">
        <f t="shared" si="125"/>
        <v>0</v>
      </c>
      <c r="O333" s="368">
        <f t="shared" si="125"/>
        <v>0</v>
      </c>
      <c r="P333" s="398">
        <f t="shared" si="125"/>
        <v>0</v>
      </c>
      <c r="Q333" s="414">
        <f t="shared" si="119"/>
        <v>18885074.22</v>
      </c>
      <c r="R333" s="402">
        <f t="shared" si="119"/>
        <v>12411110.8</v>
      </c>
      <c r="S333" s="415">
        <f t="shared" si="119"/>
        <v>32189402.91</v>
      </c>
      <c r="T333" s="416">
        <f>N333/'2018'!N333-1</f>
        <v>-1</v>
      </c>
      <c r="U333" s="417">
        <f>O333/'2018'!O333-1</f>
        <v>-1</v>
      </c>
      <c r="V333" s="417">
        <f>P333/'2018'!P333-1</f>
        <v>-1</v>
      </c>
      <c r="W333" s="417">
        <f>Q333/'2018'!Q333-1</f>
        <v>-0.0548750359482635</v>
      </c>
      <c r="X333" s="417">
        <f>R333/'2018'!R333-1</f>
        <v>-0.0846433660490816</v>
      </c>
      <c r="Y333" s="424">
        <f>S333/'2018'!S333-1</f>
        <v>-0.070333157196755</v>
      </c>
      <c r="Z333" s="425"/>
      <c r="AA333" s="426">
        <f t="shared" si="122"/>
        <v>1888.507422</v>
      </c>
      <c r="AB333" s="427"/>
      <c r="AC333" s="401"/>
      <c r="AD333" s="427">
        <f t="shared" si="124"/>
        <v>19778292.11</v>
      </c>
      <c r="AE333" s="329">
        <f t="shared" si="126"/>
        <v>194521.13</v>
      </c>
      <c r="AF333" s="329">
        <f t="shared" si="126"/>
        <v>436642.62</v>
      </c>
      <c r="AG333" s="401">
        <f t="shared" si="127"/>
        <v>262054.140000001</v>
      </c>
      <c r="AH333" s="439"/>
      <c r="AI333" s="400"/>
      <c r="AJ333" s="400"/>
      <c r="AK333" s="400"/>
      <c r="AL333" s="400"/>
      <c r="AM333" s="400"/>
      <c r="AN333" s="400"/>
      <c r="AO333" s="400"/>
      <c r="AP333" s="400"/>
      <c r="AQ333" s="400"/>
      <c r="AR333" s="400"/>
      <c r="AS333" s="400"/>
      <c r="AT333" s="400"/>
      <c r="AU333" s="400"/>
      <c r="AV333" s="400"/>
      <c r="AW333" s="400"/>
      <c r="AX333" s="400"/>
      <c r="AY333" s="400"/>
      <c r="AZ333" s="400"/>
      <c r="BA333" s="400"/>
      <c r="BB333" s="400"/>
      <c r="BC333" s="400"/>
    </row>
    <row r="334" s="366" customFormat="1" spans="1:55">
      <c r="A334" s="395">
        <v>43064</v>
      </c>
      <c r="B334" s="443" t="s">
        <v>39</v>
      </c>
      <c r="C334" s="377"/>
      <c r="D334" s="329"/>
      <c r="E334" s="329"/>
      <c r="F334" s="378"/>
      <c r="G334" s="329"/>
      <c r="H334" s="376"/>
      <c r="I334" s="376"/>
      <c r="J334" s="399">
        <f t="shared" si="121"/>
        <v>0</v>
      </c>
      <c r="K334" s="329"/>
      <c r="L334" s="329"/>
      <c r="M334" s="401">
        <f t="shared" si="123"/>
        <v>0</v>
      </c>
      <c r="N334" s="396">
        <f t="shared" si="125"/>
        <v>0</v>
      </c>
      <c r="O334" s="368">
        <f t="shared" si="125"/>
        <v>0</v>
      </c>
      <c r="P334" s="398">
        <f t="shared" si="125"/>
        <v>0</v>
      </c>
      <c r="Q334" s="414">
        <f t="shared" si="119"/>
        <v>18885074.22</v>
      </c>
      <c r="R334" s="402">
        <f t="shared" si="119"/>
        <v>12411110.8</v>
      </c>
      <c r="S334" s="415">
        <f t="shared" si="119"/>
        <v>32189402.91</v>
      </c>
      <c r="T334" s="416">
        <f>N334/'2018'!N334-1</f>
        <v>-1</v>
      </c>
      <c r="U334" s="417">
        <f>O334/'2018'!O334-1</f>
        <v>-1</v>
      </c>
      <c r="V334" s="417">
        <f>P334/'2018'!P334-1</f>
        <v>-1</v>
      </c>
      <c r="W334" s="417">
        <f>Q334/'2018'!Q334-1</f>
        <v>-0.0571804222307601</v>
      </c>
      <c r="X334" s="417">
        <f>R334/'2018'!R334-1</f>
        <v>-0.0873777789451499</v>
      </c>
      <c r="Y334" s="424">
        <f>S334/'2018'!S334-1</f>
        <v>-0.0729310904751305</v>
      </c>
      <c r="Z334" s="425"/>
      <c r="AA334" s="426">
        <f t="shared" si="122"/>
        <v>1888.507422</v>
      </c>
      <c r="AB334" s="427"/>
      <c r="AC334" s="401"/>
      <c r="AD334" s="427">
        <f t="shared" si="124"/>
        <v>19778292.11</v>
      </c>
      <c r="AE334" s="329">
        <f t="shared" si="126"/>
        <v>194521.13</v>
      </c>
      <c r="AF334" s="329">
        <f t="shared" si="126"/>
        <v>436642.62</v>
      </c>
      <c r="AG334" s="401">
        <f t="shared" si="127"/>
        <v>262054.140000001</v>
      </c>
      <c r="AH334" s="439"/>
      <c r="AI334" s="400"/>
      <c r="AJ334" s="400"/>
      <c r="AK334" s="400"/>
      <c r="AL334" s="400"/>
      <c r="AM334" s="400"/>
      <c r="AN334" s="400"/>
      <c r="AO334" s="400"/>
      <c r="AP334" s="400"/>
      <c r="AQ334" s="400"/>
      <c r="AR334" s="400"/>
      <c r="AS334" s="400"/>
      <c r="AT334" s="400"/>
      <c r="AU334" s="400"/>
      <c r="AV334" s="400"/>
      <c r="AW334" s="400"/>
      <c r="AX334" s="400"/>
      <c r="AY334" s="400"/>
      <c r="AZ334" s="400"/>
      <c r="BA334" s="400"/>
      <c r="BB334" s="400"/>
      <c r="BC334" s="400"/>
    </row>
    <row r="335" s="366" customFormat="1" spans="1:55">
      <c r="A335" s="395">
        <v>43065</v>
      </c>
      <c r="B335" s="443" t="s">
        <v>34</v>
      </c>
      <c r="C335" s="377"/>
      <c r="D335" s="329"/>
      <c r="E335" s="329"/>
      <c r="F335" s="378"/>
      <c r="G335" s="329"/>
      <c r="H335" s="376"/>
      <c r="I335" s="376"/>
      <c r="J335" s="399">
        <f t="shared" si="121"/>
        <v>0</v>
      </c>
      <c r="K335" s="329"/>
      <c r="L335" s="329"/>
      <c r="M335" s="401">
        <f t="shared" si="123"/>
        <v>0</v>
      </c>
      <c r="N335" s="396">
        <f t="shared" si="125"/>
        <v>0</v>
      </c>
      <c r="O335" s="368">
        <f t="shared" si="125"/>
        <v>0</v>
      </c>
      <c r="P335" s="398">
        <f t="shared" si="125"/>
        <v>0</v>
      </c>
      <c r="Q335" s="414">
        <f t="shared" si="119"/>
        <v>18885074.22</v>
      </c>
      <c r="R335" s="402">
        <f t="shared" si="119"/>
        <v>12411110.8</v>
      </c>
      <c r="S335" s="415">
        <f t="shared" si="119"/>
        <v>32189402.91</v>
      </c>
      <c r="T335" s="416">
        <f>N335/'2018'!N335-1</f>
        <v>-1</v>
      </c>
      <c r="U335" s="417">
        <f>O335/'2018'!O335-1</f>
        <v>-1</v>
      </c>
      <c r="V335" s="417">
        <f>P335/'2018'!P335-1</f>
        <v>-1</v>
      </c>
      <c r="W335" s="417">
        <f>Q335/'2018'!Q335-1</f>
        <v>-0.059720484742263</v>
      </c>
      <c r="X335" s="417">
        <f>R335/'2018'!R335-1</f>
        <v>-0.0900835624428851</v>
      </c>
      <c r="Y335" s="424">
        <f>S335/'2018'!S335-1</f>
        <v>-0.0756526441751967</v>
      </c>
      <c r="Z335" s="425"/>
      <c r="AA335" s="426">
        <f t="shared" si="122"/>
        <v>1888.507422</v>
      </c>
      <c r="AB335" s="427"/>
      <c r="AC335" s="401"/>
      <c r="AD335" s="427">
        <f t="shared" si="124"/>
        <v>19778292.11</v>
      </c>
      <c r="AE335" s="329">
        <f t="shared" si="126"/>
        <v>194521.13</v>
      </c>
      <c r="AF335" s="329">
        <f t="shared" si="126"/>
        <v>436642.62</v>
      </c>
      <c r="AG335" s="401">
        <f t="shared" si="127"/>
        <v>262054.140000001</v>
      </c>
      <c r="AH335" s="439"/>
      <c r="AI335" s="400"/>
      <c r="AJ335" s="400"/>
      <c r="AK335" s="400"/>
      <c r="AL335" s="400"/>
      <c r="AM335" s="400"/>
      <c r="AN335" s="400"/>
      <c r="AO335" s="400"/>
      <c r="AP335" s="400"/>
      <c r="AQ335" s="400"/>
      <c r="AR335" s="400"/>
      <c r="AS335" s="400"/>
      <c r="AT335" s="400"/>
      <c r="AU335" s="400"/>
      <c r="AV335" s="400"/>
      <c r="AW335" s="400"/>
      <c r="AX335" s="400"/>
      <c r="AY335" s="400"/>
      <c r="AZ335" s="400"/>
      <c r="BA335" s="400"/>
      <c r="BB335" s="400"/>
      <c r="BC335" s="400"/>
    </row>
    <row r="336" s="366" customFormat="1" spans="1:55">
      <c r="A336" s="395">
        <v>43066</v>
      </c>
      <c r="B336" s="443" t="s">
        <v>35</v>
      </c>
      <c r="C336" s="377"/>
      <c r="D336" s="329"/>
      <c r="E336" s="329"/>
      <c r="F336" s="378"/>
      <c r="G336" s="329"/>
      <c r="H336" s="376"/>
      <c r="I336" s="376"/>
      <c r="J336" s="399">
        <f t="shared" si="121"/>
        <v>0</v>
      </c>
      <c r="K336" s="329"/>
      <c r="L336" s="329"/>
      <c r="M336" s="401">
        <f t="shared" si="123"/>
        <v>0</v>
      </c>
      <c r="N336" s="396">
        <f t="shared" si="125"/>
        <v>0</v>
      </c>
      <c r="O336" s="368">
        <f t="shared" si="125"/>
        <v>0</v>
      </c>
      <c r="P336" s="398">
        <f t="shared" si="125"/>
        <v>0</v>
      </c>
      <c r="Q336" s="414">
        <f t="shared" si="119"/>
        <v>18885074.22</v>
      </c>
      <c r="R336" s="402">
        <f t="shared" si="119"/>
        <v>12411110.8</v>
      </c>
      <c r="S336" s="415">
        <f t="shared" si="119"/>
        <v>32189402.91</v>
      </c>
      <c r="T336" s="416">
        <f>N336/'2018'!N336-1</f>
        <v>-1</v>
      </c>
      <c r="U336" s="417">
        <f>O336/'2018'!O336-1</f>
        <v>-1</v>
      </c>
      <c r="V336" s="417">
        <f>P336/'2018'!P336-1</f>
        <v>-1</v>
      </c>
      <c r="W336" s="417">
        <f>Q336/'2018'!Q336-1</f>
        <v>-0.0623178570767525</v>
      </c>
      <c r="X336" s="417">
        <f>R336/'2018'!R336-1</f>
        <v>-0.0928085615535481</v>
      </c>
      <c r="Y336" s="424">
        <f>S336/'2018'!S336-1</f>
        <v>-0.0784142317428734</v>
      </c>
      <c r="Z336" s="425"/>
      <c r="AA336" s="426">
        <f t="shared" si="122"/>
        <v>1888.507422</v>
      </c>
      <c r="AB336" s="427"/>
      <c r="AC336" s="401"/>
      <c r="AD336" s="427">
        <f t="shared" si="124"/>
        <v>19778292.11</v>
      </c>
      <c r="AE336" s="329">
        <f t="shared" si="126"/>
        <v>194521.13</v>
      </c>
      <c r="AF336" s="329">
        <f t="shared" si="126"/>
        <v>436642.62</v>
      </c>
      <c r="AG336" s="401">
        <f t="shared" si="127"/>
        <v>262054.140000001</v>
      </c>
      <c r="AH336" s="439"/>
      <c r="AI336" s="400"/>
      <c r="AJ336" s="400"/>
      <c r="AK336" s="400"/>
      <c r="AL336" s="400"/>
      <c r="AM336" s="400"/>
      <c r="AN336" s="400"/>
      <c r="AO336" s="400"/>
      <c r="AP336" s="400"/>
      <c r="AQ336" s="400"/>
      <c r="AR336" s="400"/>
      <c r="AS336" s="400"/>
      <c r="AT336" s="400"/>
      <c r="AU336" s="400"/>
      <c r="AV336" s="400"/>
      <c r="AW336" s="400"/>
      <c r="AX336" s="400"/>
      <c r="AY336" s="400"/>
      <c r="AZ336" s="400"/>
      <c r="BA336" s="400"/>
      <c r="BB336" s="400"/>
      <c r="BC336" s="400"/>
    </row>
    <row r="337" s="366" customFormat="1" spans="1:55">
      <c r="A337" s="395">
        <v>43067</v>
      </c>
      <c r="B337" s="191" t="s">
        <v>36</v>
      </c>
      <c r="C337" s="377"/>
      <c r="D337" s="329"/>
      <c r="E337" s="329"/>
      <c r="F337" s="378"/>
      <c r="G337" s="329"/>
      <c r="H337" s="376"/>
      <c r="I337" s="376"/>
      <c r="J337" s="399">
        <f t="shared" si="121"/>
        <v>0</v>
      </c>
      <c r="K337" s="329"/>
      <c r="L337" s="329"/>
      <c r="M337" s="401">
        <f t="shared" si="123"/>
        <v>0</v>
      </c>
      <c r="N337" s="396">
        <f t="shared" si="125"/>
        <v>0</v>
      </c>
      <c r="O337" s="368">
        <f t="shared" si="125"/>
        <v>0</v>
      </c>
      <c r="P337" s="398">
        <f t="shared" si="125"/>
        <v>0</v>
      </c>
      <c r="Q337" s="414">
        <f t="shared" si="119"/>
        <v>18885074.22</v>
      </c>
      <c r="R337" s="402">
        <f t="shared" si="119"/>
        <v>12411110.8</v>
      </c>
      <c r="S337" s="415">
        <f t="shared" si="119"/>
        <v>32189402.91</v>
      </c>
      <c r="T337" s="416">
        <f>N337/'2018'!N337-1</f>
        <v>-1</v>
      </c>
      <c r="U337" s="417">
        <f>O337/'2018'!O337-1</f>
        <v>-1</v>
      </c>
      <c r="V337" s="417">
        <f>P337/'2018'!P337-1</f>
        <v>-1</v>
      </c>
      <c r="W337" s="417">
        <f>Q337/'2018'!Q337-1</f>
        <v>-0.0649639778949105</v>
      </c>
      <c r="X337" s="417">
        <f>R337/'2018'!R337-1</f>
        <v>-0.0954249303124095</v>
      </c>
      <c r="Y337" s="424">
        <f>S337/'2018'!S337-1</f>
        <v>-0.0811587641325994</v>
      </c>
      <c r="Z337" s="425"/>
      <c r="AA337" s="426">
        <f t="shared" si="122"/>
        <v>1888.507422</v>
      </c>
      <c r="AB337" s="427"/>
      <c r="AC337" s="401"/>
      <c r="AD337" s="427">
        <f t="shared" si="124"/>
        <v>19778292.11</v>
      </c>
      <c r="AE337" s="329">
        <f t="shared" si="126"/>
        <v>194521.13</v>
      </c>
      <c r="AF337" s="329">
        <f t="shared" si="126"/>
        <v>436642.62</v>
      </c>
      <c r="AG337" s="401">
        <f t="shared" si="127"/>
        <v>262054.140000001</v>
      </c>
      <c r="AH337" s="439"/>
      <c r="AI337" s="400"/>
      <c r="AJ337" s="400"/>
      <c r="AK337" s="400"/>
      <c r="AL337" s="400"/>
      <c r="AM337" s="400"/>
      <c r="AN337" s="400"/>
      <c r="AO337" s="400"/>
      <c r="AP337" s="400"/>
      <c r="AQ337" s="400"/>
      <c r="AR337" s="400"/>
      <c r="AS337" s="400"/>
      <c r="AT337" s="400"/>
      <c r="AU337" s="400"/>
      <c r="AV337" s="400"/>
      <c r="AW337" s="400"/>
      <c r="AX337" s="400"/>
      <c r="AY337" s="400"/>
      <c r="AZ337" s="400"/>
      <c r="BA337" s="400"/>
      <c r="BB337" s="400"/>
      <c r="BC337" s="400"/>
    </row>
    <row r="338" s="366" customFormat="1" spans="1:55">
      <c r="A338" s="395">
        <v>43068</v>
      </c>
      <c r="B338" s="443" t="s">
        <v>37</v>
      </c>
      <c r="C338" s="377"/>
      <c r="D338" s="329"/>
      <c r="E338" s="329"/>
      <c r="F338" s="378"/>
      <c r="G338" s="329"/>
      <c r="H338" s="376"/>
      <c r="I338" s="376"/>
      <c r="J338" s="399">
        <f t="shared" si="121"/>
        <v>0</v>
      </c>
      <c r="K338" s="329"/>
      <c r="L338" s="329"/>
      <c r="M338" s="401">
        <f t="shared" si="123"/>
        <v>0</v>
      </c>
      <c r="N338" s="396">
        <f t="shared" si="125"/>
        <v>0</v>
      </c>
      <c r="O338" s="368">
        <f t="shared" si="125"/>
        <v>0</v>
      </c>
      <c r="P338" s="398">
        <f t="shared" si="125"/>
        <v>0</v>
      </c>
      <c r="Q338" s="414">
        <f t="shared" si="119"/>
        <v>18885074.22</v>
      </c>
      <c r="R338" s="402">
        <f t="shared" si="119"/>
        <v>12411110.8</v>
      </c>
      <c r="S338" s="415">
        <f t="shared" si="119"/>
        <v>32189402.91</v>
      </c>
      <c r="T338" s="416">
        <f>N338/'2018'!N338-1</f>
        <v>-1</v>
      </c>
      <c r="U338" s="417">
        <f>O338/'2018'!O338-1</f>
        <v>-1</v>
      </c>
      <c r="V338" s="417">
        <f>P338/'2018'!P338-1</f>
        <v>-1</v>
      </c>
      <c r="W338" s="417">
        <f>Q338/'2018'!Q338-1</f>
        <v>-0.0675677222951115</v>
      </c>
      <c r="X338" s="417">
        <f>R338/'2018'!R338-1</f>
        <v>-0.0980113708420138</v>
      </c>
      <c r="Y338" s="424">
        <f>S338/'2018'!S338-1</f>
        <v>-0.0838668697987317</v>
      </c>
      <c r="Z338" s="425"/>
      <c r="AA338" s="426">
        <f t="shared" si="122"/>
        <v>1888.507422</v>
      </c>
      <c r="AB338" s="427"/>
      <c r="AC338" s="401"/>
      <c r="AD338" s="427">
        <f t="shared" si="124"/>
        <v>19778292.11</v>
      </c>
      <c r="AE338" s="329">
        <f t="shared" si="126"/>
        <v>194521.13</v>
      </c>
      <c r="AF338" s="329">
        <f t="shared" si="126"/>
        <v>436642.62</v>
      </c>
      <c r="AG338" s="401">
        <f t="shared" si="127"/>
        <v>262054.140000001</v>
      </c>
      <c r="AH338" s="439"/>
      <c r="AI338" s="400"/>
      <c r="AJ338" s="400"/>
      <c r="AK338" s="400"/>
      <c r="AL338" s="400"/>
      <c r="AM338" s="400"/>
      <c r="AN338" s="400"/>
      <c r="AO338" s="400"/>
      <c r="AP338" s="400"/>
      <c r="AQ338" s="400"/>
      <c r="AR338" s="400"/>
      <c r="AS338" s="400"/>
      <c r="AT338" s="400"/>
      <c r="AU338" s="400"/>
      <c r="AV338" s="400"/>
      <c r="AW338" s="400"/>
      <c r="AX338" s="400"/>
      <c r="AY338" s="400"/>
      <c r="AZ338" s="400"/>
      <c r="BA338" s="400"/>
      <c r="BB338" s="400"/>
      <c r="BC338" s="400"/>
    </row>
    <row r="339" s="366" customFormat="1" spans="1:55">
      <c r="A339" s="385">
        <v>43069</v>
      </c>
      <c r="B339" s="386" t="s">
        <v>38</v>
      </c>
      <c r="C339" s="391"/>
      <c r="D339" s="392"/>
      <c r="E339" s="392"/>
      <c r="F339" s="394"/>
      <c r="G339" s="392"/>
      <c r="H339" s="389"/>
      <c r="I339" s="389"/>
      <c r="J339" s="405">
        <f t="shared" si="121"/>
        <v>0</v>
      </c>
      <c r="K339" s="392"/>
      <c r="L339" s="392"/>
      <c r="M339" s="406">
        <f t="shared" si="123"/>
        <v>0</v>
      </c>
      <c r="N339" s="407">
        <f t="shared" ref="N339" si="128">C339+N338</f>
        <v>0</v>
      </c>
      <c r="O339" s="411">
        <f t="shared" ref="O339" si="129">D339+O338</f>
        <v>0</v>
      </c>
      <c r="P339" s="409">
        <f t="shared" ref="P339" si="130">E339+P338</f>
        <v>0</v>
      </c>
      <c r="Q339" s="418">
        <f>[10]表2、统调口径电量!$I$10</f>
        <v>20308551.88</v>
      </c>
      <c r="R339" s="408">
        <f>[10]表2、统调口径电量!$I$14</f>
        <v>13799837.8</v>
      </c>
      <c r="S339" s="419">
        <f>[10]表2、统调口径电量!$I$3</f>
        <v>35238127.4</v>
      </c>
      <c r="T339" s="420">
        <f>N339/'2018'!N339-1</f>
        <v>-1</v>
      </c>
      <c r="U339" s="421">
        <f>O339/'2018'!O339-1</f>
        <v>-1</v>
      </c>
      <c r="V339" s="421">
        <f>P339/'2018'!P339-1</f>
        <v>-1</v>
      </c>
      <c r="W339" s="421">
        <f>Q339/'2018'!Q339-1</f>
        <v>0</v>
      </c>
      <c r="X339" s="421">
        <f>R339/'2018'!R339-1</f>
        <v>0</v>
      </c>
      <c r="Y339" s="431">
        <f>S339/'2018'!S339-1</f>
        <v>0</v>
      </c>
      <c r="Z339" s="432"/>
      <c r="AA339" s="433">
        <f>[10]表2、统调口径电量!$I$11/10000</f>
        <v>1899.200866</v>
      </c>
      <c r="AB339" s="435"/>
      <c r="AC339" s="406" t="e">
        <f t="shared" ref="AC339:AC370" si="131">AA339*10000/AB339</f>
        <v>#DIV/0!</v>
      </c>
      <c r="AD339" s="435">
        <f>[10]表2、统调口径电量!$I$4</f>
        <v>21438289.6</v>
      </c>
      <c r="AE339" s="392">
        <f>[10]表2、统调口径电量!$I$13</f>
        <v>206858.22</v>
      </c>
      <c r="AF339" s="392">
        <f>[10]表2、统调口径电量!$I$17</f>
        <v>641604.94</v>
      </c>
      <c r="AG339" s="406">
        <f t="shared" si="127"/>
        <v>281274.560000003</v>
      </c>
      <c r="AH339" s="439"/>
      <c r="AI339" s="400"/>
      <c r="AJ339" s="400"/>
      <c r="AK339" s="400"/>
      <c r="AL339" s="400"/>
      <c r="AM339" s="400"/>
      <c r="AN339" s="400"/>
      <c r="AO339" s="400"/>
      <c r="AP339" s="400"/>
      <c r="AQ339" s="400"/>
      <c r="AR339" s="400"/>
      <c r="AS339" s="400"/>
      <c r="AT339" s="400"/>
      <c r="AU339" s="400"/>
      <c r="AV339" s="400"/>
      <c r="AW339" s="400"/>
      <c r="AX339" s="400"/>
      <c r="AY339" s="400"/>
      <c r="AZ339" s="400"/>
      <c r="BA339" s="400"/>
      <c r="BB339" s="400"/>
      <c r="BC339" s="400"/>
    </row>
    <row r="340" s="366" customFormat="1" spans="1:55">
      <c r="A340" s="395">
        <v>43070</v>
      </c>
      <c r="B340" s="443" t="s">
        <v>1</v>
      </c>
      <c r="C340" s="377"/>
      <c r="D340" s="329"/>
      <c r="E340" s="329"/>
      <c r="F340" s="378"/>
      <c r="G340" s="329"/>
      <c r="H340" s="376"/>
      <c r="I340" s="376"/>
      <c r="J340" s="399">
        <f t="shared" si="121"/>
        <v>0</v>
      </c>
      <c r="K340" s="329"/>
      <c r="L340" s="329"/>
      <c r="M340" s="401">
        <f t="shared" si="123"/>
        <v>0</v>
      </c>
      <c r="N340" s="396">
        <f>C340</f>
        <v>0</v>
      </c>
      <c r="O340" s="368">
        <f>D340</f>
        <v>0</v>
      </c>
      <c r="P340" s="398">
        <f>E340</f>
        <v>0</v>
      </c>
      <c r="Q340" s="414">
        <f>Q$339+N340</f>
        <v>20308551.88</v>
      </c>
      <c r="R340" s="402">
        <f>R$339+O340</f>
        <v>13799837.8</v>
      </c>
      <c r="S340" s="415">
        <f>S$339+P340</f>
        <v>35238127.4</v>
      </c>
      <c r="T340" s="416">
        <f>N340/'2018'!N340-1</f>
        <v>-1</v>
      </c>
      <c r="U340" s="417">
        <f>O340/'2018'!O340-1</f>
        <v>-1</v>
      </c>
      <c r="V340" s="417">
        <f>P340/'2018'!P340-1</f>
        <v>-1</v>
      </c>
      <c r="W340" s="417">
        <f>Q340/'2018'!Q340-1</f>
        <v>-0.00233679111148954</v>
      </c>
      <c r="X340" s="417">
        <f>R340/'2018'!R340-1</f>
        <v>-0.00296628242317698</v>
      </c>
      <c r="Y340" s="424">
        <f>S340/'2018'!S340-1</f>
        <v>-0.00274212378833094</v>
      </c>
      <c r="Z340" s="425"/>
      <c r="AA340" s="426">
        <f t="shared" si="122"/>
        <v>2030.855188</v>
      </c>
      <c r="AB340" s="427"/>
      <c r="AC340" s="401"/>
      <c r="AD340" s="427">
        <f t="shared" si="124"/>
        <v>21438289.6</v>
      </c>
      <c r="AE340" s="329">
        <f t="shared" si="126"/>
        <v>206858.22</v>
      </c>
      <c r="AF340" s="329">
        <f t="shared" si="126"/>
        <v>641604.94</v>
      </c>
      <c r="AG340" s="401">
        <f t="shared" si="127"/>
        <v>281274.559999999</v>
      </c>
      <c r="AH340" s="439"/>
      <c r="AI340" s="400"/>
      <c r="AJ340" s="400"/>
      <c r="AK340" s="400"/>
      <c r="AL340" s="400"/>
      <c r="AM340" s="400"/>
      <c r="AN340" s="400"/>
      <c r="AO340" s="400"/>
      <c r="AP340" s="400"/>
      <c r="AQ340" s="400"/>
      <c r="AR340" s="400"/>
      <c r="AS340" s="400"/>
      <c r="AT340" s="400"/>
      <c r="AU340" s="400"/>
      <c r="AV340" s="400"/>
      <c r="AW340" s="400"/>
      <c r="AX340" s="400"/>
      <c r="AY340" s="400"/>
      <c r="AZ340" s="400"/>
      <c r="BA340" s="400"/>
      <c r="BB340" s="400"/>
      <c r="BC340" s="400"/>
    </row>
    <row r="341" s="366" customFormat="1" spans="1:55">
      <c r="A341" s="395">
        <v>43071</v>
      </c>
      <c r="B341" s="443" t="s">
        <v>39</v>
      </c>
      <c r="C341" s="377"/>
      <c r="D341" s="329"/>
      <c r="E341" s="329"/>
      <c r="F341" s="378"/>
      <c r="G341" s="329"/>
      <c r="H341" s="376"/>
      <c r="I341" s="376"/>
      <c r="J341" s="399">
        <f t="shared" si="121"/>
        <v>0</v>
      </c>
      <c r="K341" s="329"/>
      <c r="L341" s="329"/>
      <c r="M341" s="401">
        <f t="shared" si="123"/>
        <v>0</v>
      </c>
      <c r="N341" s="396">
        <f t="shared" ref="N341:P356" si="132">N340+C341</f>
        <v>0</v>
      </c>
      <c r="O341" s="368">
        <f t="shared" si="132"/>
        <v>0</v>
      </c>
      <c r="P341" s="398">
        <f t="shared" si="132"/>
        <v>0</v>
      </c>
      <c r="Q341" s="414">
        <f t="shared" ref="Q341:S369" si="133">Q$339+N341</f>
        <v>20308551.88</v>
      </c>
      <c r="R341" s="402">
        <f t="shared" si="133"/>
        <v>13799837.8</v>
      </c>
      <c r="S341" s="415">
        <f t="shared" si="133"/>
        <v>35238127.4</v>
      </c>
      <c r="T341" s="416">
        <f>N341/'2018'!N341-1</f>
        <v>-1</v>
      </c>
      <c r="U341" s="417">
        <f>O341/'2018'!O341-1</f>
        <v>-1</v>
      </c>
      <c r="V341" s="417">
        <f>P341/'2018'!P341-1</f>
        <v>-1</v>
      </c>
      <c r="W341" s="417">
        <f>Q341/'2018'!Q341-1</f>
        <v>-0.00453564136808993</v>
      </c>
      <c r="X341" s="417">
        <f>R341/'2018'!R341-1</f>
        <v>-0.00597008418840839</v>
      </c>
      <c r="Y341" s="424">
        <f>S341/'2018'!S341-1</f>
        <v>-0.00541355862820314</v>
      </c>
      <c r="Z341" s="425"/>
      <c r="AA341" s="426">
        <f t="shared" si="122"/>
        <v>2030.855188</v>
      </c>
      <c r="AB341" s="427"/>
      <c r="AC341" s="401"/>
      <c r="AD341" s="427">
        <f t="shared" si="124"/>
        <v>21438289.6</v>
      </c>
      <c r="AE341" s="329">
        <f t="shared" si="126"/>
        <v>206858.22</v>
      </c>
      <c r="AF341" s="329">
        <f t="shared" si="126"/>
        <v>641604.94</v>
      </c>
      <c r="AG341" s="401">
        <f t="shared" si="127"/>
        <v>281274.559999999</v>
      </c>
      <c r="AH341" s="439"/>
      <c r="AI341" s="400"/>
      <c r="AJ341" s="400"/>
      <c r="AK341" s="400"/>
      <c r="AL341" s="400"/>
      <c r="AM341" s="400"/>
      <c r="AN341" s="400"/>
      <c r="AO341" s="400"/>
      <c r="AP341" s="400"/>
      <c r="AQ341" s="400"/>
      <c r="AR341" s="400"/>
      <c r="AS341" s="400"/>
      <c r="AT341" s="400"/>
      <c r="AU341" s="400"/>
      <c r="AV341" s="400"/>
      <c r="AW341" s="400"/>
      <c r="AX341" s="400"/>
      <c r="AY341" s="400"/>
      <c r="AZ341" s="400"/>
      <c r="BA341" s="400"/>
      <c r="BB341" s="400"/>
      <c r="BC341" s="400"/>
    </row>
    <row r="342" s="366" customFormat="1" spans="1:55">
      <c r="A342" s="395">
        <v>43072</v>
      </c>
      <c r="B342" s="443" t="s">
        <v>34</v>
      </c>
      <c r="C342" s="377"/>
      <c r="D342" s="329"/>
      <c r="E342" s="329"/>
      <c r="F342" s="378"/>
      <c r="G342" s="329"/>
      <c r="H342" s="376"/>
      <c r="I342" s="376"/>
      <c r="J342" s="399">
        <f t="shared" si="121"/>
        <v>0</v>
      </c>
      <c r="K342" s="329"/>
      <c r="L342" s="329"/>
      <c r="M342" s="401">
        <f t="shared" si="123"/>
        <v>0</v>
      </c>
      <c r="N342" s="396">
        <f t="shared" si="132"/>
        <v>0</v>
      </c>
      <c r="O342" s="368">
        <f t="shared" si="132"/>
        <v>0</v>
      </c>
      <c r="P342" s="398">
        <f t="shared" si="132"/>
        <v>0</v>
      </c>
      <c r="Q342" s="414">
        <f t="shared" si="133"/>
        <v>20308551.88</v>
      </c>
      <c r="R342" s="402">
        <f t="shared" si="133"/>
        <v>13799837.8</v>
      </c>
      <c r="S342" s="415">
        <f t="shared" si="133"/>
        <v>35238127.4</v>
      </c>
      <c r="T342" s="416">
        <f>N342/'2018'!N342-1</f>
        <v>-1</v>
      </c>
      <c r="U342" s="417">
        <f>O342/'2018'!O342-1</f>
        <v>-1</v>
      </c>
      <c r="V342" s="417">
        <f>P342/'2018'!P342-1</f>
        <v>-1</v>
      </c>
      <c r="W342" s="417">
        <f>Q342/'2018'!Q342-1</f>
        <v>-0.0070621931334488</v>
      </c>
      <c r="X342" s="417">
        <f>R342/'2018'!R342-1</f>
        <v>-0.00893875929366039</v>
      </c>
      <c r="Y342" s="424">
        <f>S342/'2018'!S342-1</f>
        <v>-0.00825106351869198</v>
      </c>
      <c r="Z342" s="425"/>
      <c r="AA342" s="426">
        <f t="shared" si="122"/>
        <v>2030.855188</v>
      </c>
      <c r="AB342" s="427"/>
      <c r="AC342" s="401"/>
      <c r="AD342" s="427">
        <f t="shared" si="124"/>
        <v>21438289.6</v>
      </c>
      <c r="AE342" s="329">
        <f t="shared" si="126"/>
        <v>206858.22</v>
      </c>
      <c r="AF342" s="329">
        <f t="shared" si="126"/>
        <v>641604.94</v>
      </c>
      <c r="AG342" s="401">
        <f t="shared" si="127"/>
        <v>281274.559999999</v>
      </c>
      <c r="AH342" s="439"/>
      <c r="AI342" s="400"/>
      <c r="AJ342" s="400"/>
      <c r="AK342" s="400"/>
      <c r="AL342" s="400"/>
      <c r="AM342" s="400"/>
      <c r="AN342" s="400"/>
      <c r="AO342" s="400"/>
      <c r="AP342" s="400"/>
      <c r="AQ342" s="400"/>
      <c r="AR342" s="400"/>
      <c r="AS342" s="400"/>
      <c r="AT342" s="400"/>
      <c r="AU342" s="400"/>
      <c r="AV342" s="400"/>
      <c r="AW342" s="400"/>
      <c r="AX342" s="400"/>
      <c r="AY342" s="400"/>
      <c r="AZ342" s="400"/>
      <c r="BA342" s="400"/>
      <c r="BB342" s="400"/>
      <c r="BC342" s="400"/>
    </row>
    <row r="343" s="366" customFormat="1" spans="1:55">
      <c r="A343" s="395">
        <v>43073</v>
      </c>
      <c r="B343" s="443" t="s">
        <v>35</v>
      </c>
      <c r="C343" s="377"/>
      <c r="D343" s="329"/>
      <c r="E343" s="329"/>
      <c r="F343" s="378"/>
      <c r="G343" s="329"/>
      <c r="H343" s="376"/>
      <c r="I343" s="376"/>
      <c r="J343" s="399">
        <f t="shared" si="121"/>
        <v>0</v>
      </c>
      <c r="K343" s="329"/>
      <c r="L343" s="329"/>
      <c r="M343" s="401">
        <f t="shared" si="123"/>
        <v>0</v>
      </c>
      <c r="N343" s="396">
        <f t="shared" si="132"/>
        <v>0</v>
      </c>
      <c r="O343" s="368">
        <f t="shared" si="132"/>
        <v>0</v>
      </c>
      <c r="P343" s="398">
        <f t="shared" si="132"/>
        <v>0</v>
      </c>
      <c r="Q343" s="414">
        <f t="shared" si="133"/>
        <v>20308551.88</v>
      </c>
      <c r="R343" s="402">
        <f t="shared" si="133"/>
        <v>13799837.8</v>
      </c>
      <c r="S343" s="415">
        <f t="shared" si="133"/>
        <v>35238127.4</v>
      </c>
      <c r="T343" s="416">
        <f>N343/'2018'!N343-1</f>
        <v>-1</v>
      </c>
      <c r="U343" s="417">
        <f>O343/'2018'!O343-1</f>
        <v>-1</v>
      </c>
      <c r="V343" s="417">
        <f>P343/'2018'!P343-1</f>
        <v>-1</v>
      </c>
      <c r="W343" s="417">
        <f>Q343/'2018'!Q343-1</f>
        <v>-0.00976622483644118</v>
      </c>
      <c r="X343" s="417">
        <f>R343/'2018'!R343-1</f>
        <v>-0.0118081010747157</v>
      </c>
      <c r="Y343" s="424">
        <f>S343/'2018'!S343-1</f>
        <v>-0.0111539289621253</v>
      </c>
      <c r="Z343" s="425"/>
      <c r="AA343" s="426">
        <f t="shared" si="122"/>
        <v>2030.855188</v>
      </c>
      <c r="AB343" s="427"/>
      <c r="AC343" s="401"/>
      <c r="AD343" s="427">
        <f t="shared" si="124"/>
        <v>21438289.6</v>
      </c>
      <c r="AE343" s="329">
        <f t="shared" ref="AE343:AF358" si="134">AE342+K343</f>
        <v>206858.22</v>
      </c>
      <c r="AF343" s="329">
        <f t="shared" si="134"/>
        <v>641604.94</v>
      </c>
      <c r="AG343" s="401">
        <f t="shared" si="127"/>
        <v>281274.559999999</v>
      </c>
      <c r="AH343" s="439"/>
      <c r="AI343" s="400"/>
      <c r="AJ343" s="400"/>
      <c r="AK343" s="400"/>
      <c r="AL343" s="400"/>
      <c r="AM343" s="400"/>
      <c r="AN343" s="400"/>
      <c r="AO343" s="400"/>
      <c r="AP343" s="400"/>
      <c r="AQ343" s="400"/>
      <c r="AR343" s="400"/>
      <c r="AS343" s="400"/>
      <c r="AT343" s="400"/>
      <c r="AU343" s="400"/>
      <c r="AV343" s="400"/>
      <c r="AW343" s="400"/>
      <c r="AX343" s="400"/>
      <c r="AY343" s="400"/>
      <c r="AZ343" s="400"/>
      <c r="BA343" s="400"/>
      <c r="BB343" s="400"/>
      <c r="BC343" s="400"/>
    </row>
    <row r="344" s="366" customFormat="1" spans="1:55">
      <c r="A344" s="395">
        <v>43074</v>
      </c>
      <c r="B344" s="191" t="s">
        <v>36</v>
      </c>
      <c r="C344" s="377"/>
      <c r="D344" s="329"/>
      <c r="E344" s="329"/>
      <c r="F344" s="453"/>
      <c r="G344" s="329"/>
      <c r="H344" s="376"/>
      <c r="I344" s="376"/>
      <c r="J344" s="399">
        <f t="shared" si="121"/>
        <v>0</v>
      </c>
      <c r="K344" s="329"/>
      <c r="L344" s="329"/>
      <c r="M344" s="401">
        <f t="shared" si="123"/>
        <v>0</v>
      </c>
      <c r="N344" s="396">
        <f t="shared" si="132"/>
        <v>0</v>
      </c>
      <c r="O344" s="368">
        <f t="shared" si="132"/>
        <v>0</v>
      </c>
      <c r="P344" s="398">
        <f t="shared" si="132"/>
        <v>0</v>
      </c>
      <c r="Q344" s="414">
        <f t="shared" si="133"/>
        <v>20308551.88</v>
      </c>
      <c r="R344" s="402">
        <f t="shared" si="133"/>
        <v>13799837.8</v>
      </c>
      <c r="S344" s="415">
        <f t="shared" si="133"/>
        <v>35238127.4</v>
      </c>
      <c r="T344" s="416">
        <f>N344/'2018'!N344-1</f>
        <v>-1</v>
      </c>
      <c r="U344" s="417">
        <f>O344/'2018'!O344-1</f>
        <v>-1</v>
      </c>
      <c r="V344" s="417">
        <f>P344/'2018'!P344-1</f>
        <v>-1</v>
      </c>
      <c r="W344" s="417">
        <f>Q344/'2018'!Q344-1</f>
        <v>-0.0125158800811178</v>
      </c>
      <c r="X344" s="417">
        <f>R344/'2018'!R344-1</f>
        <v>-0.0147141322241188</v>
      </c>
      <c r="Y344" s="424">
        <f>S344/'2018'!S344-1</f>
        <v>-0.0140976696820243</v>
      </c>
      <c r="Z344" s="425"/>
      <c r="AA344" s="426">
        <f t="shared" si="122"/>
        <v>2030.855188</v>
      </c>
      <c r="AB344" s="427"/>
      <c r="AC344" s="401"/>
      <c r="AD344" s="427">
        <f t="shared" si="124"/>
        <v>21438289.6</v>
      </c>
      <c r="AE344" s="329">
        <f t="shared" si="134"/>
        <v>206858.22</v>
      </c>
      <c r="AF344" s="329">
        <f t="shared" si="134"/>
        <v>641604.94</v>
      </c>
      <c r="AG344" s="401">
        <f t="shared" si="127"/>
        <v>281274.559999999</v>
      </c>
      <c r="AH344" s="439"/>
      <c r="AI344" s="400"/>
      <c r="AJ344" s="400"/>
      <c r="AK344" s="400"/>
      <c r="AL344" s="400"/>
      <c r="AM344" s="400"/>
      <c r="AN344" s="400"/>
      <c r="AO344" s="400"/>
      <c r="AP344" s="400"/>
      <c r="AQ344" s="400"/>
      <c r="AR344" s="400"/>
      <c r="AS344" s="400"/>
      <c r="AT344" s="400"/>
      <c r="AU344" s="400"/>
      <c r="AV344" s="400"/>
      <c r="AW344" s="400"/>
      <c r="AX344" s="400"/>
      <c r="AY344" s="400"/>
      <c r="AZ344" s="400"/>
      <c r="BA344" s="400"/>
      <c r="BB344" s="400"/>
      <c r="BC344" s="400"/>
    </row>
    <row r="345" s="366" customFormat="1" spans="1:55">
      <c r="A345" s="395">
        <v>43075</v>
      </c>
      <c r="B345" s="443" t="s">
        <v>37</v>
      </c>
      <c r="C345" s="377"/>
      <c r="D345" s="329"/>
      <c r="E345" s="329"/>
      <c r="F345" s="378"/>
      <c r="G345" s="329"/>
      <c r="H345" s="376"/>
      <c r="I345" s="376"/>
      <c r="J345" s="399">
        <f t="shared" si="121"/>
        <v>0</v>
      </c>
      <c r="K345" s="329"/>
      <c r="L345" s="329"/>
      <c r="M345" s="401">
        <f t="shared" si="123"/>
        <v>0</v>
      </c>
      <c r="N345" s="396">
        <f t="shared" si="132"/>
        <v>0</v>
      </c>
      <c r="O345" s="368">
        <f t="shared" si="132"/>
        <v>0</v>
      </c>
      <c r="P345" s="398">
        <f t="shared" si="132"/>
        <v>0</v>
      </c>
      <c r="Q345" s="414">
        <f t="shared" si="133"/>
        <v>20308551.88</v>
      </c>
      <c r="R345" s="402">
        <f t="shared" si="133"/>
        <v>13799837.8</v>
      </c>
      <c r="S345" s="415">
        <f t="shared" si="133"/>
        <v>35238127.4</v>
      </c>
      <c r="T345" s="416">
        <f>N345/'2018'!N345-1</f>
        <v>-1</v>
      </c>
      <c r="U345" s="417">
        <f>O345/'2018'!O345-1</f>
        <v>-1</v>
      </c>
      <c r="V345" s="417">
        <f>P345/'2018'!P345-1</f>
        <v>-1</v>
      </c>
      <c r="W345" s="417">
        <f>Q345/'2018'!Q345-1</f>
        <v>-0.0153000124386513</v>
      </c>
      <c r="X345" s="417">
        <f>R345/'2018'!R345-1</f>
        <v>-0.0176240320119372</v>
      </c>
      <c r="Y345" s="424">
        <f>S345/'2018'!S345-1</f>
        <v>-0.0170605953592072</v>
      </c>
      <c r="Z345" s="425"/>
      <c r="AA345" s="426">
        <f t="shared" si="122"/>
        <v>2030.855188</v>
      </c>
      <c r="AB345" s="427"/>
      <c r="AC345" s="401"/>
      <c r="AD345" s="427">
        <f t="shared" si="124"/>
        <v>21438289.6</v>
      </c>
      <c r="AE345" s="329">
        <f t="shared" si="134"/>
        <v>206858.22</v>
      </c>
      <c r="AF345" s="329">
        <f t="shared" si="134"/>
        <v>641604.94</v>
      </c>
      <c r="AG345" s="401">
        <f t="shared" si="127"/>
        <v>281274.559999999</v>
      </c>
      <c r="AH345" s="440">
        <f>AD345/'2017'!AD345-1</f>
        <v>0.00881800774308195</v>
      </c>
      <c r="AI345" s="446">
        <f>(AD345-AD338)/('2017'!AD345-'2017'!AD338)-1</f>
        <v>2.58539657559118</v>
      </c>
      <c r="AJ345" s="400"/>
      <c r="AK345" s="400"/>
      <c r="AL345" s="400"/>
      <c r="AM345" s="400"/>
      <c r="AN345" s="400"/>
      <c r="AO345" s="400"/>
      <c r="AP345" s="400"/>
      <c r="AQ345" s="400"/>
      <c r="AR345" s="400"/>
      <c r="AS345" s="400"/>
      <c r="AT345" s="400"/>
      <c r="AU345" s="400"/>
      <c r="AV345" s="400"/>
      <c r="AW345" s="400"/>
      <c r="AX345" s="400"/>
      <c r="AY345" s="400"/>
      <c r="AZ345" s="400"/>
      <c r="BA345" s="400"/>
      <c r="BB345" s="400"/>
      <c r="BC345" s="400"/>
    </row>
    <row r="346" s="366" customFormat="1" spans="1:55">
      <c r="A346" s="395">
        <v>43076</v>
      </c>
      <c r="B346" s="443" t="s">
        <v>38</v>
      </c>
      <c r="C346" s="377"/>
      <c r="D346" s="329"/>
      <c r="E346" s="329"/>
      <c r="F346" s="378"/>
      <c r="G346" s="329"/>
      <c r="H346" s="376"/>
      <c r="I346" s="376"/>
      <c r="J346" s="399">
        <f t="shared" si="121"/>
        <v>0</v>
      </c>
      <c r="K346" s="329"/>
      <c r="L346" s="329"/>
      <c r="M346" s="401">
        <f t="shared" si="123"/>
        <v>0</v>
      </c>
      <c r="N346" s="396">
        <f t="shared" si="132"/>
        <v>0</v>
      </c>
      <c r="O346" s="368">
        <f t="shared" si="132"/>
        <v>0</v>
      </c>
      <c r="P346" s="398">
        <f t="shared" si="132"/>
        <v>0</v>
      </c>
      <c r="Q346" s="414">
        <f t="shared" si="133"/>
        <v>20308551.88</v>
      </c>
      <c r="R346" s="402">
        <f t="shared" si="133"/>
        <v>13799837.8</v>
      </c>
      <c r="S346" s="415">
        <f t="shared" si="133"/>
        <v>35238127.4</v>
      </c>
      <c r="T346" s="416">
        <f>N346/'2018'!N346-1</f>
        <v>-1</v>
      </c>
      <c r="U346" s="417">
        <f>O346/'2018'!O346-1</f>
        <v>-1</v>
      </c>
      <c r="V346" s="417">
        <f>P346/'2018'!P346-1</f>
        <v>-1</v>
      </c>
      <c r="W346" s="417">
        <f>Q346/'2018'!Q346-1</f>
        <v>-0.018450436077068</v>
      </c>
      <c r="X346" s="417">
        <f>R346/'2018'!R346-1</f>
        <v>-0.0203234166227712</v>
      </c>
      <c r="Y346" s="424">
        <f>S346/'2018'!S346-1</f>
        <v>-0.0201478757737524</v>
      </c>
      <c r="Z346" s="425"/>
      <c r="AA346" s="426">
        <f t="shared" si="122"/>
        <v>2030.855188</v>
      </c>
      <c r="AB346" s="427"/>
      <c r="AC346" s="401"/>
      <c r="AD346" s="427">
        <f t="shared" si="124"/>
        <v>21438289.6</v>
      </c>
      <c r="AE346" s="329">
        <f t="shared" si="134"/>
        <v>206858.22</v>
      </c>
      <c r="AF346" s="329">
        <f t="shared" si="134"/>
        <v>641604.94</v>
      </c>
      <c r="AG346" s="401">
        <f t="shared" si="127"/>
        <v>281274.559999999</v>
      </c>
      <c r="AH346" s="439"/>
      <c r="AI346" s="400"/>
      <c r="AJ346" s="400"/>
      <c r="AK346" s="400"/>
      <c r="AL346" s="400"/>
      <c r="AM346" s="400"/>
      <c r="AN346" s="400"/>
      <c r="AO346" s="400"/>
      <c r="AP346" s="400"/>
      <c r="AQ346" s="400"/>
      <c r="AR346" s="400"/>
      <c r="AS346" s="400"/>
      <c r="AT346" s="400"/>
      <c r="AU346" s="400"/>
      <c r="AV346" s="400"/>
      <c r="AW346" s="400"/>
      <c r="AX346" s="400"/>
      <c r="AY346" s="400"/>
      <c r="AZ346" s="400"/>
      <c r="BA346" s="400"/>
      <c r="BB346" s="400"/>
      <c r="BC346" s="400"/>
    </row>
    <row r="347" s="366" customFormat="1" spans="1:55">
      <c r="A347" s="395">
        <v>43077</v>
      </c>
      <c r="B347" s="443" t="s">
        <v>1</v>
      </c>
      <c r="C347" s="377"/>
      <c r="D347" s="329"/>
      <c r="E347" s="329"/>
      <c r="F347" s="378"/>
      <c r="G347" s="329"/>
      <c r="H347" s="376"/>
      <c r="I347" s="376"/>
      <c r="J347" s="399">
        <f t="shared" si="121"/>
        <v>0</v>
      </c>
      <c r="K347" s="329"/>
      <c r="L347" s="329"/>
      <c r="M347" s="401">
        <f t="shared" si="123"/>
        <v>0</v>
      </c>
      <c r="N347" s="396">
        <f t="shared" si="132"/>
        <v>0</v>
      </c>
      <c r="O347" s="368">
        <f t="shared" si="132"/>
        <v>0</v>
      </c>
      <c r="P347" s="398">
        <f t="shared" si="132"/>
        <v>0</v>
      </c>
      <c r="Q347" s="414">
        <f t="shared" si="133"/>
        <v>20308551.88</v>
      </c>
      <c r="R347" s="402">
        <f t="shared" si="133"/>
        <v>13799837.8</v>
      </c>
      <c r="S347" s="415">
        <f t="shared" si="133"/>
        <v>35238127.4</v>
      </c>
      <c r="T347" s="416">
        <f>N347/'2018'!N347-1</f>
        <v>-1</v>
      </c>
      <c r="U347" s="417">
        <f>O347/'2018'!O347-1</f>
        <v>-1</v>
      </c>
      <c r="V347" s="417">
        <f>P347/'2018'!P347-1</f>
        <v>-1</v>
      </c>
      <c r="W347" s="417">
        <f>Q347/'2018'!Q347-1</f>
        <v>-0.0218070223665655</v>
      </c>
      <c r="X347" s="417">
        <f>R347/'2018'!R347-1</f>
        <v>-0.0229802005743273</v>
      </c>
      <c r="Y347" s="424">
        <f>S347/'2018'!S347-1</f>
        <v>-0.0233463935082631</v>
      </c>
      <c r="Z347" s="425"/>
      <c r="AA347" s="426">
        <f t="shared" si="122"/>
        <v>2030.855188</v>
      </c>
      <c r="AB347" s="427"/>
      <c r="AC347" s="401"/>
      <c r="AD347" s="427">
        <f t="shared" si="124"/>
        <v>21438289.6</v>
      </c>
      <c r="AE347" s="329">
        <f t="shared" si="134"/>
        <v>206858.22</v>
      </c>
      <c r="AF347" s="329">
        <f t="shared" si="134"/>
        <v>641604.94</v>
      </c>
      <c r="AG347" s="401">
        <f t="shared" si="127"/>
        <v>281274.559999999</v>
      </c>
      <c r="AH347" s="439"/>
      <c r="AI347" s="400"/>
      <c r="AJ347" s="400"/>
      <c r="AK347" s="400"/>
      <c r="AL347" s="400"/>
      <c r="AM347" s="400"/>
      <c r="AN347" s="400"/>
      <c r="AO347" s="400"/>
      <c r="AP347" s="400"/>
      <c r="AQ347" s="400"/>
      <c r="AR347" s="400"/>
      <c r="AS347" s="400"/>
      <c r="AT347" s="400"/>
      <c r="AU347" s="400"/>
      <c r="AV347" s="400"/>
      <c r="AW347" s="400"/>
      <c r="AX347" s="400"/>
      <c r="AY347" s="400"/>
      <c r="AZ347" s="400"/>
      <c r="BA347" s="400"/>
      <c r="BB347" s="400"/>
      <c r="BC347" s="400"/>
    </row>
    <row r="348" s="366" customFormat="1" spans="1:55">
      <c r="A348" s="395">
        <v>43078</v>
      </c>
      <c r="B348" s="443" t="s">
        <v>39</v>
      </c>
      <c r="C348" s="377"/>
      <c r="D348" s="329"/>
      <c r="E348" s="329"/>
      <c r="F348" s="378"/>
      <c r="G348" s="329"/>
      <c r="H348" s="376"/>
      <c r="I348" s="376"/>
      <c r="J348" s="399">
        <f t="shared" si="121"/>
        <v>0</v>
      </c>
      <c r="K348" s="329"/>
      <c r="L348" s="329"/>
      <c r="M348" s="401">
        <f t="shared" si="123"/>
        <v>0</v>
      </c>
      <c r="N348" s="396">
        <f t="shared" si="132"/>
        <v>0</v>
      </c>
      <c r="O348" s="368">
        <f t="shared" si="132"/>
        <v>0</v>
      </c>
      <c r="P348" s="398">
        <f t="shared" si="132"/>
        <v>0</v>
      </c>
      <c r="Q348" s="414">
        <f t="shared" si="133"/>
        <v>20308551.88</v>
      </c>
      <c r="R348" s="402">
        <f t="shared" si="133"/>
        <v>13799837.8</v>
      </c>
      <c r="S348" s="415">
        <f t="shared" si="133"/>
        <v>35238127.4</v>
      </c>
      <c r="T348" s="416">
        <f>N348/'2018'!N348-1</f>
        <v>-1</v>
      </c>
      <c r="U348" s="417">
        <f>O348/'2018'!O348-1</f>
        <v>-1</v>
      </c>
      <c r="V348" s="417">
        <f>P348/'2018'!P348-1</f>
        <v>-1</v>
      </c>
      <c r="W348" s="417">
        <f>Q348/'2018'!Q348-1</f>
        <v>-0.0251491063238249</v>
      </c>
      <c r="X348" s="417">
        <f>R348/'2018'!R348-1</f>
        <v>-0.025451274681637</v>
      </c>
      <c r="Y348" s="424">
        <f>S348/'2018'!S348-1</f>
        <v>-0.0264503784176294</v>
      </c>
      <c r="Z348" s="425"/>
      <c r="AA348" s="426">
        <f t="shared" si="122"/>
        <v>2030.855188</v>
      </c>
      <c r="AB348" s="427"/>
      <c r="AC348" s="401"/>
      <c r="AD348" s="427">
        <f t="shared" si="124"/>
        <v>21438289.6</v>
      </c>
      <c r="AE348" s="329">
        <f t="shared" si="134"/>
        <v>206858.22</v>
      </c>
      <c r="AF348" s="329">
        <f t="shared" si="134"/>
        <v>641604.94</v>
      </c>
      <c r="AG348" s="401">
        <f t="shared" si="127"/>
        <v>281274.559999999</v>
      </c>
      <c r="AH348" s="439"/>
      <c r="AI348" s="400"/>
      <c r="AJ348" s="400"/>
      <c r="AK348" s="400"/>
      <c r="AL348" s="400"/>
      <c r="AM348" s="400"/>
      <c r="AN348" s="400"/>
      <c r="AO348" s="400"/>
      <c r="AP348" s="400"/>
      <c r="AQ348" s="400"/>
      <c r="AR348" s="400"/>
      <c r="AS348" s="400"/>
      <c r="AT348" s="400"/>
      <c r="AU348" s="400"/>
      <c r="AV348" s="400"/>
      <c r="AW348" s="400"/>
      <c r="AX348" s="400"/>
      <c r="AY348" s="400"/>
      <c r="AZ348" s="400"/>
      <c r="BA348" s="400"/>
      <c r="BB348" s="400"/>
      <c r="BC348" s="400"/>
    </row>
    <row r="349" s="366" customFormat="1" spans="1:55">
      <c r="A349" s="395">
        <v>43079</v>
      </c>
      <c r="B349" s="443" t="s">
        <v>34</v>
      </c>
      <c r="C349" s="377"/>
      <c r="D349" s="329"/>
      <c r="E349" s="329"/>
      <c r="F349" s="378"/>
      <c r="G349" s="329"/>
      <c r="H349" s="376"/>
      <c r="I349" s="376"/>
      <c r="J349" s="399">
        <f t="shared" si="121"/>
        <v>0</v>
      </c>
      <c r="K349" s="329"/>
      <c r="L349" s="329"/>
      <c r="M349" s="401">
        <f t="shared" si="123"/>
        <v>0</v>
      </c>
      <c r="N349" s="396">
        <f t="shared" si="132"/>
        <v>0</v>
      </c>
      <c r="O349" s="368">
        <f t="shared" si="132"/>
        <v>0</v>
      </c>
      <c r="P349" s="398">
        <f t="shared" si="132"/>
        <v>0</v>
      </c>
      <c r="Q349" s="414">
        <f t="shared" si="133"/>
        <v>20308551.88</v>
      </c>
      <c r="R349" s="402">
        <f t="shared" si="133"/>
        <v>13799837.8</v>
      </c>
      <c r="S349" s="415">
        <f t="shared" si="133"/>
        <v>35238127.4</v>
      </c>
      <c r="T349" s="416">
        <f>N349/'2018'!N349-1</f>
        <v>-1</v>
      </c>
      <c r="U349" s="417">
        <f>O349/'2018'!O349-1</f>
        <v>-1</v>
      </c>
      <c r="V349" s="417">
        <f>P349/'2018'!P349-1</f>
        <v>-1</v>
      </c>
      <c r="W349" s="417">
        <f>Q349/'2018'!Q349-1</f>
        <v>-0.0285637917197338</v>
      </c>
      <c r="X349" s="417">
        <f>R349/'2018'!R349-1</f>
        <v>-0.02810342408259</v>
      </c>
      <c r="Y349" s="424">
        <f>S349/'2018'!S349-1</f>
        <v>-0.0296732545128773</v>
      </c>
      <c r="Z349" s="425"/>
      <c r="AA349" s="426">
        <f t="shared" si="122"/>
        <v>2030.855188</v>
      </c>
      <c r="AB349" s="427"/>
      <c r="AC349" s="401"/>
      <c r="AD349" s="427">
        <f t="shared" si="124"/>
        <v>21438289.6</v>
      </c>
      <c r="AE349" s="329">
        <f t="shared" si="134"/>
        <v>206858.22</v>
      </c>
      <c r="AF349" s="329">
        <f t="shared" si="134"/>
        <v>641604.94</v>
      </c>
      <c r="AG349" s="401">
        <f t="shared" si="127"/>
        <v>281274.559999999</v>
      </c>
      <c r="AH349" s="439"/>
      <c r="AI349" s="400"/>
      <c r="AJ349" s="400"/>
      <c r="AK349" s="400"/>
      <c r="AL349" s="400"/>
      <c r="AM349" s="400"/>
      <c r="AN349" s="400"/>
      <c r="AO349" s="400"/>
      <c r="AP349" s="400"/>
      <c r="AQ349" s="400"/>
      <c r="AR349" s="400"/>
      <c r="AS349" s="400"/>
      <c r="AT349" s="400"/>
      <c r="AU349" s="400"/>
      <c r="AV349" s="400"/>
      <c r="AW349" s="400"/>
      <c r="AX349" s="400"/>
      <c r="AY349" s="400"/>
      <c r="AZ349" s="400"/>
      <c r="BA349" s="400"/>
      <c r="BB349" s="400"/>
      <c r="BC349" s="400"/>
    </row>
    <row r="350" s="366" customFormat="1" spans="1:55">
      <c r="A350" s="395">
        <v>43080</v>
      </c>
      <c r="B350" s="443" t="s">
        <v>35</v>
      </c>
      <c r="C350" s="377"/>
      <c r="D350" s="329"/>
      <c r="E350" s="329"/>
      <c r="F350" s="378"/>
      <c r="G350" s="329"/>
      <c r="H350" s="376"/>
      <c r="I350" s="376"/>
      <c r="J350" s="399">
        <f t="shared" si="121"/>
        <v>0</v>
      </c>
      <c r="K350" s="329"/>
      <c r="L350" s="329"/>
      <c r="M350" s="401">
        <f t="shared" si="123"/>
        <v>0</v>
      </c>
      <c r="N350" s="396">
        <f t="shared" si="132"/>
        <v>0</v>
      </c>
      <c r="O350" s="368">
        <f t="shared" si="132"/>
        <v>0</v>
      </c>
      <c r="P350" s="398">
        <f t="shared" si="132"/>
        <v>0</v>
      </c>
      <c r="Q350" s="414">
        <f t="shared" si="133"/>
        <v>20308551.88</v>
      </c>
      <c r="R350" s="402">
        <f t="shared" si="133"/>
        <v>13799837.8</v>
      </c>
      <c r="S350" s="415">
        <f t="shared" si="133"/>
        <v>35238127.4</v>
      </c>
      <c r="T350" s="416">
        <f>N350/'2018'!N350-1</f>
        <v>-1</v>
      </c>
      <c r="U350" s="417">
        <f>O350/'2018'!O350-1</f>
        <v>-1</v>
      </c>
      <c r="V350" s="417">
        <f>P350/'2018'!P350-1</f>
        <v>-1</v>
      </c>
      <c r="W350" s="417">
        <f>Q350/'2018'!Q350-1</f>
        <v>-0.0318676040005698</v>
      </c>
      <c r="X350" s="417">
        <f>R350/'2018'!R350-1</f>
        <v>-0.0308108841329362</v>
      </c>
      <c r="Y350" s="424">
        <f>S350/'2018'!S350-1</f>
        <v>-0.0328523536300144</v>
      </c>
      <c r="Z350" s="425"/>
      <c r="AA350" s="426">
        <f t="shared" si="122"/>
        <v>2030.855188</v>
      </c>
      <c r="AB350" s="427"/>
      <c r="AC350" s="401"/>
      <c r="AD350" s="427">
        <f t="shared" si="124"/>
        <v>21438289.6</v>
      </c>
      <c r="AE350" s="329">
        <f t="shared" si="134"/>
        <v>206858.22</v>
      </c>
      <c r="AF350" s="329">
        <f t="shared" si="134"/>
        <v>641604.94</v>
      </c>
      <c r="AG350" s="401">
        <f t="shared" si="127"/>
        <v>281274.559999999</v>
      </c>
      <c r="AH350" s="439"/>
      <c r="AI350" s="400"/>
      <c r="AJ350" s="400"/>
      <c r="AK350" s="400"/>
      <c r="AL350" s="400"/>
      <c r="AM350" s="400"/>
      <c r="AN350" s="400"/>
      <c r="AO350" s="400"/>
      <c r="AP350" s="400"/>
      <c r="AQ350" s="400"/>
      <c r="AR350" s="400"/>
      <c r="AS350" s="400"/>
      <c r="AT350" s="400"/>
      <c r="AU350" s="400"/>
      <c r="AV350" s="400"/>
      <c r="AW350" s="400"/>
      <c r="AX350" s="400"/>
      <c r="AY350" s="400"/>
      <c r="AZ350" s="400"/>
      <c r="BA350" s="400"/>
      <c r="BB350" s="400"/>
      <c r="BC350" s="400"/>
    </row>
    <row r="351" s="366" customFormat="1" spans="1:55">
      <c r="A351" s="395">
        <v>43081</v>
      </c>
      <c r="B351" s="191" t="s">
        <v>36</v>
      </c>
      <c r="C351" s="377"/>
      <c r="D351" s="329"/>
      <c r="E351" s="329"/>
      <c r="F351" s="378"/>
      <c r="G351" s="329"/>
      <c r="H351" s="376"/>
      <c r="I351" s="376"/>
      <c r="J351" s="399">
        <f t="shared" si="121"/>
        <v>0</v>
      </c>
      <c r="K351" s="329"/>
      <c r="L351" s="329"/>
      <c r="M351" s="401">
        <f t="shared" si="123"/>
        <v>0</v>
      </c>
      <c r="N351" s="396">
        <f t="shared" si="132"/>
        <v>0</v>
      </c>
      <c r="O351" s="368">
        <f t="shared" si="132"/>
        <v>0</v>
      </c>
      <c r="P351" s="398">
        <f t="shared" si="132"/>
        <v>0</v>
      </c>
      <c r="Q351" s="414">
        <f t="shared" si="133"/>
        <v>20308551.88</v>
      </c>
      <c r="R351" s="402">
        <f t="shared" si="133"/>
        <v>13799837.8</v>
      </c>
      <c r="S351" s="415">
        <f t="shared" si="133"/>
        <v>35238127.4</v>
      </c>
      <c r="T351" s="416">
        <f>N351/'2018'!N351-1</f>
        <v>-1</v>
      </c>
      <c r="U351" s="417">
        <f>O351/'2018'!O351-1</f>
        <v>-1</v>
      </c>
      <c r="V351" s="417">
        <f>P351/'2018'!P351-1</f>
        <v>-1</v>
      </c>
      <c r="W351" s="417">
        <f>Q351/'2018'!Q351-1</f>
        <v>-0.0352286829826833</v>
      </c>
      <c r="X351" s="417">
        <f>R351/'2018'!R351-1</f>
        <v>-0.033529361562022</v>
      </c>
      <c r="Y351" s="424">
        <f>S351/'2018'!S351-1</f>
        <v>-0.0360630598602676</v>
      </c>
      <c r="Z351" s="425"/>
      <c r="AA351" s="426">
        <f t="shared" si="122"/>
        <v>2030.855188</v>
      </c>
      <c r="AB351" s="427"/>
      <c r="AC351" s="401"/>
      <c r="AD351" s="427">
        <f t="shared" si="124"/>
        <v>21438289.6</v>
      </c>
      <c r="AE351" s="329">
        <f t="shared" si="134"/>
        <v>206858.22</v>
      </c>
      <c r="AF351" s="329">
        <f t="shared" si="134"/>
        <v>641604.94</v>
      </c>
      <c r="AG351" s="401">
        <f t="shared" si="127"/>
        <v>281274.559999999</v>
      </c>
      <c r="AH351" s="439"/>
      <c r="AI351" s="400"/>
      <c r="AJ351" s="400"/>
      <c r="AK351" s="400"/>
      <c r="AL351" s="400"/>
      <c r="AM351" s="400"/>
      <c r="AN351" s="400"/>
      <c r="AO351" s="400"/>
      <c r="AP351" s="400"/>
      <c r="AQ351" s="400"/>
      <c r="AR351" s="400"/>
      <c r="AS351" s="400"/>
      <c r="AT351" s="400"/>
      <c r="AU351" s="400"/>
      <c r="AV351" s="400"/>
      <c r="AW351" s="400"/>
      <c r="AX351" s="400"/>
      <c r="AY351" s="400"/>
      <c r="AZ351" s="400"/>
      <c r="BA351" s="400"/>
      <c r="BB351" s="400"/>
      <c r="BC351" s="400"/>
    </row>
    <row r="352" s="366" customFormat="1" spans="1:55">
      <c r="A352" s="395">
        <v>43082</v>
      </c>
      <c r="B352" s="443" t="s">
        <v>37</v>
      </c>
      <c r="C352" s="377"/>
      <c r="D352" s="329"/>
      <c r="E352" s="329"/>
      <c r="F352" s="378"/>
      <c r="G352" s="329"/>
      <c r="H352" s="376"/>
      <c r="I352" s="376"/>
      <c r="J352" s="399">
        <f t="shared" si="121"/>
        <v>0</v>
      </c>
      <c r="K352" s="329"/>
      <c r="L352" s="329"/>
      <c r="M352" s="401">
        <f t="shared" si="123"/>
        <v>0</v>
      </c>
      <c r="N352" s="396">
        <f t="shared" si="132"/>
        <v>0</v>
      </c>
      <c r="O352" s="368">
        <f t="shared" si="132"/>
        <v>0</v>
      </c>
      <c r="P352" s="398">
        <f t="shared" si="132"/>
        <v>0</v>
      </c>
      <c r="Q352" s="414">
        <f t="shared" si="133"/>
        <v>20308551.88</v>
      </c>
      <c r="R352" s="402">
        <f t="shared" si="133"/>
        <v>13799837.8</v>
      </c>
      <c r="S352" s="415">
        <f t="shared" si="133"/>
        <v>35238127.4</v>
      </c>
      <c r="T352" s="416">
        <f>N352/'2018'!N352-1</f>
        <v>-1</v>
      </c>
      <c r="U352" s="417">
        <f>O352/'2018'!O352-1</f>
        <v>-1</v>
      </c>
      <c r="V352" s="417">
        <f>P352/'2018'!P352-1</f>
        <v>-1</v>
      </c>
      <c r="W352" s="417">
        <f>Q352/'2018'!Q352-1</f>
        <v>-0.0387159095361925</v>
      </c>
      <c r="X352" s="417">
        <f>R352/'2018'!R352-1</f>
        <v>-0.0362607657048497</v>
      </c>
      <c r="Y352" s="424">
        <f>S352/'2018'!S352-1</f>
        <v>-0.039342775870707</v>
      </c>
      <c r="Z352" s="425"/>
      <c r="AA352" s="426">
        <f t="shared" si="122"/>
        <v>2030.855188</v>
      </c>
      <c r="AB352" s="427"/>
      <c r="AC352" s="401"/>
      <c r="AD352" s="427">
        <f t="shared" si="124"/>
        <v>21438289.6</v>
      </c>
      <c r="AE352" s="329">
        <f t="shared" si="134"/>
        <v>206858.22</v>
      </c>
      <c r="AF352" s="329">
        <f t="shared" si="134"/>
        <v>641604.94</v>
      </c>
      <c r="AG352" s="401">
        <f t="shared" si="127"/>
        <v>281274.559999999</v>
      </c>
      <c r="AH352" s="439"/>
      <c r="AI352" s="400"/>
      <c r="AJ352" s="400"/>
      <c r="AK352" s="400"/>
      <c r="AL352" s="400"/>
      <c r="AM352" s="400"/>
      <c r="AN352" s="400"/>
      <c r="AO352" s="400"/>
      <c r="AP352" s="400"/>
      <c r="AQ352" s="400"/>
      <c r="AR352" s="400"/>
      <c r="AS352" s="400"/>
      <c r="AT352" s="400"/>
      <c r="AU352" s="400"/>
      <c r="AV352" s="400"/>
      <c r="AW352" s="400"/>
      <c r="AX352" s="400"/>
      <c r="AY352" s="400"/>
      <c r="AZ352" s="400"/>
      <c r="BA352" s="400"/>
      <c r="BB352" s="400"/>
      <c r="BC352" s="400"/>
    </row>
    <row r="353" s="366" customFormat="1" spans="1:55">
      <c r="A353" s="395">
        <v>43083</v>
      </c>
      <c r="B353" s="443" t="s">
        <v>38</v>
      </c>
      <c r="C353" s="377"/>
      <c r="D353" s="329"/>
      <c r="E353" s="329"/>
      <c r="F353" s="378"/>
      <c r="G353" s="329"/>
      <c r="H353" s="376"/>
      <c r="I353" s="376"/>
      <c r="J353" s="399">
        <f t="shared" si="121"/>
        <v>0</v>
      </c>
      <c r="K353" s="329"/>
      <c r="L353" s="329"/>
      <c r="M353" s="401">
        <f t="shared" si="123"/>
        <v>0</v>
      </c>
      <c r="N353" s="396">
        <f t="shared" si="132"/>
        <v>0</v>
      </c>
      <c r="O353" s="368">
        <f t="shared" si="132"/>
        <v>0</v>
      </c>
      <c r="P353" s="398">
        <f t="shared" si="132"/>
        <v>0</v>
      </c>
      <c r="Q353" s="414">
        <f t="shared" si="133"/>
        <v>20308551.88</v>
      </c>
      <c r="R353" s="402">
        <f t="shared" si="133"/>
        <v>13799837.8</v>
      </c>
      <c r="S353" s="415">
        <f t="shared" si="133"/>
        <v>35238127.4</v>
      </c>
      <c r="T353" s="416">
        <f>N353/'2018'!N353-1</f>
        <v>-1</v>
      </c>
      <c r="U353" s="417">
        <f>O353/'2018'!O353-1</f>
        <v>-1</v>
      </c>
      <c r="V353" s="417">
        <f>P353/'2018'!P353-1</f>
        <v>-1</v>
      </c>
      <c r="W353" s="417">
        <f>Q353/'2018'!Q353-1</f>
        <v>-0.0422162331477909</v>
      </c>
      <c r="X353" s="417">
        <f>R353/'2018'!R353-1</f>
        <v>-0.0390179321918627</v>
      </c>
      <c r="Y353" s="424">
        <f>S353/'2018'!S353-1</f>
        <v>-0.0426371852511322</v>
      </c>
      <c r="Z353" s="425"/>
      <c r="AA353" s="426">
        <f t="shared" si="122"/>
        <v>2030.855188</v>
      </c>
      <c r="AB353" s="427"/>
      <c r="AC353" s="401"/>
      <c r="AD353" s="427">
        <f t="shared" si="124"/>
        <v>21438289.6</v>
      </c>
      <c r="AE353" s="329">
        <f t="shared" si="134"/>
        <v>206858.22</v>
      </c>
      <c r="AF353" s="329">
        <f t="shared" si="134"/>
        <v>641604.94</v>
      </c>
      <c r="AG353" s="401">
        <f t="shared" si="127"/>
        <v>281274.559999999</v>
      </c>
      <c r="AH353" s="439"/>
      <c r="AI353" s="400"/>
      <c r="AJ353" s="400"/>
      <c r="AK353" s="400"/>
      <c r="AL353" s="400"/>
      <c r="AM353" s="400"/>
      <c r="AN353" s="400"/>
      <c r="AO353" s="400"/>
      <c r="AP353" s="400"/>
      <c r="AQ353" s="400"/>
      <c r="AR353" s="400"/>
      <c r="AS353" s="400"/>
      <c r="AT353" s="400"/>
      <c r="AU353" s="400"/>
      <c r="AV353" s="400"/>
      <c r="AW353" s="400"/>
      <c r="AX353" s="400"/>
      <c r="AY353" s="400"/>
      <c r="AZ353" s="400"/>
      <c r="BA353" s="400"/>
      <c r="BB353" s="400"/>
      <c r="BC353" s="400"/>
    </row>
    <row r="354" s="366" customFormat="1" spans="1:55">
      <c r="A354" s="395">
        <v>43084</v>
      </c>
      <c r="B354" s="443" t="s">
        <v>1</v>
      </c>
      <c r="C354" s="377"/>
      <c r="D354" s="329"/>
      <c r="E354" s="329"/>
      <c r="F354" s="378"/>
      <c r="G354" s="329"/>
      <c r="H354" s="376"/>
      <c r="I354" s="376"/>
      <c r="J354" s="399">
        <f t="shared" si="121"/>
        <v>0</v>
      </c>
      <c r="K354" s="329"/>
      <c r="L354" s="329"/>
      <c r="M354" s="401">
        <f t="shared" si="123"/>
        <v>0</v>
      </c>
      <c r="N354" s="396">
        <f t="shared" si="132"/>
        <v>0</v>
      </c>
      <c r="O354" s="368">
        <f t="shared" si="132"/>
        <v>0</v>
      </c>
      <c r="P354" s="398">
        <f t="shared" si="132"/>
        <v>0</v>
      </c>
      <c r="Q354" s="414">
        <f t="shared" si="133"/>
        <v>20308551.88</v>
      </c>
      <c r="R354" s="402">
        <f t="shared" si="133"/>
        <v>13799837.8</v>
      </c>
      <c r="S354" s="415">
        <f t="shared" si="133"/>
        <v>35238127.4</v>
      </c>
      <c r="T354" s="416">
        <f>N354/'2018'!N354-1</f>
        <v>-1</v>
      </c>
      <c r="U354" s="417">
        <f>O354/'2018'!O354-1</f>
        <v>-1</v>
      </c>
      <c r="V354" s="417">
        <f>P354/'2018'!P354-1</f>
        <v>-1</v>
      </c>
      <c r="W354" s="417">
        <f>Q354/'2018'!Q354-1</f>
        <v>-0.0455204082598145</v>
      </c>
      <c r="X354" s="417">
        <f>R354/'2018'!R354-1</f>
        <v>-0.0416936893704415</v>
      </c>
      <c r="Y354" s="424">
        <f>S354/'2018'!S354-1</f>
        <v>-0.0457831264878917</v>
      </c>
      <c r="Z354" s="425"/>
      <c r="AA354" s="426">
        <f t="shared" si="122"/>
        <v>2030.855188</v>
      </c>
      <c r="AB354" s="427"/>
      <c r="AC354" s="401"/>
      <c r="AD354" s="427">
        <f t="shared" si="124"/>
        <v>21438289.6</v>
      </c>
      <c r="AE354" s="329">
        <f t="shared" si="134"/>
        <v>206858.22</v>
      </c>
      <c r="AF354" s="329">
        <f t="shared" si="134"/>
        <v>641604.94</v>
      </c>
      <c r="AG354" s="401">
        <f t="shared" si="127"/>
        <v>281274.559999999</v>
      </c>
      <c r="AH354" s="439"/>
      <c r="AI354" s="400"/>
      <c r="AJ354" s="400"/>
      <c r="AK354" s="400"/>
      <c r="AL354" s="400"/>
      <c r="AM354" s="400"/>
      <c r="AN354" s="400"/>
      <c r="AO354" s="400"/>
      <c r="AP354" s="400"/>
      <c r="AQ354" s="400"/>
      <c r="AR354" s="400"/>
      <c r="AS354" s="400"/>
      <c r="AT354" s="400"/>
      <c r="AU354" s="400"/>
      <c r="AV354" s="400"/>
      <c r="AW354" s="400"/>
      <c r="AX354" s="400"/>
      <c r="AY354" s="400"/>
      <c r="AZ354" s="400"/>
      <c r="BA354" s="400"/>
      <c r="BB354" s="400"/>
      <c r="BC354" s="400"/>
    </row>
    <row r="355" s="366" customFormat="1" spans="1:55">
      <c r="A355" s="395">
        <v>43085</v>
      </c>
      <c r="B355" s="443" t="s">
        <v>39</v>
      </c>
      <c r="C355" s="377"/>
      <c r="D355" s="329"/>
      <c r="E355" s="329"/>
      <c r="F355" s="378"/>
      <c r="G355" s="329"/>
      <c r="H355" s="376"/>
      <c r="I355" s="376"/>
      <c r="J355" s="399">
        <f t="shared" si="121"/>
        <v>0</v>
      </c>
      <c r="K355" s="329"/>
      <c r="L355" s="329"/>
      <c r="M355" s="401">
        <f t="shared" si="123"/>
        <v>0</v>
      </c>
      <c r="N355" s="396">
        <f t="shared" si="132"/>
        <v>0</v>
      </c>
      <c r="O355" s="368">
        <f t="shared" si="132"/>
        <v>0</v>
      </c>
      <c r="P355" s="398">
        <f t="shared" si="132"/>
        <v>0</v>
      </c>
      <c r="Q355" s="414">
        <f t="shared" si="133"/>
        <v>20308551.88</v>
      </c>
      <c r="R355" s="402">
        <f t="shared" si="133"/>
        <v>13799837.8</v>
      </c>
      <c r="S355" s="415">
        <f t="shared" si="133"/>
        <v>35238127.4</v>
      </c>
      <c r="T355" s="416">
        <f>N355/'2018'!N355-1</f>
        <v>-1</v>
      </c>
      <c r="U355" s="417">
        <f>O355/'2018'!O355-1</f>
        <v>-1</v>
      </c>
      <c r="V355" s="417">
        <f>P355/'2018'!P355-1</f>
        <v>-1</v>
      </c>
      <c r="W355" s="417">
        <f>Q355/'2018'!Q355-1</f>
        <v>-0.0482972728560687</v>
      </c>
      <c r="X355" s="417">
        <f>R355/'2018'!R355-1</f>
        <v>-0.044336983261047</v>
      </c>
      <c r="Y355" s="424">
        <f>S355/'2018'!S355-1</f>
        <v>-0.0486288020030959</v>
      </c>
      <c r="Z355" s="425"/>
      <c r="AA355" s="426">
        <f t="shared" si="122"/>
        <v>2030.855188</v>
      </c>
      <c r="AB355" s="427"/>
      <c r="AC355" s="401"/>
      <c r="AD355" s="427">
        <f t="shared" si="124"/>
        <v>21438289.6</v>
      </c>
      <c r="AE355" s="329">
        <f t="shared" si="134"/>
        <v>206858.22</v>
      </c>
      <c r="AF355" s="329">
        <f t="shared" si="134"/>
        <v>641604.94</v>
      </c>
      <c r="AG355" s="401">
        <f t="shared" si="127"/>
        <v>281274.559999999</v>
      </c>
      <c r="AH355" s="439"/>
      <c r="AI355" s="400"/>
      <c r="AJ355" s="400"/>
      <c r="AK355" s="400"/>
      <c r="AL355" s="400"/>
      <c r="AM355" s="400"/>
      <c r="AN355" s="400"/>
      <c r="AO355" s="400"/>
      <c r="AP355" s="400"/>
      <c r="AQ355" s="400"/>
      <c r="AR355" s="400"/>
      <c r="AS355" s="400"/>
      <c r="AT355" s="400"/>
      <c r="AU355" s="400"/>
      <c r="AV355" s="400"/>
      <c r="AW355" s="400"/>
      <c r="AX355" s="400"/>
      <c r="AY355" s="400"/>
      <c r="AZ355" s="400"/>
      <c r="BA355" s="400"/>
      <c r="BB355" s="400"/>
      <c r="BC355" s="400"/>
    </row>
    <row r="356" s="366" customFormat="1" spans="1:55">
      <c r="A356" s="395">
        <v>43086</v>
      </c>
      <c r="B356" s="443" t="s">
        <v>34</v>
      </c>
      <c r="C356" s="377"/>
      <c r="D356" s="329"/>
      <c r="E356" s="329"/>
      <c r="F356" s="378"/>
      <c r="G356" s="329"/>
      <c r="H356" s="376"/>
      <c r="I356" s="376"/>
      <c r="J356" s="399">
        <f t="shared" si="121"/>
        <v>0</v>
      </c>
      <c r="K356" s="329"/>
      <c r="L356" s="329"/>
      <c r="M356" s="401">
        <f t="shared" si="123"/>
        <v>0</v>
      </c>
      <c r="N356" s="396">
        <f t="shared" si="132"/>
        <v>0</v>
      </c>
      <c r="O356" s="368">
        <f t="shared" si="132"/>
        <v>0</v>
      </c>
      <c r="P356" s="398">
        <f t="shared" si="132"/>
        <v>0</v>
      </c>
      <c r="Q356" s="414">
        <f t="shared" si="133"/>
        <v>20308551.88</v>
      </c>
      <c r="R356" s="402">
        <f t="shared" si="133"/>
        <v>13799837.8</v>
      </c>
      <c r="S356" s="415">
        <f t="shared" si="133"/>
        <v>35238127.4</v>
      </c>
      <c r="T356" s="416">
        <f>N356/'2018'!N356-1</f>
        <v>-1</v>
      </c>
      <c r="U356" s="417">
        <f>O356/'2018'!O356-1</f>
        <v>-1</v>
      </c>
      <c r="V356" s="417">
        <f>P356/'2018'!P356-1</f>
        <v>-1</v>
      </c>
      <c r="W356" s="417">
        <f>Q356/'2018'!Q356-1</f>
        <v>-0.0512384139774463</v>
      </c>
      <c r="X356" s="417">
        <f>R356/'2018'!R356-1</f>
        <v>-0.046962444381663</v>
      </c>
      <c r="Y356" s="424">
        <f>S356/'2018'!S356-1</f>
        <v>-0.0515619223260392</v>
      </c>
      <c r="Z356" s="425"/>
      <c r="AA356" s="426">
        <f t="shared" si="122"/>
        <v>2030.855188</v>
      </c>
      <c r="AB356" s="427"/>
      <c r="AC356" s="401"/>
      <c r="AD356" s="427">
        <f t="shared" si="124"/>
        <v>21438289.6</v>
      </c>
      <c r="AE356" s="329">
        <f t="shared" si="134"/>
        <v>206858.22</v>
      </c>
      <c r="AF356" s="329">
        <f t="shared" si="134"/>
        <v>641604.94</v>
      </c>
      <c r="AG356" s="401">
        <f t="shared" si="127"/>
        <v>281274.559999999</v>
      </c>
      <c r="AH356" s="439"/>
      <c r="AI356" s="400"/>
      <c r="AJ356" s="400"/>
      <c r="AK356" s="400"/>
      <c r="AL356" s="400"/>
      <c r="AM356" s="400"/>
      <c r="AN356" s="400"/>
      <c r="AO356" s="400"/>
      <c r="AP356" s="400"/>
      <c r="AQ356" s="400"/>
      <c r="AR356" s="400"/>
      <c r="AS356" s="400"/>
      <c r="AT356" s="400"/>
      <c r="AU356" s="400"/>
      <c r="AV356" s="400"/>
      <c r="AW356" s="400"/>
      <c r="AX356" s="400"/>
      <c r="AY356" s="400"/>
      <c r="AZ356" s="400"/>
      <c r="BA356" s="400"/>
      <c r="BB356" s="400"/>
      <c r="BC356" s="400"/>
    </row>
    <row r="357" s="366" customFormat="1" spans="1:55">
      <c r="A357" s="395">
        <v>43087</v>
      </c>
      <c r="B357" s="443" t="s">
        <v>35</v>
      </c>
      <c r="C357" s="377"/>
      <c r="D357" s="329"/>
      <c r="E357" s="329"/>
      <c r="F357" s="378"/>
      <c r="G357" s="329"/>
      <c r="H357" s="376"/>
      <c r="I357" s="376"/>
      <c r="J357" s="399">
        <f t="shared" si="121"/>
        <v>0</v>
      </c>
      <c r="K357" s="329"/>
      <c r="L357" s="329"/>
      <c r="M357" s="401">
        <f t="shared" si="123"/>
        <v>0</v>
      </c>
      <c r="N357" s="396">
        <f t="shared" ref="N357:P369" si="135">N356+C357</f>
        <v>0</v>
      </c>
      <c r="O357" s="368">
        <f t="shared" si="135"/>
        <v>0</v>
      </c>
      <c r="P357" s="398">
        <f t="shared" si="135"/>
        <v>0</v>
      </c>
      <c r="Q357" s="414">
        <f t="shared" si="133"/>
        <v>20308551.88</v>
      </c>
      <c r="R357" s="402">
        <f t="shared" si="133"/>
        <v>13799837.8</v>
      </c>
      <c r="S357" s="415">
        <f t="shared" si="133"/>
        <v>35238127.4</v>
      </c>
      <c r="T357" s="416">
        <f>N357/'2018'!N357-1</f>
        <v>-1</v>
      </c>
      <c r="U357" s="417">
        <f>O357/'2018'!O357-1</f>
        <v>-1</v>
      </c>
      <c r="V357" s="417">
        <f>P357/'2018'!P357-1</f>
        <v>-1</v>
      </c>
      <c r="W357" s="417">
        <f>Q357/'2018'!Q357-1</f>
        <v>-0.0541000215225987</v>
      </c>
      <c r="X357" s="417">
        <f>R357/'2018'!R357-1</f>
        <v>-0.0496870100493612</v>
      </c>
      <c r="Y357" s="424">
        <f>S357/'2018'!S357-1</f>
        <v>-0.0544770884645457</v>
      </c>
      <c r="Z357" s="425"/>
      <c r="AA357" s="426">
        <f t="shared" si="122"/>
        <v>2030.855188</v>
      </c>
      <c r="AB357" s="427"/>
      <c r="AC357" s="401"/>
      <c r="AD357" s="427">
        <f t="shared" si="124"/>
        <v>21438289.6</v>
      </c>
      <c r="AE357" s="329">
        <f t="shared" si="134"/>
        <v>206858.22</v>
      </c>
      <c r="AF357" s="329">
        <f t="shared" si="134"/>
        <v>641604.94</v>
      </c>
      <c r="AG357" s="401">
        <f t="shared" si="127"/>
        <v>281274.559999999</v>
      </c>
      <c r="AH357" s="439"/>
      <c r="AI357" s="400"/>
      <c r="AJ357" s="400"/>
      <c r="AK357" s="400"/>
      <c r="AL357" s="400"/>
      <c r="AM357" s="400"/>
      <c r="AN357" s="400"/>
      <c r="AO357" s="400"/>
      <c r="AP357" s="400"/>
      <c r="AQ357" s="400"/>
      <c r="AR357" s="400"/>
      <c r="AS357" s="400"/>
      <c r="AT357" s="400"/>
      <c r="AU357" s="400"/>
      <c r="AV357" s="400"/>
      <c r="AW357" s="400"/>
      <c r="AX357" s="400"/>
      <c r="AY357" s="400"/>
      <c r="AZ357" s="400"/>
      <c r="BA357" s="400"/>
      <c r="BB357" s="400"/>
      <c r="BC357" s="400"/>
    </row>
    <row r="358" s="366" customFormat="1" spans="1:55">
      <c r="A358" s="395">
        <v>43088</v>
      </c>
      <c r="B358" s="191" t="s">
        <v>36</v>
      </c>
      <c r="C358" s="377"/>
      <c r="D358" s="329"/>
      <c r="E358" s="329"/>
      <c r="F358" s="378"/>
      <c r="G358" s="329"/>
      <c r="H358" s="376"/>
      <c r="I358" s="376"/>
      <c r="J358" s="399">
        <f t="shared" si="121"/>
        <v>0</v>
      </c>
      <c r="K358" s="329"/>
      <c r="L358" s="329"/>
      <c r="M358" s="401">
        <f t="shared" si="123"/>
        <v>0</v>
      </c>
      <c r="N358" s="396">
        <f t="shared" si="135"/>
        <v>0</v>
      </c>
      <c r="O358" s="368">
        <f t="shared" si="135"/>
        <v>0</v>
      </c>
      <c r="P358" s="398">
        <f t="shared" si="135"/>
        <v>0</v>
      </c>
      <c r="Q358" s="414">
        <f t="shared" si="133"/>
        <v>20308551.88</v>
      </c>
      <c r="R358" s="402">
        <f t="shared" si="133"/>
        <v>13799837.8</v>
      </c>
      <c r="S358" s="415">
        <f t="shared" si="133"/>
        <v>35238127.4</v>
      </c>
      <c r="T358" s="416">
        <f>N358/'2018'!N358-1</f>
        <v>-1</v>
      </c>
      <c r="U358" s="417">
        <f>O358/'2018'!O358-1</f>
        <v>-1</v>
      </c>
      <c r="V358" s="417">
        <f>P358/'2018'!P358-1</f>
        <v>-1</v>
      </c>
      <c r="W358" s="417">
        <f>Q358/'2018'!Q358-1</f>
        <v>-0.0570848829831423</v>
      </c>
      <c r="X358" s="417">
        <f>R358/'2018'!R358-1</f>
        <v>-0.0522539081730929</v>
      </c>
      <c r="Y358" s="424">
        <f>S358/'2018'!S358-1</f>
        <v>-0.0573898206825302</v>
      </c>
      <c r="Z358" s="425"/>
      <c r="AA358" s="426">
        <f t="shared" si="122"/>
        <v>2030.855188</v>
      </c>
      <c r="AB358" s="427"/>
      <c r="AC358" s="401"/>
      <c r="AD358" s="427">
        <f t="shared" si="124"/>
        <v>21438289.6</v>
      </c>
      <c r="AE358" s="329">
        <f t="shared" si="134"/>
        <v>206858.22</v>
      </c>
      <c r="AF358" s="329">
        <f t="shared" si="134"/>
        <v>641604.94</v>
      </c>
      <c r="AG358" s="401">
        <f t="shared" si="127"/>
        <v>281274.559999999</v>
      </c>
      <c r="AH358" s="439"/>
      <c r="AI358" s="400"/>
      <c r="AJ358" s="400"/>
      <c r="AK358" s="400"/>
      <c r="AL358" s="400"/>
      <c r="AM358" s="400"/>
      <c r="AN358" s="400"/>
      <c r="AO358" s="400"/>
      <c r="AP358" s="400"/>
      <c r="AQ358" s="400"/>
      <c r="AR358" s="400"/>
      <c r="AS358" s="400"/>
      <c r="AT358" s="400"/>
      <c r="AU358" s="400"/>
      <c r="AV358" s="400"/>
      <c r="AW358" s="400"/>
      <c r="AX358" s="400"/>
      <c r="AY358" s="400"/>
      <c r="AZ358" s="400"/>
      <c r="BA358" s="400"/>
      <c r="BB358" s="400"/>
      <c r="BC358" s="400"/>
    </row>
    <row r="359" s="366" customFormat="1" spans="1:55">
      <c r="A359" s="395">
        <v>43089</v>
      </c>
      <c r="B359" s="443" t="s">
        <v>37</v>
      </c>
      <c r="C359" s="377"/>
      <c r="D359" s="329"/>
      <c r="E359" s="329"/>
      <c r="F359" s="378"/>
      <c r="G359" s="329"/>
      <c r="H359" s="376"/>
      <c r="I359" s="376"/>
      <c r="J359" s="399">
        <f t="shared" si="121"/>
        <v>0</v>
      </c>
      <c r="K359" s="329"/>
      <c r="L359" s="329"/>
      <c r="M359" s="401">
        <f t="shared" si="123"/>
        <v>0</v>
      </c>
      <c r="N359" s="396">
        <f t="shared" si="135"/>
        <v>0</v>
      </c>
      <c r="O359" s="368">
        <f t="shared" si="135"/>
        <v>0</v>
      </c>
      <c r="P359" s="398">
        <f t="shared" si="135"/>
        <v>0</v>
      </c>
      <c r="Q359" s="414">
        <f t="shared" si="133"/>
        <v>20308551.88</v>
      </c>
      <c r="R359" s="402">
        <f t="shared" si="133"/>
        <v>13799837.8</v>
      </c>
      <c r="S359" s="415">
        <f t="shared" si="133"/>
        <v>35238127.4</v>
      </c>
      <c r="T359" s="416">
        <f>N359/'2018'!N359-1</f>
        <v>-1</v>
      </c>
      <c r="U359" s="417">
        <f>O359/'2018'!O359-1</f>
        <v>-1</v>
      </c>
      <c r="V359" s="417">
        <f>P359/'2018'!P359-1</f>
        <v>-1</v>
      </c>
      <c r="W359" s="417">
        <f>Q359/'2018'!Q359-1</f>
        <v>-0.0601704561969312</v>
      </c>
      <c r="X359" s="417">
        <f>R359/'2018'!R359-1</f>
        <v>-0.0547197650241352</v>
      </c>
      <c r="Y359" s="424">
        <f>S359/'2018'!S359-1</f>
        <v>-0.0603118516033884</v>
      </c>
      <c r="Z359" s="425"/>
      <c r="AA359" s="426">
        <f t="shared" si="122"/>
        <v>2030.855188</v>
      </c>
      <c r="AB359" s="427"/>
      <c r="AC359" s="401"/>
      <c r="AD359" s="427">
        <f t="shared" si="124"/>
        <v>21438289.6</v>
      </c>
      <c r="AE359" s="329">
        <f t="shared" ref="AE359:AF369" si="136">AE358+K359</f>
        <v>206858.22</v>
      </c>
      <c r="AF359" s="329">
        <f t="shared" si="136"/>
        <v>641604.94</v>
      </c>
      <c r="AG359" s="401">
        <f t="shared" si="127"/>
        <v>281274.559999999</v>
      </c>
      <c r="AH359" s="439"/>
      <c r="AI359" s="400"/>
      <c r="AJ359" s="400"/>
      <c r="AK359" s="400"/>
      <c r="AL359" s="400"/>
      <c r="AM359" s="400"/>
      <c r="AN359" s="400"/>
      <c r="AO359" s="400"/>
      <c r="AP359" s="400"/>
      <c r="AQ359" s="400"/>
      <c r="AR359" s="400"/>
      <c r="AS359" s="400"/>
      <c r="AT359" s="400"/>
      <c r="AU359" s="400"/>
      <c r="AV359" s="400"/>
      <c r="AW359" s="400"/>
      <c r="AX359" s="400"/>
      <c r="AY359" s="400"/>
      <c r="AZ359" s="400"/>
      <c r="BA359" s="400"/>
      <c r="BB359" s="400"/>
      <c r="BC359" s="400"/>
    </row>
    <row r="360" s="366" customFormat="1" spans="1:55">
      <c r="A360" s="395">
        <v>43090</v>
      </c>
      <c r="B360" s="443" t="s">
        <v>38</v>
      </c>
      <c r="C360" s="377"/>
      <c r="D360" s="329"/>
      <c r="E360" s="329"/>
      <c r="F360" s="378"/>
      <c r="G360" s="329"/>
      <c r="H360" s="376"/>
      <c r="I360" s="376"/>
      <c r="J360" s="399">
        <f t="shared" si="121"/>
        <v>0</v>
      </c>
      <c r="K360" s="329"/>
      <c r="L360" s="329"/>
      <c r="M360" s="401">
        <f t="shared" si="123"/>
        <v>0</v>
      </c>
      <c r="N360" s="396">
        <f t="shared" si="135"/>
        <v>0</v>
      </c>
      <c r="O360" s="368">
        <f t="shared" si="135"/>
        <v>0</v>
      </c>
      <c r="P360" s="398">
        <f t="shared" si="135"/>
        <v>0</v>
      </c>
      <c r="Q360" s="414">
        <f t="shared" si="133"/>
        <v>20308551.88</v>
      </c>
      <c r="R360" s="402">
        <f t="shared" si="133"/>
        <v>13799837.8</v>
      </c>
      <c r="S360" s="415">
        <f t="shared" si="133"/>
        <v>35238127.4</v>
      </c>
      <c r="T360" s="416">
        <f>N360/'2018'!N360-1</f>
        <v>-1</v>
      </c>
      <c r="U360" s="417">
        <f>O360/'2018'!O360-1</f>
        <v>-1</v>
      </c>
      <c r="V360" s="417">
        <f>P360/'2018'!P360-1</f>
        <v>-1</v>
      </c>
      <c r="W360" s="417">
        <f>Q360/'2018'!Q360-1</f>
        <v>-0.0631575551779531</v>
      </c>
      <c r="X360" s="417">
        <f>R360/'2018'!R360-1</f>
        <v>-0.0571513729424324</v>
      </c>
      <c r="Y360" s="424">
        <f>S360/'2018'!S360-1</f>
        <v>-0.0631635960354763</v>
      </c>
      <c r="Z360" s="425"/>
      <c r="AA360" s="426">
        <f t="shared" si="122"/>
        <v>2030.855188</v>
      </c>
      <c r="AB360" s="427"/>
      <c r="AC360" s="401"/>
      <c r="AD360" s="427">
        <f t="shared" si="124"/>
        <v>21438289.6</v>
      </c>
      <c r="AE360" s="329">
        <f t="shared" si="136"/>
        <v>206858.22</v>
      </c>
      <c r="AF360" s="329">
        <f t="shared" si="136"/>
        <v>641604.94</v>
      </c>
      <c r="AG360" s="401">
        <f t="shared" si="127"/>
        <v>281274.559999999</v>
      </c>
      <c r="AH360" s="439"/>
      <c r="AI360" s="400"/>
      <c r="AJ360" s="400"/>
      <c r="AK360" s="400"/>
      <c r="AL360" s="400"/>
      <c r="AM360" s="400"/>
      <c r="AN360" s="400"/>
      <c r="AO360" s="400"/>
      <c r="AP360" s="400"/>
      <c r="AQ360" s="400"/>
      <c r="AR360" s="400"/>
      <c r="AS360" s="400"/>
      <c r="AT360" s="400"/>
      <c r="AU360" s="400"/>
      <c r="AV360" s="400"/>
      <c r="AW360" s="400"/>
      <c r="AX360" s="400"/>
      <c r="AY360" s="400"/>
      <c r="AZ360" s="400"/>
      <c r="BA360" s="400"/>
      <c r="BB360" s="400"/>
      <c r="BC360" s="400"/>
    </row>
    <row r="361" s="366" customFormat="1" spans="1:55">
      <c r="A361" s="395">
        <v>43091</v>
      </c>
      <c r="B361" s="443" t="s">
        <v>1</v>
      </c>
      <c r="C361" s="377"/>
      <c r="D361" s="329"/>
      <c r="E361" s="329"/>
      <c r="F361" s="378"/>
      <c r="G361" s="329"/>
      <c r="H361" s="376"/>
      <c r="I361" s="376"/>
      <c r="J361" s="399">
        <f t="shared" si="121"/>
        <v>0</v>
      </c>
      <c r="K361" s="329"/>
      <c r="L361" s="329"/>
      <c r="M361" s="401">
        <f t="shared" si="123"/>
        <v>0</v>
      </c>
      <c r="N361" s="396">
        <f t="shared" si="135"/>
        <v>0</v>
      </c>
      <c r="O361" s="368">
        <f t="shared" si="135"/>
        <v>0</v>
      </c>
      <c r="P361" s="398">
        <f t="shared" si="135"/>
        <v>0</v>
      </c>
      <c r="Q361" s="414">
        <f t="shared" si="133"/>
        <v>20308551.88</v>
      </c>
      <c r="R361" s="402">
        <f t="shared" si="133"/>
        <v>13799837.8</v>
      </c>
      <c r="S361" s="415">
        <f t="shared" si="133"/>
        <v>35238127.4</v>
      </c>
      <c r="T361" s="416">
        <f>N361/'2018'!N361-1</f>
        <v>-1</v>
      </c>
      <c r="U361" s="417">
        <f>O361/'2018'!O361-1</f>
        <v>-1</v>
      </c>
      <c r="V361" s="417">
        <f>P361/'2018'!P361-1</f>
        <v>-1</v>
      </c>
      <c r="W361" s="417">
        <f>Q361/'2018'!Q361-1</f>
        <v>-0.0659625122973355</v>
      </c>
      <c r="X361" s="417">
        <f>R361/'2018'!R361-1</f>
        <v>-0.0595949199756298</v>
      </c>
      <c r="Y361" s="424">
        <f>S361/'2018'!S361-1</f>
        <v>-0.0659065021223897</v>
      </c>
      <c r="Z361" s="425"/>
      <c r="AA361" s="426">
        <f t="shared" si="122"/>
        <v>2030.855188</v>
      </c>
      <c r="AB361" s="427"/>
      <c r="AC361" s="401"/>
      <c r="AD361" s="427">
        <f t="shared" si="124"/>
        <v>21438289.6</v>
      </c>
      <c r="AE361" s="329">
        <f t="shared" si="136"/>
        <v>206858.22</v>
      </c>
      <c r="AF361" s="329">
        <f t="shared" si="136"/>
        <v>641604.94</v>
      </c>
      <c r="AG361" s="401">
        <f t="shared" si="127"/>
        <v>281274.559999999</v>
      </c>
      <c r="AH361" s="439"/>
      <c r="AI361" s="400"/>
      <c r="AJ361" s="400"/>
      <c r="AK361" s="400"/>
      <c r="AL361" s="400"/>
      <c r="AM361" s="400"/>
      <c r="AN361" s="400"/>
      <c r="AO361" s="400"/>
      <c r="AP361" s="400"/>
      <c r="AQ361" s="400"/>
      <c r="AR361" s="400"/>
      <c r="AS361" s="400"/>
      <c r="AT361" s="400"/>
      <c r="AU361" s="400"/>
      <c r="AV361" s="400"/>
      <c r="AW361" s="400"/>
      <c r="AX361" s="400"/>
      <c r="AY361" s="400"/>
      <c r="AZ361" s="400"/>
      <c r="BA361" s="400"/>
      <c r="BB361" s="400"/>
      <c r="BC361" s="400"/>
    </row>
    <row r="362" s="366" customFormat="1" spans="1:55">
      <c r="A362" s="395">
        <v>43092</v>
      </c>
      <c r="B362" s="443" t="s">
        <v>39</v>
      </c>
      <c r="C362" s="377"/>
      <c r="D362" s="329"/>
      <c r="E362" s="329"/>
      <c r="F362" s="378"/>
      <c r="G362" s="329"/>
      <c r="H362" s="376"/>
      <c r="I362" s="376"/>
      <c r="J362" s="399">
        <f t="shared" si="121"/>
        <v>0</v>
      </c>
      <c r="K362" s="329"/>
      <c r="L362" s="329"/>
      <c r="M362" s="401">
        <f t="shared" si="123"/>
        <v>0</v>
      </c>
      <c r="N362" s="396">
        <f t="shared" si="135"/>
        <v>0</v>
      </c>
      <c r="O362" s="368">
        <f t="shared" si="135"/>
        <v>0</v>
      </c>
      <c r="P362" s="398">
        <f t="shared" si="135"/>
        <v>0</v>
      </c>
      <c r="Q362" s="414">
        <f t="shared" si="133"/>
        <v>20308551.88</v>
      </c>
      <c r="R362" s="402">
        <f t="shared" si="133"/>
        <v>13799837.8</v>
      </c>
      <c r="S362" s="415">
        <f t="shared" si="133"/>
        <v>35238127.4</v>
      </c>
      <c r="T362" s="416">
        <f>N362/'2018'!N362-1</f>
        <v>-1</v>
      </c>
      <c r="U362" s="417">
        <f>O362/'2018'!O362-1</f>
        <v>-1</v>
      </c>
      <c r="V362" s="417">
        <f>P362/'2018'!P362-1</f>
        <v>-1</v>
      </c>
      <c r="W362" s="417">
        <f>Q362/'2018'!Q362-1</f>
        <v>-0.0686558286233293</v>
      </c>
      <c r="X362" s="417">
        <f>R362/'2018'!R362-1</f>
        <v>-0.0620114254060781</v>
      </c>
      <c r="Y362" s="424">
        <f>S362/'2018'!S362-1</f>
        <v>-0.0685187151671853</v>
      </c>
      <c r="Z362" s="425"/>
      <c r="AA362" s="426">
        <f t="shared" si="122"/>
        <v>2030.855188</v>
      </c>
      <c r="AB362" s="427"/>
      <c r="AC362" s="401"/>
      <c r="AD362" s="427">
        <f t="shared" si="124"/>
        <v>21438289.6</v>
      </c>
      <c r="AE362" s="329">
        <f t="shared" si="136"/>
        <v>206858.22</v>
      </c>
      <c r="AF362" s="329">
        <f t="shared" si="136"/>
        <v>641604.94</v>
      </c>
      <c r="AG362" s="401">
        <f t="shared" si="127"/>
        <v>281274.559999999</v>
      </c>
      <c r="AH362" s="439"/>
      <c r="AI362" s="400"/>
      <c r="AJ362" s="400"/>
      <c r="AK362" s="400"/>
      <c r="AL362" s="400"/>
      <c r="AM362" s="400"/>
      <c r="AN362" s="400"/>
      <c r="AO362" s="400"/>
      <c r="AP362" s="400"/>
      <c r="AQ362" s="400"/>
      <c r="AR362" s="400"/>
      <c r="AS362" s="400"/>
      <c r="AT362" s="400"/>
      <c r="AU362" s="400"/>
      <c r="AV362" s="400"/>
      <c r="AW362" s="400"/>
      <c r="AX362" s="400"/>
      <c r="AY362" s="400"/>
      <c r="AZ362" s="400"/>
      <c r="BA362" s="400"/>
      <c r="BB362" s="400"/>
      <c r="BC362" s="400"/>
    </row>
    <row r="363" s="366" customFormat="1" spans="1:55">
      <c r="A363" s="395">
        <v>43093</v>
      </c>
      <c r="B363" s="443" t="s">
        <v>34</v>
      </c>
      <c r="C363" s="377"/>
      <c r="D363" s="329"/>
      <c r="E363" s="329"/>
      <c r="F363" s="378"/>
      <c r="G363" s="329"/>
      <c r="H363" s="376"/>
      <c r="I363" s="376"/>
      <c r="J363" s="399">
        <f t="shared" si="121"/>
        <v>0</v>
      </c>
      <c r="K363" s="329"/>
      <c r="L363" s="329"/>
      <c r="M363" s="401">
        <f t="shared" si="123"/>
        <v>0</v>
      </c>
      <c r="N363" s="396">
        <f t="shared" si="135"/>
        <v>0</v>
      </c>
      <c r="O363" s="368">
        <f t="shared" si="135"/>
        <v>0</v>
      </c>
      <c r="P363" s="398">
        <f t="shared" si="135"/>
        <v>0</v>
      </c>
      <c r="Q363" s="414">
        <f t="shared" si="133"/>
        <v>20308551.88</v>
      </c>
      <c r="R363" s="402">
        <f t="shared" si="133"/>
        <v>13799837.8</v>
      </c>
      <c r="S363" s="415">
        <f t="shared" si="133"/>
        <v>35238127.4</v>
      </c>
      <c r="T363" s="416">
        <f>N363/'2018'!N363-1</f>
        <v>-1</v>
      </c>
      <c r="U363" s="417">
        <f>O363/'2018'!O363-1</f>
        <v>-1</v>
      </c>
      <c r="V363" s="417">
        <f>P363/'2018'!P363-1</f>
        <v>-1</v>
      </c>
      <c r="W363" s="417">
        <f>Q363/'2018'!Q363-1</f>
        <v>-0.0715782388292927</v>
      </c>
      <c r="X363" s="417">
        <f>R363/'2018'!R363-1</f>
        <v>-0.0643653046088117</v>
      </c>
      <c r="Y363" s="424">
        <f>S363/'2018'!S363-1</f>
        <v>-0.0712360531460857</v>
      </c>
      <c r="Z363" s="425"/>
      <c r="AA363" s="426">
        <f t="shared" si="122"/>
        <v>2030.855188</v>
      </c>
      <c r="AB363" s="427"/>
      <c r="AC363" s="401"/>
      <c r="AD363" s="427">
        <f t="shared" si="124"/>
        <v>21438289.6</v>
      </c>
      <c r="AE363" s="329">
        <f t="shared" si="136"/>
        <v>206858.22</v>
      </c>
      <c r="AF363" s="329">
        <f t="shared" si="136"/>
        <v>641604.94</v>
      </c>
      <c r="AG363" s="401">
        <f t="shared" si="127"/>
        <v>281274.559999999</v>
      </c>
      <c r="AH363" s="439"/>
      <c r="AI363" s="400"/>
      <c r="AJ363" s="400"/>
      <c r="AK363" s="400"/>
      <c r="AL363" s="400"/>
      <c r="AM363" s="400"/>
      <c r="AN363" s="400"/>
      <c r="AO363" s="400"/>
      <c r="AP363" s="400"/>
      <c r="AQ363" s="400"/>
      <c r="AR363" s="400"/>
      <c r="AS363" s="400"/>
      <c r="AT363" s="400"/>
      <c r="AU363" s="400"/>
      <c r="AV363" s="400"/>
      <c r="AW363" s="400"/>
      <c r="AX363" s="400"/>
      <c r="AY363" s="400"/>
      <c r="AZ363" s="400"/>
      <c r="BA363" s="400"/>
      <c r="BB363" s="400"/>
      <c r="BC363" s="400"/>
    </row>
    <row r="364" s="366" customFormat="1" spans="1:55">
      <c r="A364" s="395">
        <v>43094</v>
      </c>
      <c r="B364" s="443" t="s">
        <v>35</v>
      </c>
      <c r="C364" s="377"/>
      <c r="D364" s="329"/>
      <c r="E364" s="329"/>
      <c r="F364" s="378"/>
      <c r="G364" s="329"/>
      <c r="H364" s="376"/>
      <c r="I364" s="376"/>
      <c r="J364" s="399">
        <f t="shared" si="121"/>
        <v>0</v>
      </c>
      <c r="K364" s="329"/>
      <c r="L364" s="329"/>
      <c r="M364" s="401">
        <f t="shared" si="123"/>
        <v>0</v>
      </c>
      <c r="N364" s="396">
        <f t="shared" si="135"/>
        <v>0</v>
      </c>
      <c r="O364" s="368">
        <f t="shared" si="135"/>
        <v>0</v>
      </c>
      <c r="P364" s="398">
        <f t="shared" si="135"/>
        <v>0</v>
      </c>
      <c r="Q364" s="414">
        <f t="shared" si="133"/>
        <v>20308551.88</v>
      </c>
      <c r="R364" s="402">
        <f t="shared" si="133"/>
        <v>13799837.8</v>
      </c>
      <c r="S364" s="415">
        <f t="shared" si="133"/>
        <v>35238127.4</v>
      </c>
      <c r="T364" s="416">
        <f>N364/'2018'!N364-1</f>
        <v>-1</v>
      </c>
      <c r="U364" s="417">
        <f>O364/'2018'!O364-1</f>
        <v>-1</v>
      </c>
      <c r="V364" s="417">
        <f>P364/'2018'!P364-1</f>
        <v>-1</v>
      </c>
      <c r="W364" s="417">
        <f>Q364/'2018'!Q364-1</f>
        <v>-0.074613859953425</v>
      </c>
      <c r="X364" s="417">
        <f>R364/'2018'!R364-1</f>
        <v>-0.0667796020888098</v>
      </c>
      <c r="Y364" s="424">
        <f>S364/'2018'!S364-1</f>
        <v>-0.0740304195700207</v>
      </c>
      <c r="Z364" s="425"/>
      <c r="AA364" s="426">
        <f t="shared" si="122"/>
        <v>2030.855188</v>
      </c>
      <c r="AB364" s="427"/>
      <c r="AC364" s="401"/>
      <c r="AD364" s="427">
        <f t="shared" si="124"/>
        <v>21438289.6</v>
      </c>
      <c r="AE364" s="329">
        <f t="shared" si="136"/>
        <v>206858.22</v>
      </c>
      <c r="AF364" s="329">
        <f t="shared" si="136"/>
        <v>641604.94</v>
      </c>
      <c r="AG364" s="401">
        <f t="shared" si="127"/>
        <v>281274.559999999</v>
      </c>
      <c r="AH364" s="439"/>
      <c r="AI364" s="400"/>
      <c r="AJ364" s="400"/>
      <c r="AK364" s="400"/>
      <c r="AL364" s="400"/>
      <c r="AM364" s="400"/>
      <c r="AN364" s="400"/>
      <c r="AO364" s="400"/>
      <c r="AP364" s="400"/>
      <c r="AQ364" s="400"/>
      <c r="AR364" s="400"/>
      <c r="AS364" s="400"/>
      <c r="AT364" s="400"/>
      <c r="AU364" s="400"/>
      <c r="AV364" s="400"/>
      <c r="AW364" s="400"/>
      <c r="AX364" s="400"/>
      <c r="AY364" s="400"/>
      <c r="AZ364" s="400"/>
      <c r="BA364" s="400"/>
      <c r="BB364" s="400"/>
      <c r="BC364" s="400"/>
    </row>
    <row r="365" s="366" customFormat="1" spans="1:55">
      <c r="A365" s="395">
        <v>43095</v>
      </c>
      <c r="B365" s="191" t="s">
        <v>36</v>
      </c>
      <c r="C365" s="377"/>
      <c r="D365" s="329"/>
      <c r="E365" s="329"/>
      <c r="F365" s="378"/>
      <c r="G365" s="329"/>
      <c r="H365" s="376"/>
      <c r="I365" s="376"/>
      <c r="J365" s="399">
        <f t="shared" si="121"/>
        <v>0</v>
      </c>
      <c r="K365" s="329"/>
      <c r="L365" s="329"/>
      <c r="M365" s="401">
        <f t="shared" si="123"/>
        <v>0</v>
      </c>
      <c r="N365" s="396">
        <f t="shared" si="135"/>
        <v>0</v>
      </c>
      <c r="O365" s="368">
        <f t="shared" si="135"/>
        <v>0</v>
      </c>
      <c r="P365" s="398">
        <f t="shared" si="135"/>
        <v>0</v>
      </c>
      <c r="Q365" s="414">
        <f t="shared" si="133"/>
        <v>20308551.88</v>
      </c>
      <c r="R365" s="402">
        <f t="shared" si="133"/>
        <v>13799837.8</v>
      </c>
      <c r="S365" s="415">
        <f t="shared" si="133"/>
        <v>35238127.4</v>
      </c>
      <c r="T365" s="416">
        <f>N365/'2018'!N365-1</f>
        <v>-1</v>
      </c>
      <c r="U365" s="417">
        <f>O365/'2018'!O365-1</f>
        <v>-1</v>
      </c>
      <c r="V365" s="417">
        <f>P365/'2018'!P365-1</f>
        <v>-1</v>
      </c>
      <c r="W365" s="417">
        <f>Q365/'2018'!Q365-1</f>
        <v>-0.0776659300935335</v>
      </c>
      <c r="X365" s="417">
        <f>R365/'2018'!R365-1</f>
        <v>-0.0691906385270786</v>
      </c>
      <c r="Y365" s="424">
        <f>S365/'2018'!S365-1</f>
        <v>-0.0768305870055156</v>
      </c>
      <c r="Z365" s="425"/>
      <c r="AA365" s="426">
        <f t="shared" si="122"/>
        <v>2030.855188</v>
      </c>
      <c r="AB365" s="427"/>
      <c r="AC365" s="401"/>
      <c r="AD365" s="427">
        <f t="shared" si="124"/>
        <v>21438289.6</v>
      </c>
      <c r="AE365" s="329">
        <f t="shared" si="136"/>
        <v>206858.22</v>
      </c>
      <c r="AF365" s="329">
        <f t="shared" si="136"/>
        <v>641604.94</v>
      </c>
      <c r="AG365" s="401">
        <f t="shared" si="127"/>
        <v>281274.559999999</v>
      </c>
      <c r="AH365" s="439"/>
      <c r="AI365" s="400"/>
      <c r="AJ365" s="400"/>
      <c r="AK365" s="400"/>
      <c r="AL365" s="400"/>
      <c r="AM365" s="400"/>
      <c r="AN365" s="400"/>
      <c r="AO365" s="400"/>
      <c r="AP365" s="400"/>
      <c r="AQ365" s="400"/>
      <c r="AR365" s="400"/>
      <c r="AS365" s="400"/>
      <c r="AT365" s="400"/>
      <c r="AU365" s="400"/>
      <c r="AV365" s="400"/>
      <c r="AW365" s="400"/>
      <c r="AX365" s="400"/>
      <c r="AY365" s="400"/>
      <c r="AZ365" s="400"/>
      <c r="BA365" s="400"/>
      <c r="BB365" s="400"/>
      <c r="BC365" s="400"/>
    </row>
    <row r="366" s="366" customFormat="1" spans="1:55">
      <c r="A366" s="395">
        <v>43096</v>
      </c>
      <c r="B366" s="443" t="s">
        <v>37</v>
      </c>
      <c r="C366" s="377"/>
      <c r="D366" s="329"/>
      <c r="E366" s="329"/>
      <c r="F366" s="378"/>
      <c r="G366" s="329"/>
      <c r="H366" s="376"/>
      <c r="I366" s="376"/>
      <c r="J366" s="399">
        <f t="shared" si="121"/>
        <v>0</v>
      </c>
      <c r="K366" s="329"/>
      <c r="L366" s="329"/>
      <c r="M366" s="401">
        <f t="shared" si="123"/>
        <v>0</v>
      </c>
      <c r="N366" s="396">
        <f t="shared" si="135"/>
        <v>0</v>
      </c>
      <c r="O366" s="368">
        <f t="shared" si="135"/>
        <v>0</v>
      </c>
      <c r="P366" s="398">
        <f t="shared" si="135"/>
        <v>0</v>
      </c>
      <c r="Q366" s="414">
        <f t="shared" si="133"/>
        <v>20308551.88</v>
      </c>
      <c r="R366" s="402">
        <f t="shared" si="133"/>
        <v>13799837.8</v>
      </c>
      <c r="S366" s="415">
        <f t="shared" si="133"/>
        <v>35238127.4</v>
      </c>
      <c r="T366" s="416">
        <f>N366/'2018'!N366-1</f>
        <v>-1</v>
      </c>
      <c r="U366" s="417">
        <f>O366/'2018'!O366-1</f>
        <v>-1</v>
      </c>
      <c r="V366" s="417">
        <f>P366/'2018'!P366-1</f>
        <v>-1</v>
      </c>
      <c r="W366" s="417">
        <f>Q366/'2018'!Q366-1</f>
        <v>-0.0808804159489457</v>
      </c>
      <c r="X366" s="417">
        <f>R366/'2018'!R366-1</f>
        <v>-0.0715699481905722</v>
      </c>
      <c r="Y366" s="424">
        <f>S366/'2018'!S366-1</f>
        <v>-0.0797193195335849</v>
      </c>
      <c r="Z366" s="425"/>
      <c r="AA366" s="426">
        <f t="shared" si="122"/>
        <v>2030.855188</v>
      </c>
      <c r="AB366" s="427"/>
      <c r="AC366" s="401"/>
      <c r="AD366" s="427">
        <f t="shared" si="124"/>
        <v>21438289.6</v>
      </c>
      <c r="AE366" s="329">
        <f t="shared" si="136"/>
        <v>206858.22</v>
      </c>
      <c r="AF366" s="329">
        <f t="shared" si="136"/>
        <v>641604.94</v>
      </c>
      <c r="AG366" s="401">
        <f t="shared" si="127"/>
        <v>281274.559999999</v>
      </c>
      <c r="AH366" s="439"/>
      <c r="AI366" s="400"/>
      <c r="AJ366" s="400"/>
      <c r="AK366" s="400"/>
      <c r="AL366" s="400"/>
      <c r="AM366" s="400"/>
      <c r="AN366" s="400"/>
      <c r="AO366" s="400"/>
      <c r="AP366" s="400"/>
      <c r="AQ366" s="400"/>
      <c r="AR366" s="400"/>
      <c r="AS366" s="400"/>
      <c r="AT366" s="400"/>
      <c r="AU366" s="400"/>
      <c r="AV366" s="400"/>
      <c r="AW366" s="400"/>
      <c r="AX366" s="400"/>
      <c r="AY366" s="400"/>
      <c r="AZ366" s="400"/>
      <c r="BA366" s="400"/>
      <c r="BB366" s="400"/>
      <c r="BC366" s="400"/>
    </row>
    <row r="367" s="366" customFormat="1" spans="1:55">
      <c r="A367" s="395">
        <v>43097</v>
      </c>
      <c r="B367" s="443" t="s">
        <v>38</v>
      </c>
      <c r="C367" s="377"/>
      <c r="D367" s="329"/>
      <c r="E367" s="329"/>
      <c r="F367" s="378"/>
      <c r="G367" s="329"/>
      <c r="H367" s="376"/>
      <c r="I367" s="376"/>
      <c r="J367" s="399">
        <f t="shared" si="121"/>
        <v>0</v>
      </c>
      <c r="K367" s="329"/>
      <c r="L367" s="329"/>
      <c r="M367" s="401">
        <f t="shared" si="123"/>
        <v>0</v>
      </c>
      <c r="N367" s="396">
        <f t="shared" si="135"/>
        <v>0</v>
      </c>
      <c r="O367" s="368">
        <f t="shared" si="135"/>
        <v>0</v>
      </c>
      <c r="P367" s="398">
        <f t="shared" si="135"/>
        <v>0</v>
      </c>
      <c r="Q367" s="414">
        <f t="shared" si="133"/>
        <v>20308551.88</v>
      </c>
      <c r="R367" s="402">
        <f t="shared" si="133"/>
        <v>13799837.8</v>
      </c>
      <c r="S367" s="415">
        <f t="shared" si="133"/>
        <v>35238127.4</v>
      </c>
      <c r="T367" s="416">
        <f>N367/'2018'!N367-1</f>
        <v>-1</v>
      </c>
      <c r="U367" s="417">
        <f>O367/'2018'!O367-1</f>
        <v>-1</v>
      </c>
      <c r="V367" s="417">
        <f>P367/'2018'!P367-1</f>
        <v>-1</v>
      </c>
      <c r="W367" s="417">
        <f>Q367/'2018'!Q367-1</f>
        <v>-0.0843168503176498</v>
      </c>
      <c r="X367" s="417">
        <f>R367/'2018'!R367-1</f>
        <v>-0.0739647787624182</v>
      </c>
      <c r="Y367" s="424">
        <f>S367/'2018'!S367-1</f>
        <v>-0.082744129976712</v>
      </c>
      <c r="Z367" s="425"/>
      <c r="AA367" s="426">
        <f t="shared" si="122"/>
        <v>2030.855188</v>
      </c>
      <c r="AB367" s="427"/>
      <c r="AC367" s="401"/>
      <c r="AD367" s="427">
        <f t="shared" si="124"/>
        <v>21438289.6</v>
      </c>
      <c r="AE367" s="329">
        <f t="shared" si="136"/>
        <v>206858.22</v>
      </c>
      <c r="AF367" s="329">
        <f t="shared" si="136"/>
        <v>641604.94</v>
      </c>
      <c r="AG367" s="401">
        <f t="shared" si="127"/>
        <v>281274.559999999</v>
      </c>
      <c r="AH367" s="439"/>
      <c r="AI367" s="400"/>
      <c r="AJ367" s="400"/>
      <c r="AK367" s="400"/>
      <c r="AL367" s="400"/>
      <c r="AM367" s="400"/>
      <c r="AN367" s="400"/>
      <c r="AO367" s="400"/>
      <c r="AP367" s="400"/>
      <c r="AQ367" s="400"/>
      <c r="AR367" s="400"/>
      <c r="AS367" s="400"/>
      <c r="AT367" s="400"/>
      <c r="AU367" s="400"/>
      <c r="AV367" s="400"/>
      <c r="AW367" s="400"/>
      <c r="AX367" s="400"/>
      <c r="AY367" s="400"/>
      <c r="AZ367" s="400"/>
      <c r="BA367" s="400"/>
      <c r="BB367" s="400"/>
      <c r="BC367" s="400"/>
    </row>
    <row r="368" s="366" customFormat="1" spans="1:55">
      <c r="A368" s="395">
        <v>43098</v>
      </c>
      <c r="B368" s="443" t="s">
        <v>1</v>
      </c>
      <c r="C368" s="377"/>
      <c r="D368" s="329"/>
      <c r="E368" s="329"/>
      <c r="F368" s="378"/>
      <c r="G368" s="329"/>
      <c r="H368" s="376"/>
      <c r="I368" s="376"/>
      <c r="J368" s="399">
        <f t="shared" si="121"/>
        <v>0</v>
      </c>
      <c r="K368" s="329"/>
      <c r="L368" s="329"/>
      <c r="M368" s="401">
        <f t="shared" si="123"/>
        <v>0</v>
      </c>
      <c r="N368" s="396">
        <f t="shared" si="135"/>
        <v>0</v>
      </c>
      <c r="O368" s="368">
        <f t="shared" si="135"/>
        <v>0</v>
      </c>
      <c r="P368" s="398">
        <f t="shared" si="135"/>
        <v>0</v>
      </c>
      <c r="Q368" s="414">
        <f t="shared" si="133"/>
        <v>20308551.88</v>
      </c>
      <c r="R368" s="402">
        <f t="shared" si="133"/>
        <v>13799837.8</v>
      </c>
      <c r="S368" s="415">
        <f t="shared" si="133"/>
        <v>35238127.4</v>
      </c>
      <c r="T368" s="416">
        <f>N368/'2018'!N368-1</f>
        <v>-1</v>
      </c>
      <c r="U368" s="417">
        <f>O368/'2018'!O368-1</f>
        <v>-1</v>
      </c>
      <c r="V368" s="417">
        <f>P368/'2018'!P368-1</f>
        <v>-1</v>
      </c>
      <c r="W368" s="417">
        <f>Q368/'2018'!Q368-1</f>
        <v>-0.0877202255089288</v>
      </c>
      <c r="X368" s="417">
        <f>R368/'2018'!R368-1</f>
        <v>-0.0763498211691838</v>
      </c>
      <c r="Y368" s="424">
        <f>S368/'2018'!S368-1</f>
        <v>-0.0857633770627853</v>
      </c>
      <c r="Z368" s="425"/>
      <c r="AA368" s="426">
        <f t="shared" si="122"/>
        <v>2030.855188</v>
      </c>
      <c r="AB368" s="427"/>
      <c r="AC368" s="401"/>
      <c r="AD368" s="427">
        <f t="shared" si="124"/>
        <v>21438289.6</v>
      </c>
      <c r="AE368" s="329">
        <f t="shared" si="136"/>
        <v>206858.22</v>
      </c>
      <c r="AF368" s="329">
        <f t="shared" si="136"/>
        <v>641604.94</v>
      </c>
      <c r="AG368" s="401">
        <f t="shared" si="127"/>
        <v>281274.559999999</v>
      </c>
      <c r="AH368" s="439"/>
      <c r="AI368" s="400"/>
      <c r="AJ368" s="400"/>
      <c r="AK368" s="400"/>
      <c r="AL368" s="400"/>
      <c r="AM368" s="400"/>
      <c r="AN368" s="400"/>
      <c r="AO368" s="400"/>
      <c r="AP368" s="400"/>
      <c r="AQ368" s="400"/>
      <c r="AR368" s="400"/>
      <c r="AS368" s="400"/>
      <c r="AT368" s="400"/>
      <c r="AU368" s="400"/>
      <c r="AV368" s="400"/>
      <c r="AW368" s="400"/>
      <c r="AX368" s="400"/>
      <c r="AY368" s="400"/>
      <c r="AZ368" s="400"/>
      <c r="BA368" s="400"/>
      <c r="BB368" s="400"/>
      <c r="BC368" s="400"/>
    </row>
    <row r="369" s="366" customFormat="1" ht="15" customHeight="1" spans="1:55">
      <c r="A369" s="395">
        <v>43099</v>
      </c>
      <c r="B369" s="443" t="s">
        <v>39</v>
      </c>
      <c r="C369" s="377"/>
      <c r="D369" s="329"/>
      <c r="E369" s="329"/>
      <c r="F369" s="378"/>
      <c r="G369" s="329"/>
      <c r="H369" s="376"/>
      <c r="I369" s="376"/>
      <c r="J369" s="399">
        <f t="shared" si="121"/>
        <v>0</v>
      </c>
      <c r="K369" s="329"/>
      <c r="L369" s="329"/>
      <c r="M369" s="401">
        <f t="shared" si="123"/>
        <v>0</v>
      </c>
      <c r="N369" s="396">
        <f t="shared" si="135"/>
        <v>0</v>
      </c>
      <c r="O369" s="368">
        <f t="shared" si="135"/>
        <v>0</v>
      </c>
      <c r="P369" s="398">
        <f t="shared" si="135"/>
        <v>0</v>
      </c>
      <c r="Q369" s="414">
        <f t="shared" si="133"/>
        <v>20308551.88</v>
      </c>
      <c r="R369" s="402">
        <f t="shared" si="133"/>
        <v>13799837.8</v>
      </c>
      <c r="S369" s="415">
        <f t="shared" si="133"/>
        <v>35238127.4</v>
      </c>
      <c r="T369" s="416">
        <f>N369/'2018'!N369-1</f>
        <v>-1</v>
      </c>
      <c r="U369" s="417">
        <f>O369/'2018'!O369-1</f>
        <v>-1</v>
      </c>
      <c r="V369" s="417">
        <f>P369/'2018'!P369-1</f>
        <v>-1</v>
      </c>
      <c r="W369" s="417">
        <f>Q369/'2018'!Q369-1</f>
        <v>-0.0911836474667964</v>
      </c>
      <c r="X369" s="417">
        <f>R369/'2018'!R369-1</f>
        <v>-0.0786719886046676</v>
      </c>
      <c r="Y369" s="424">
        <f>S369/'2018'!S369-1</f>
        <v>-0.0887871304584629</v>
      </c>
      <c r="Z369" s="425"/>
      <c r="AA369" s="426">
        <f t="shared" si="122"/>
        <v>2030.855188</v>
      </c>
      <c r="AB369" s="427"/>
      <c r="AC369" s="401"/>
      <c r="AD369" s="427">
        <f t="shared" si="124"/>
        <v>21438289.6</v>
      </c>
      <c r="AE369" s="329">
        <f t="shared" si="136"/>
        <v>206858.22</v>
      </c>
      <c r="AF369" s="329">
        <f t="shared" si="136"/>
        <v>641604.94</v>
      </c>
      <c r="AG369" s="401">
        <f t="shared" si="127"/>
        <v>281274.559999999</v>
      </c>
      <c r="AH369" s="439"/>
      <c r="AI369" s="400"/>
      <c r="AJ369" s="400"/>
      <c r="AK369" s="400"/>
      <c r="AL369" s="400"/>
      <c r="AM369" s="400"/>
      <c r="AN369" s="400"/>
      <c r="AO369" s="400"/>
      <c r="AP369" s="400"/>
      <c r="AQ369" s="400"/>
      <c r="AR369" s="400"/>
      <c r="AS369" s="400"/>
      <c r="AT369" s="400"/>
      <c r="AU369" s="400"/>
      <c r="AV369" s="400"/>
      <c r="AW369" s="400"/>
      <c r="AX369" s="400"/>
      <c r="AY369" s="400"/>
      <c r="AZ369" s="400"/>
      <c r="BA369" s="400"/>
      <c r="BB369" s="400"/>
      <c r="BC369" s="400"/>
    </row>
    <row r="370" s="366" customFormat="1" ht="15" customHeight="1" spans="1:55">
      <c r="A370" s="385">
        <v>43100</v>
      </c>
      <c r="B370" s="386" t="s">
        <v>34</v>
      </c>
      <c r="C370" s="454"/>
      <c r="D370" s="455"/>
      <c r="E370" s="455"/>
      <c r="F370" s="456"/>
      <c r="G370" s="455"/>
      <c r="H370" s="457"/>
      <c r="I370" s="457"/>
      <c r="J370" s="460">
        <f t="shared" si="121"/>
        <v>0</v>
      </c>
      <c r="K370" s="455"/>
      <c r="L370" s="455"/>
      <c r="M370" s="461">
        <f t="shared" si="123"/>
        <v>0</v>
      </c>
      <c r="N370" s="462">
        <f t="shared" ref="N370" si="137">N369+C370</f>
        <v>0</v>
      </c>
      <c r="O370" s="463">
        <f t="shared" ref="O370" si="138">O369+D370</f>
        <v>0</v>
      </c>
      <c r="P370" s="464">
        <f t="shared" ref="P370" si="139">P369+E370</f>
        <v>0</v>
      </c>
      <c r="Q370" s="466">
        <f>[11]表2、统调口径电量!$I$10</f>
        <v>22428083.52</v>
      </c>
      <c r="R370" s="467">
        <f>[11]表2、统调口径电量!$I$14</f>
        <v>15015234.8</v>
      </c>
      <c r="S370" s="468">
        <f>[11]表2、统调口径电量!$I$3</f>
        <v>38795496.14</v>
      </c>
      <c r="T370" s="469">
        <f>N370/'2018'!N370-1</f>
        <v>-1</v>
      </c>
      <c r="U370" s="470">
        <f>O370/'2018'!O370-1</f>
        <v>-1</v>
      </c>
      <c r="V370" s="470">
        <f>P370/'2018'!P370-1</f>
        <v>-1</v>
      </c>
      <c r="W370" s="470">
        <f>Q370/'2018'!Q370-1</f>
        <v>0</v>
      </c>
      <c r="X370" s="470">
        <f>R370/'2018'!R370-1</f>
        <v>0</v>
      </c>
      <c r="Y370" s="471">
        <f>S370/'2018'!S370-1</f>
        <v>0</v>
      </c>
      <c r="Z370" s="472"/>
      <c r="AA370" s="473">
        <f>[11]表2、统调口径电量!$I$11/10000</f>
        <v>2092.341221</v>
      </c>
      <c r="AB370" s="474">
        <v>4286.88</v>
      </c>
      <c r="AC370" s="461">
        <f t="shared" si="131"/>
        <v>4880.80193753966</v>
      </c>
      <c r="AD370" s="474">
        <f>[11]表2、统调口径电量!$I$4</f>
        <v>23780261.34</v>
      </c>
      <c r="AE370" s="455">
        <f>[11]表2、统调口径电量!$I$13</f>
        <v>225160.47</v>
      </c>
      <c r="AF370" s="455">
        <f>[11]表2、统调口径电量!$I$17</f>
        <v>826835.81</v>
      </c>
      <c r="AG370" s="461">
        <f t="shared" si="127"/>
        <v>300181.54</v>
      </c>
      <c r="AH370" s="439"/>
      <c r="AI370" s="400"/>
      <c r="AJ370" s="400"/>
      <c r="AK370" s="400"/>
      <c r="AL370" s="400"/>
      <c r="AM370" s="400"/>
      <c r="AN370" s="400"/>
      <c r="AO370" s="400"/>
      <c r="AP370" s="400"/>
      <c r="AQ370" s="400"/>
      <c r="AR370" s="400"/>
      <c r="AS370" s="400"/>
      <c r="AT370" s="400"/>
      <c r="AU370" s="400"/>
      <c r="AV370" s="400"/>
      <c r="AW370" s="400"/>
      <c r="AX370" s="400"/>
      <c r="AY370" s="400"/>
      <c r="AZ370" s="400"/>
      <c r="BA370" s="400"/>
      <c r="BB370" s="400"/>
      <c r="BC370" s="400"/>
    </row>
    <row r="371" s="367" customFormat="1" ht="15" customHeight="1" spans="1:55">
      <c r="A371" s="458" t="s">
        <v>40</v>
      </c>
      <c r="B371" s="458"/>
      <c r="C371" s="459">
        <f>MAX(C5:C370)</f>
        <v>79444</v>
      </c>
      <c r="D371" s="459">
        <f t="shared" ref="D371:M371" si="140">MAX(D5:D370)</f>
        <v>46976</v>
      </c>
      <c r="E371" s="459">
        <f t="shared" si="140"/>
        <v>130230</v>
      </c>
      <c r="F371" s="459">
        <f t="shared" si="140"/>
        <v>6664</v>
      </c>
      <c r="G371" s="459">
        <f t="shared" si="140"/>
        <v>3944</v>
      </c>
      <c r="H371" s="459">
        <f t="shared" si="140"/>
        <v>5069</v>
      </c>
      <c r="I371" s="459">
        <f t="shared" si="140"/>
        <v>0</v>
      </c>
      <c r="J371" s="459">
        <f t="shared" si="140"/>
        <v>84474</v>
      </c>
      <c r="K371" s="459">
        <f t="shared" si="140"/>
        <v>1779</v>
      </c>
      <c r="L371" s="459">
        <f t="shared" si="140"/>
        <v>3866</v>
      </c>
      <c r="M371" s="459">
        <f t="shared" si="140"/>
        <v>2163</v>
      </c>
      <c r="N371" s="459"/>
      <c r="O371" s="465"/>
      <c r="P371" s="465"/>
      <c r="Q371" s="465"/>
      <c r="R371" s="465"/>
      <c r="S371" s="465"/>
      <c r="T371" s="465"/>
      <c r="U371" s="465"/>
      <c r="V371" s="465"/>
      <c r="W371" s="465"/>
      <c r="X371" s="465"/>
      <c r="Y371" s="465"/>
      <c r="Z371" s="475"/>
      <c r="AA371" s="475"/>
      <c r="AB371" s="476"/>
      <c r="AC371" s="476"/>
      <c r="AD371" s="476"/>
      <c r="AE371" s="476"/>
      <c r="AF371" s="476"/>
      <c r="AG371" s="476"/>
      <c r="AH371" s="478"/>
      <c r="AI371" s="479"/>
      <c r="AJ371" s="479"/>
      <c r="AK371" s="479"/>
      <c r="AL371" s="479"/>
      <c r="AM371" s="479"/>
      <c r="AN371" s="479"/>
      <c r="AO371" s="479"/>
      <c r="AP371" s="479"/>
      <c r="AQ371" s="479"/>
      <c r="AR371" s="479"/>
      <c r="AS371" s="479"/>
      <c r="AT371" s="479"/>
      <c r="AU371" s="479"/>
      <c r="AV371" s="479"/>
      <c r="AW371" s="479"/>
      <c r="AX371" s="479"/>
      <c r="AY371" s="479"/>
      <c r="AZ371" s="479"/>
      <c r="BA371" s="479"/>
      <c r="BB371" s="479"/>
      <c r="BC371" s="479"/>
    </row>
    <row r="372" s="366" customFormat="1" spans="1:55">
      <c r="A372" s="400"/>
      <c r="B372" s="400"/>
      <c r="C372" s="447">
        <f>AVERAGE(C5:C370)</f>
        <v>50205.6696078431</v>
      </c>
      <c r="D372" s="447">
        <f t="shared" ref="D372:M372" si="141">AVERAGE(D5:D370)</f>
        <v>34249.3921568627</v>
      </c>
      <c r="E372" s="447">
        <f t="shared" si="141"/>
        <v>89055.9678431373</v>
      </c>
      <c r="F372" s="447">
        <f t="shared" si="141"/>
        <v>4480.02745098039</v>
      </c>
      <c r="G372" s="447">
        <f t="shared" si="141"/>
        <v>2743.5137254902</v>
      </c>
      <c r="H372" s="447">
        <f t="shared" si="141"/>
        <v>4798.57142857143</v>
      </c>
      <c r="I372" s="447" t="e">
        <f t="shared" si="141"/>
        <v>#DIV/0!</v>
      </c>
      <c r="J372" s="447">
        <f t="shared" si="141"/>
        <v>7657.90509589041</v>
      </c>
      <c r="K372" s="447">
        <f t="shared" si="141"/>
        <v>546.040980392157</v>
      </c>
      <c r="L372" s="447">
        <f t="shared" si="141"/>
        <v>3441.87450980392</v>
      </c>
      <c r="M372" s="447">
        <f t="shared" si="141"/>
        <v>85.6507397260274</v>
      </c>
      <c r="N372" s="400"/>
      <c r="O372" s="400"/>
      <c r="P372" s="400"/>
      <c r="Q372" s="400"/>
      <c r="R372" s="400"/>
      <c r="S372" s="400"/>
      <c r="T372" s="400"/>
      <c r="U372" s="400"/>
      <c r="V372" s="400"/>
      <c r="W372" s="400"/>
      <c r="X372" s="400"/>
      <c r="Y372" s="400"/>
      <c r="Z372" s="400"/>
      <c r="AA372" s="400"/>
      <c r="AB372" s="400"/>
      <c r="AC372" s="400"/>
      <c r="AD372" s="400"/>
      <c r="AE372" s="400"/>
      <c r="AF372" s="400"/>
      <c r="AG372" s="400"/>
      <c r="AH372" s="439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</row>
    <row r="373" s="366" customFormat="1" spans="1:55">
      <c r="A373" s="400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00"/>
      <c r="P373" s="400"/>
      <c r="Q373" s="400"/>
      <c r="R373" s="400"/>
      <c r="S373" s="400"/>
      <c r="T373" s="400"/>
      <c r="U373" s="400"/>
      <c r="V373" s="400"/>
      <c r="W373" s="400"/>
      <c r="X373" s="400"/>
      <c r="Y373" s="400"/>
      <c r="Z373" s="400"/>
      <c r="AA373" s="400"/>
      <c r="AB373" s="400"/>
      <c r="AC373" s="400"/>
      <c r="AD373" s="400"/>
      <c r="AE373" s="400"/>
      <c r="AF373" s="400"/>
      <c r="AG373" s="400"/>
      <c r="AH373" s="439"/>
      <c r="AI373" s="400"/>
      <c r="AJ373" s="400"/>
      <c r="AK373" s="400"/>
      <c r="AL373" s="400"/>
      <c r="AM373" s="400"/>
      <c r="AN373" s="400"/>
      <c r="AO373" s="400"/>
      <c r="AP373" s="400"/>
      <c r="AQ373" s="400"/>
      <c r="AR373" s="400"/>
      <c r="AS373" s="400"/>
      <c r="AT373" s="400"/>
      <c r="AU373" s="400"/>
      <c r="AV373" s="400"/>
      <c r="AW373" s="400"/>
      <c r="AX373" s="400"/>
      <c r="AY373" s="400"/>
      <c r="AZ373" s="400"/>
      <c r="BA373" s="400"/>
      <c r="BB373" s="400"/>
      <c r="BC373" s="400"/>
    </row>
    <row r="374" s="366" customFormat="1" spans="1:55">
      <c r="A374" s="400"/>
      <c r="B374" s="400"/>
      <c r="C374" s="400"/>
      <c r="D374" s="400"/>
      <c r="E374" s="400"/>
      <c r="F374" s="400"/>
      <c r="G374" s="400"/>
      <c r="H374" s="400"/>
      <c r="I374" s="400" t="e">
        <f>I372/H372</f>
        <v>#DIV/0!</v>
      </c>
      <c r="J374" s="400"/>
      <c r="K374" s="400"/>
      <c r="L374" s="400"/>
      <c r="M374" s="400"/>
      <c r="N374" s="400"/>
      <c r="O374" s="400"/>
      <c r="P374" s="400"/>
      <c r="Q374" s="400"/>
      <c r="R374" s="400"/>
      <c r="S374" s="400"/>
      <c r="T374" s="400"/>
      <c r="U374" s="400"/>
      <c r="V374" s="400"/>
      <c r="W374" s="400"/>
      <c r="X374" s="400"/>
      <c r="Y374" s="400"/>
      <c r="Z374" s="400"/>
      <c r="AA374" s="400"/>
      <c r="AB374" s="400"/>
      <c r="AC374" s="400"/>
      <c r="AD374" s="400"/>
      <c r="AE374" s="400"/>
      <c r="AF374" s="400"/>
      <c r="AG374" s="400"/>
      <c r="AH374" s="439"/>
      <c r="AI374" s="400"/>
      <c r="AJ374" s="400"/>
      <c r="AK374" s="400"/>
      <c r="AL374" s="400"/>
      <c r="AM374" s="400"/>
      <c r="AN374" s="400"/>
      <c r="AO374" s="400"/>
      <c r="AP374" s="400"/>
      <c r="AQ374" s="400"/>
      <c r="AR374" s="400"/>
      <c r="AS374" s="400"/>
      <c r="AT374" s="400"/>
      <c r="AU374" s="400"/>
      <c r="AV374" s="400"/>
      <c r="AW374" s="400"/>
      <c r="AX374" s="400"/>
      <c r="AY374" s="400"/>
      <c r="AZ374" s="400"/>
      <c r="BA374" s="400"/>
      <c r="BB374" s="400"/>
      <c r="BC374" s="400"/>
    </row>
    <row r="375" s="366" customFormat="1" hidden="1" spans="1:34">
      <c r="A375" s="400" t="s">
        <v>41</v>
      </c>
      <c r="B375" s="400"/>
      <c r="C375" s="376">
        <f>MAX(C5:C35)</f>
        <v>79444</v>
      </c>
      <c r="D375" s="376">
        <f t="shared" ref="D375:AC375" si="142">MAX(D5:D35)</f>
        <v>46976</v>
      </c>
      <c r="E375" s="376">
        <f t="shared" si="142"/>
        <v>130230</v>
      </c>
      <c r="F375" s="378">
        <f t="shared" si="142"/>
        <v>6664</v>
      </c>
      <c r="G375" s="376">
        <f t="shared" si="142"/>
        <v>3944</v>
      </c>
      <c r="H375" s="376">
        <f t="shared" si="142"/>
        <v>0</v>
      </c>
      <c r="I375" s="376">
        <f t="shared" si="142"/>
        <v>0</v>
      </c>
      <c r="J375" s="376">
        <f t="shared" si="142"/>
        <v>84474</v>
      </c>
      <c r="K375" s="376">
        <f>SUM(K5:K35)</f>
        <v>15805.16</v>
      </c>
      <c r="L375" s="376">
        <f>SUM(L5:L35)</f>
        <v>119195.16</v>
      </c>
      <c r="M375" s="376"/>
      <c r="N375" s="376">
        <f t="shared" si="142"/>
        <v>1835074.72</v>
      </c>
      <c r="O375" s="376">
        <f t="shared" si="142"/>
        <v>1278537</v>
      </c>
      <c r="P375" s="376">
        <f t="shared" si="142"/>
        <v>3269642.36</v>
      </c>
      <c r="Q375" s="376">
        <f t="shared" si="142"/>
        <v>1835074.72</v>
      </c>
      <c r="R375" s="376">
        <f t="shared" si="142"/>
        <v>1278537</v>
      </c>
      <c r="S375" s="376">
        <f t="shared" si="142"/>
        <v>3269642.36</v>
      </c>
      <c r="T375" s="376"/>
      <c r="U375" s="376"/>
      <c r="V375" s="376"/>
      <c r="W375" s="376"/>
      <c r="X375" s="376"/>
      <c r="Y375" s="376"/>
      <c r="Z375" s="477">
        <f t="shared" si="142"/>
        <v>9.207196</v>
      </c>
      <c r="AA375" s="477">
        <f t="shared" si="142"/>
        <v>181.18378</v>
      </c>
      <c r="AB375" s="376">
        <f t="shared" si="142"/>
        <v>4259.88</v>
      </c>
      <c r="AC375" s="376">
        <f t="shared" si="142"/>
        <v>409.167103298684</v>
      </c>
      <c r="AH375" s="365"/>
    </row>
    <row r="376" s="366" customFormat="1" hidden="1" spans="1:34">
      <c r="A376" s="400" t="s">
        <v>42</v>
      </c>
      <c r="B376" s="400"/>
      <c r="C376" s="376">
        <f>MAX(C36:C64)</f>
        <v>61275</v>
      </c>
      <c r="D376" s="376">
        <f t="shared" ref="D376:AC376" si="143">MAX(D36:D64)</f>
        <v>30899</v>
      </c>
      <c r="E376" s="376">
        <f t="shared" si="143"/>
        <v>95972</v>
      </c>
      <c r="F376" s="378">
        <f t="shared" si="143"/>
        <v>5000.5</v>
      </c>
      <c r="G376" s="376">
        <f t="shared" si="143"/>
        <v>2666.3</v>
      </c>
      <c r="H376" s="376">
        <f t="shared" si="143"/>
        <v>0</v>
      </c>
      <c r="I376" s="376">
        <f t="shared" si="143"/>
        <v>0</v>
      </c>
      <c r="J376" s="376">
        <f t="shared" si="143"/>
        <v>66932</v>
      </c>
      <c r="K376" s="376">
        <f>SUM(K36:K64)</f>
        <v>12042.93</v>
      </c>
      <c r="L376" s="376">
        <f>SUM(L36:L64)</f>
        <v>56340.44</v>
      </c>
      <c r="M376" s="376"/>
      <c r="N376" s="376">
        <f t="shared" si="143"/>
        <v>725357</v>
      </c>
      <c r="O376" s="376">
        <f t="shared" si="143"/>
        <v>468182</v>
      </c>
      <c r="P376" s="376">
        <f t="shared" si="143"/>
        <v>1272904.6</v>
      </c>
      <c r="Q376" s="376">
        <f t="shared" si="143"/>
        <v>2560431.72</v>
      </c>
      <c r="R376" s="376">
        <f t="shared" si="143"/>
        <v>1746719</v>
      </c>
      <c r="S376" s="376">
        <f t="shared" si="143"/>
        <v>4542546.96</v>
      </c>
      <c r="T376" s="376"/>
      <c r="U376" s="376"/>
      <c r="V376" s="376"/>
      <c r="W376" s="376"/>
      <c r="X376" s="376"/>
      <c r="Y376" s="376"/>
      <c r="Z376" s="477">
        <f t="shared" si="143"/>
        <v>16.65</v>
      </c>
      <c r="AA376" s="477">
        <f t="shared" si="143"/>
        <v>333.394831</v>
      </c>
      <c r="AB376" s="376">
        <f t="shared" si="143"/>
        <v>4259.88</v>
      </c>
      <c r="AC376" s="376" t="e">
        <f t="shared" si="143"/>
        <v>#DIV/0!</v>
      </c>
      <c r="AH376" s="365"/>
    </row>
    <row r="377" s="366" customFormat="1" hidden="1" spans="1:34">
      <c r="A377" s="400" t="s">
        <v>43</v>
      </c>
      <c r="B377" s="400"/>
      <c r="C377" s="376">
        <f>MAX(C65:C95)</f>
        <v>0</v>
      </c>
      <c r="D377" s="376">
        <f t="shared" ref="D377:AC377" si="144">MAX(D65:D95)</f>
        <v>0</v>
      </c>
      <c r="E377" s="376">
        <f t="shared" si="144"/>
        <v>0</v>
      </c>
      <c r="F377" s="378">
        <f t="shared" si="144"/>
        <v>0</v>
      </c>
      <c r="G377" s="376">
        <f t="shared" si="144"/>
        <v>0</v>
      </c>
      <c r="H377" s="376">
        <f t="shared" si="144"/>
        <v>0</v>
      </c>
      <c r="I377" s="376">
        <f t="shared" si="144"/>
        <v>0</v>
      </c>
      <c r="J377" s="376">
        <f t="shared" si="144"/>
        <v>0</v>
      </c>
      <c r="K377" s="376">
        <f>SUM(K65:K95)</f>
        <v>0</v>
      </c>
      <c r="L377" s="376">
        <f>SUM(L65:L95)</f>
        <v>0</v>
      </c>
      <c r="M377" s="376"/>
      <c r="N377" s="376">
        <f t="shared" si="144"/>
        <v>0</v>
      </c>
      <c r="O377" s="376">
        <f t="shared" si="144"/>
        <v>0</v>
      </c>
      <c r="P377" s="376">
        <f t="shared" si="144"/>
        <v>0</v>
      </c>
      <c r="Q377" s="376">
        <f t="shared" si="144"/>
        <v>2560431.72</v>
      </c>
      <c r="R377" s="376">
        <f t="shared" si="144"/>
        <v>1746719</v>
      </c>
      <c r="S377" s="376">
        <f t="shared" si="144"/>
        <v>4542546.96</v>
      </c>
      <c r="T377" s="376"/>
      <c r="U377" s="376"/>
      <c r="V377" s="376"/>
      <c r="W377" s="376"/>
      <c r="X377" s="376"/>
      <c r="Y377" s="376"/>
      <c r="Z377" s="477">
        <f t="shared" si="144"/>
        <v>0</v>
      </c>
      <c r="AA377" s="477">
        <f t="shared" si="144"/>
        <v>256.043172</v>
      </c>
      <c r="AB377" s="376">
        <f t="shared" si="144"/>
        <v>0</v>
      </c>
      <c r="AC377" s="376">
        <f t="shared" si="144"/>
        <v>0</v>
      </c>
      <c r="AH377" s="365"/>
    </row>
    <row r="378" s="366" customFormat="1" hidden="1" spans="1:34">
      <c r="A378" s="400" t="s">
        <v>44</v>
      </c>
      <c r="B378" s="400"/>
      <c r="C378" s="376">
        <f>MAX(C96:C125)</f>
        <v>0</v>
      </c>
      <c r="D378" s="376">
        <f t="shared" ref="D378:AC378" si="145">MAX(D96:D125)</f>
        <v>0</v>
      </c>
      <c r="E378" s="376">
        <f t="shared" si="145"/>
        <v>0</v>
      </c>
      <c r="F378" s="378">
        <f t="shared" si="145"/>
        <v>0</v>
      </c>
      <c r="G378" s="376">
        <f t="shared" si="145"/>
        <v>0</v>
      </c>
      <c r="H378" s="376">
        <f t="shared" si="145"/>
        <v>0</v>
      </c>
      <c r="I378" s="376">
        <f t="shared" si="145"/>
        <v>0</v>
      </c>
      <c r="J378" s="376">
        <f t="shared" si="145"/>
        <v>0</v>
      </c>
      <c r="K378" s="376">
        <f>SUM(K96:K125)</f>
        <v>0</v>
      </c>
      <c r="L378" s="376">
        <f>SUM(L96:L125)</f>
        <v>0</v>
      </c>
      <c r="M378" s="376"/>
      <c r="N378" s="376">
        <f t="shared" si="145"/>
        <v>0</v>
      </c>
      <c r="O378" s="376">
        <f t="shared" si="145"/>
        <v>0</v>
      </c>
      <c r="P378" s="376">
        <f t="shared" si="145"/>
        <v>0</v>
      </c>
      <c r="Q378" s="376">
        <f t="shared" si="145"/>
        <v>7390704.48</v>
      </c>
      <c r="R378" s="376">
        <f t="shared" si="145"/>
        <v>3745318</v>
      </c>
      <c r="S378" s="376">
        <f t="shared" si="145"/>
        <v>11317748.98</v>
      </c>
      <c r="T378" s="376"/>
      <c r="U378" s="376"/>
      <c r="V378" s="376"/>
      <c r="W378" s="376"/>
      <c r="X378" s="376"/>
      <c r="Y378" s="376"/>
      <c r="Z378" s="477">
        <f t="shared" si="145"/>
        <v>0</v>
      </c>
      <c r="AA378" s="477">
        <f t="shared" si="145"/>
        <v>739.070448</v>
      </c>
      <c r="AB378" s="376">
        <f t="shared" si="145"/>
        <v>0</v>
      </c>
      <c r="AC378" s="376" t="e">
        <f t="shared" si="145"/>
        <v>#DIV/0!</v>
      </c>
      <c r="AH378" s="365"/>
    </row>
    <row r="379" s="366" customFormat="1" hidden="1" spans="1:34">
      <c r="A379" s="400" t="s">
        <v>45</v>
      </c>
      <c r="B379" s="400"/>
      <c r="C379" s="376">
        <f>MAX(C126:C156)</f>
        <v>0</v>
      </c>
      <c r="D379" s="376">
        <f t="shared" ref="D379:AC379" si="146">MAX(D126:D156)</f>
        <v>0</v>
      </c>
      <c r="E379" s="376">
        <f t="shared" si="146"/>
        <v>0</v>
      </c>
      <c r="F379" s="378">
        <f t="shared" si="146"/>
        <v>0</v>
      </c>
      <c r="G379" s="376">
        <f t="shared" si="146"/>
        <v>0</v>
      </c>
      <c r="H379" s="376">
        <f t="shared" si="146"/>
        <v>5069</v>
      </c>
      <c r="I379" s="376">
        <f t="shared" si="146"/>
        <v>0</v>
      </c>
      <c r="J379" s="376">
        <f t="shared" si="146"/>
        <v>0</v>
      </c>
      <c r="K379" s="376">
        <f>SUM(K126:K156)</f>
        <v>0</v>
      </c>
      <c r="L379" s="376">
        <f>SUM(L126:L156)</f>
        <v>0</v>
      </c>
      <c r="M379" s="376"/>
      <c r="N379" s="376">
        <f t="shared" si="146"/>
        <v>0</v>
      </c>
      <c r="O379" s="376">
        <f t="shared" si="146"/>
        <v>0</v>
      </c>
      <c r="P379" s="376">
        <f t="shared" si="146"/>
        <v>0</v>
      </c>
      <c r="Q379" s="376">
        <f t="shared" si="146"/>
        <v>9556059.18</v>
      </c>
      <c r="R379" s="376">
        <f t="shared" si="146"/>
        <v>4767488</v>
      </c>
      <c r="S379" s="376">
        <f t="shared" si="146"/>
        <v>14554202.57</v>
      </c>
      <c r="T379" s="376"/>
      <c r="U379" s="376"/>
      <c r="V379" s="376"/>
      <c r="W379" s="376"/>
      <c r="X379" s="376"/>
      <c r="Y379" s="376"/>
      <c r="Z379" s="477">
        <f t="shared" si="146"/>
        <v>0</v>
      </c>
      <c r="AA379" s="477">
        <f t="shared" si="146"/>
        <v>910.582143</v>
      </c>
      <c r="AB379" s="376">
        <f t="shared" si="146"/>
        <v>0</v>
      </c>
      <c r="AC379" s="376" t="e">
        <f t="shared" si="146"/>
        <v>#DIV/0!</v>
      </c>
      <c r="AH379" s="365"/>
    </row>
    <row r="380" s="366" customFormat="1" hidden="1" spans="1:34">
      <c r="A380" s="400" t="s">
        <v>46</v>
      </c>
      <c r="B380" s="400"/>
      <c r="C380" s="376">
        <f>MAX(C157:C186)</f>
        <v>0</v>
      </c>
      <c r="D380" s="376">
        <f t="shared" ref="D380:AC380" si="147">MAX(D157:D186)</f>
        <v>0</v>
      </c>
      <c r="E380" s="376">
        <f t="shared" si="147"/>
        <v>0</v>
      </c>
      <c r="F380" s="378">
        <f t="shared" si="147"/>
        <v>0</v>
      </c>
      <c r="G380" s="376">
        <f t="shared" si="147"/>
        <v>0</v>
      </c>
      <c r="H380" s="376">
        <f t="shared" si="147"/>
        <v>0</v>
      </c>
      <c r="I380" s="376">
        <f t="shared" si="147"/>
        <v>0</v>
      </c>
      <c r="J380" s="376">
        <f t="shared" si="147"/>
        <v>0</v>
      </c>
      <c r="K380" s="376">
        <f>SUM(K157:K186)</f>
        <v>0</v>
      </c>
      <c r="L380" s="376">
        <f>SUM(L157:L186)</f>
        <v>0</v>
      </c>
      <c r="M380" s="376"/>
      <c r="N380" s="376">
        <f t="shared" si="147"/>
        <v>0</v>
      </c>
      <c r="O380" s="376">
        <f t="shared" si="147"/>
        <v>0</v>
      </c>
      <c r="P380" s="376">
        <f t="shared" si="147"/>
        <v>0</v>
      </c>
      <c r="Q380" s="376">
        <f t="shared" si="147"/>
        <v>11578322</v>
      </c>
      <c r="R380" s="376">
        <f t="shared" si="147"/>
        <v>5905291</v>
      </c>
      <c r="S380" s="376">
        <f t="shared" si="147"/>
        <v>17776680.74</v>
      </c>
      <c r="T380" s="376"/>
      <c r="U380" s="376"/>
      <c r="V380" s="376"/>
      <c r="W380" s="376"/>
      <c r="X380" s="376"/>
      <c r="Y380" s="376"/>
      <c r="Z380" s="477">
        <f t="shared" si="147"/>
        <v>0</v>
      </c>
      <c r="AA380" s="477">
        <f t="shared" si="147"/>
        <v>1157.8322</v>
      </c>
      <c r="AB380" s="376">
        <f t="shared" si="147"/>
        <v>0</v>
      </c>
      <c r="AC380" s="376">
        <f t="shared" si="147"/>
        <v>0</v>
      </c>
      <c r="AH380" s="365"/>
    </row>
    <row r="381" s="366" customFormat="1" hidden="1" spans="1:34">
      <c r="A381" s="400" t="s">
        <v>47</v>
      </c>
      <c r="B381" s="400"/>
      <c r="C381" s="376">
        <f>MAX(C187:C217)</f>
        <v>0</v>
      </c>
      <c r="D381" s="376">
        <f t="shared" ref="D381:AC381" si="148">MAX(D187:D217)</f>
        <v>0</v>
      </c>
      <c r="E381" s="376">
        <f t="shared" si="148"/>
        <v>0</v>
      </c>
      <c r="F381" s="376">
        <f t="shared" si="148"/>
        <v>0</v>
      </c>
      <c r="G381" s="376">
        <f t="shared" si="148"/>
        <v>0</v>
      </c>
      <c r="H381" s="376">
        <f t="shared" si="148"/>
        <v>0</v>
      </c>
      <c r="I381" s="376">
        <f t="shared" si="148"/>
        <v>0</v>
      </c>
      <c r="J381" s="376">
        <f t="shared" si="148"/>
        <v>0</v>
      </c>
      <c r="K381" s="376">
        <f>SUM(K187:K217)</f>
        <v>0</v>
      </c>
      <c r="L381" s="376">
        <f>SUM(L187:L217)</f>
        <v>0</v>
      </c>
      <c r="M381" s="376"/>
      <c r="N381" s="376">
        <f t="shared" si="148"/>
        <v>0</v>
      </c>
      <c r="O381" s="376">
        <f t="shared" si="148"/>
        <v>0</v>
      </c>
      <c r="P381" s="376">
        <f t="shared" si="148"/>
        <v>0</v>
      </c>
      <c r="Q381" s="376">
        <f t="shared" si="148"/>
        <v>13879287.72</v>
      </c>
      <c r="R381" s="376">
        <f t="shared" si="148"/>
        <v>7519553</v>
      </c>
      <c r="S381" s="376">
        <f t="shared" si="148"/>
        <v>21771111.72</v>
      </c>
      <c r="T381" s="376"/>
      <c r="U381" s="376"/>
      <c r="V381" s="376"/>
      <c r="W381" s="376"/>
      <c r="X381" s="376"/>
      <c r="Y381" s="376"/>
      <c r="Z381" s="477">
        <f t="shared" si="148"/>
        <v>0</v>
      </c>
      <c r="AA381" s="477">
        <f t="shared" si="148"/>
        <v>1318.498703</v>
      </c>
      <c r="AB381" s="376">
        <f t="shared" si="148"/>
        <v>0</v>
      </c>
      <c r="AC381" s="376">
        <f t="shared" si="148"/>
        <v>0</v>
      </c>
      <c r="AH381" s="365"/>
    </row>
    <row r="382" s="366" customFormat="1" hidden="1" spans="1:34">
      <c r="A382" s="400" t="s">
        <v>48</v>
      </c>
      <c r="B382" s="400"/>
      <c r="C382" s="376">
        <f>MAX(C218:C248)</f>
        <v>0</v>
      </c>
      <c r="D382" s="376">
        <f t="shared" ref="D382:J382" si="149">MAX(D218:D248)</f>
        <v>0</v>
      </c>
      <c r="E382" s="376">
        <f t="shared" si="149"/>
        <v>0</v>
      </c>
      <c r="F382" s="376">
        <f t="shared" si="149"/>
        <v>0</v>
      </c>
      <c r="G382" s="376">
        <f t="shared" si="149"/>
        <v>0</v>
      </c>
      <c r="H382" s="376">
        <f t="shared" si="149"/>
        <v>0</v>
      </c>
      <c r="I382" s="376">
        <f t="shared" si="149"/>
        <v>0</v>
      </c>
      <c r="J382" s="376">
        <f t="shared" si="149"/>
        <v>0</v>
      </c>
      <c r="K382" s="376">
        <f>SUM(K218:K248)</f>
        <v>0</v>
      </c>
      <c r="L382" s="376">
        <f>SUM(L218:L248)</f>
        <v>0</v>
      </c>
      <c r="M382" s="376"/>
      <c r="N382" s="376">
        <f t="shared" ref="N382:S382" si="150">MAX(N218:N248)</f>
        <v>0</v>
      </c>
      <c r="O382" s="376">
        <f t="shared" si="150"/>
        <v>0</v>
      </c>
      <c r="P382" s="376">
        <f t="shared" si="150"/>
        <v>0</v>
      </c>
      <c r="Q382" s="376">
        <f t="shared" si="150"/>
        <v>16022161.07</v>
      </c>
      <c r="R382" s="376">
        <f t="shared" si="150"/>
        <v>9292029.8</v>
      </c>
      <c r="S382" s="376">
        <f t="shared" si="150"/>
        <v>25831195.74</v>
      </c>
      <c r="T382" s="376"/>
      <c r="U382" s="376"/>
      <c r="V382" s="376"/>
      <c r="W382" s="376"/>
      <c r="X382" s="376"/>
      <c r="Y382" s="376"/>
      <c r="Z382" s="477">
        <f>MAX(Z218:Z248)</f>
        <v>0</v>
      </c>
      <c r="AA382" s="477">
        <f>MAX(AA218:AA248)</f>
        <v>1602.216107</v>
      </c>
      <c r="AB382" s="376">
        <f>MAX(AB218:AB248)</f>
        <v>0</v>
      </c>
      <c r="AC382" s="376" t="e">
        <f>MAX(AC218:AC248)</f>
        <v>#DIV/0!</v>
      </c>
      <c r="AH382" s="365"/>
    </row>
    <row r="383" s="366" customFormat="1" hidden="1" spans="1:34">
      <c r="A383" s="400" t="s">
        <v>49</v>
      </c>
      <c r="B383" s="400"/>
      <c r="C383" s="376">
        <f t="shared" ref="C383:J384" si="151">MAX(C189:C219)</f>
        <v>0</v>
      </c>
      <c r="D383" s="376">
        <f t="shared" si="151"/>
        <v>0</v>
      </c>
      <c r="E383" s="376">
        <f t="shared" si="151"/>
        <v>0</v>
      </c>
      <c r="F383" s="378">
        <f t="shared" si="151"/>
        <v>0</v>
      </c>
      <c r="G383" s="376">
        <f t="shared" si="151"/>
        <v>0</v>
      </c>
      <c r="H383" s="376">
        <f t="shared" si="151"/>
        <v>0</v>
      </c>
      <c r="I383" s="376">
        <f t="shared" si="151"/>
        <v>0</v>
      </c>
      <c r="J383" s="376">
        <f t="shared" si="151"/>
        <v>0</v>
      </c>
      <c r="K383" s="376">
        <f t="shared" ref="K383:L384" si="152">SUM(K189:K219)</f>
        <v>0</v>
      </c>
      <c r="L383" s="376">
        <f t="shared" si="152"/>
        <v>0</v>
      </c>
      <c r="M383" s="376"/>
      <c r="N383" s="376">
        <f t="shared" ref="N383:AC384" si="153">MAX(N189:N219)</f>
        <v>0</v>
      </c>
      <c r="O383" s="376">
        <f t="shared" si="153"/>
        <v>0</v>
      </c>
      <c r="P383" s="376">
        <f t="shared" si="153"/>
        <v>0</v>
      </c>
      <c r="Q383" s="376">
        <f t="shared" si="153"/>
        <v>13879287.72</v>
      </c>
      <c r="R383" s="376">
        <f t="shared" si="153"/>
        <v>7519553</v>
      </c>
      <c r="S383" s="376">
        <f t="shared" si="153"/>
        <v>21771111.72</v>
      </c>
      <c r="T383" s="376"/>
      <c r="U383" s="376"/>
      <c r="V383" s="376"/>
      <c r="W383" s="376"/>
      <c r="X383" s="376"/>
      <c r="Y383" s="376"/>
      <c r="Z383" s="477">
        <f t="shared" si="153"/>
        <v>0</v>
      </c>
      <c r="AA383" s="477">
        <f t="shared" si="153"/>
        <v>1387.928772</v>
      </c>
      <c r="AB383" s="376">
        <f t="shared" si="153"/>
        <v>0</v>
      </c>
      <c r="AC383" s="376">
        <f t="shared" si="153"/>
        <v>0</v>
      </c>
      <c r="AH383" s="365"/>
    </row>
    <row r="384" s="366" customFormat="1" hidden="1" spans="1:34">
      <c r="A384" s="400" t="s">
        <v>50</v>
      </c>
      <c r="B384" s="400"/>
      <c r="C384" s="376">
        <f t="shared" si="151"/>
        <v>0</v>
      </c>
      <c r="D384" s="376">
        <f t="shared" si="151"/>
        <v>0</v>
      </c>
      <c r="E384" s="376">
        <f t="shared" si="151"/>
        <v>0</v>
      </c>
      <c r="F384" s="378">
        <f t="shared" si="151"/>
        <v>0</v>
      </c>
      <c r="G384" s="376">
        <f t="shared" si="151"/>
        <v>0</v>
      </c>
      <c r="H384" s="376">
        <f t="shared" si="151"/>
        <v>0</v>
      </c>
      <c r="I384" s="376">
        <f t="shared" si="151"/>
        <v>0</v>
      </c>
      <c r="J384" s="376">
        <f t="shared" si="151"/>
        <v>0</v>
      </c>
      <c r="K384" s="376">
        <f t="shared" si="152"/>
        <v>0</v>
      </c>
      <c r="L384" s="376">
        <f t="shared" si="152"/>
        <v>0</v>
      </c>
      <c r="M384" s="376"/>
      <c r="N384" s="376">
        <f t="shared" si="153"/>
        <v>0</v>
      </c>
      <c r="O384" s="376">
        <f t="shared" si="153"/>
        <v>0</v>
      </c>
      <c r="P384" s="376">
        <f t="shared" si="153"/>
        <v>0</v>
      </c>
      <c r="Q384" s="376">
        <f t="shared" si="153"/>
        <v>13879287.72</v>
      </c>
      <c r="R384" s="376">
        <f t="shared" si="153"/>
        <v>7519553</v>
      </c>
      <c r="S384" s="376">
        <f t="shared" si="153"/>
        <v>21771111.72</v>
      </c>
      <c r="T384" s="376"/>
      <c r="U384" s="376"/>
      <c r="V384" s="376"/>
      <c r="W384" s="376"/>
      <c r="X384" s="376"/>
      <c r="Y384" s="376"/>
      <c r="Z384" s="477">
        <f t="shared" si="153"/>
        <v>0</v>
      </c>
      <c r="AA384" s="477">
        <f t="shared" si="153"/>
        <v>1387.928772</v>
      </c>
      <c r="AB384" s="376">
        <f t="shared" si="153"/>
        <v>0</v>
      </c>
      <c r="AC384" s="376">
        <f t="shared" si="153"/>
        <v>0</v>
      </c>
      <c r="AH384" s="365"/>
    </row>
    <row r="385" s="366" customFormat="1" spans="1:53">
      <c r="A385" s="400"/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400"/>
      <c r="AB385" s="400"/>
      <c r="AC385" s="400"/>
      <c r="AD385" s="400"/>
      <c r="AE385" s="400"/>
      <c r="AF385" s="400"/>
      <c r="AG385" s="400"/>
      <c r="AH385" s="439"/>
      <c r="AI385" s="400"/>
      <c r="AJ385" s="400"/>
      <c r="AK385" s="400"/>
      <c r="AL385" s="400"/>
      <c r="AM385" s="400"/>
      <c r="AN385" s="400"/>
      <c r="AO385" s="400"/>
      <c r="AP385" s="400"/>
      <c r="AQ385" s="400"/>
      <c r="AR385" s="400"/>
      <c r="AS385" s="400"/>
      <c r="AT385" s="400"/>
      <c r="AU385" s="400"/>
      <c r="AV385" s="400"/>
      <c r="AW385" s="400"/>
      <c r="AX385" s="400"/>
      <c r="AY385" s="400"/>
      <c r="AZ385" s="400"/>
      <c r="BA385" s="400"/>
    </row>
    <row r="386" s="366" customFormat="1" spans="1:53">
      <c r="A386" s="400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00"/>
      <c r="O386" s="400"/>
      <c r="P386" s="400"/>
      <c r="Q386" s="400"/>
      <c r="R386" s="400"/>
      <c r="S386" s="400"/>
      <c r="T386" s="400"/>
      <c r="U386" s="400"/>
      <c r="V386" s="400"/>
      <c r="W386" s="400"/>
      <c r="X386" s="400"/>
      <c r="Y386" s="400"/>
      <c r="Z386" s="400"/>
      <c r="AA386" s="400"/>
      <c r="AB386" s="400"/>
      <c r="AC386" s="400"/>
      <c r="AD386" s="400"/>
      <c r="AE386" s="400"/>
      <c r="AF386" s="400"/>
      <c r="AG386" s="400"/>
      <c r="AH386" s="439"/>
      <c r="AI386" s="400"/>
      <c r="AJ386" s="400"/>
      <c r="AK386" s="400"/>
      <c r="AL386" s="400"/>
      <c r="AM386" s="400"/>
      <c r="AN386" s="400"/>
      <c r="AO386" s="400"/>
      <c r="AP386" s="400"/>
      <c r="AQ386" s="400"/>
      <c r="AR386" s="400"/>
      <c r="AS386" s="400"/>
      <c r="AT386" s="400"/>
      <c r="AU386" s="400"/>
      <c r="AV386" s="400"/>
      <c r="AW386" s="400"/>
      <c r="AX386" s="400"/>
      <c r="AY386" s="400"/>
      <c r="AZ386" s="400"/>
      <c r="BA386" s="400"/>
    </row>
    <row r="387" s="366" customFormat="1" spans="1:53">
      <c r="A387" s="480" t="s">
        <v>51</v>
      </c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00"/>
      <c r="P387" s="400"/>
      <c r="Q387" s="400"/>
      <c r="R387" s="400"/>
      <c r="S387" s="400"/>
      <c r="T387" s="400"/>
      <c r="U387" s="400"/>
      <c r="V387" s="400"/>
      <c r="W387" s="400"/>
      <c r="X387" s="400"/>
      <c r="Y387" s="400"/>
      <c r="Z387" s="400"/>
      <c r="AA387" s="400"/>
      <c r="AB387" s="400"/>
      <c r="AC387" s="400"/>
      <c r="AD387" s="400"/>
      <c r="AE387" s="400"/>
      <c r="AF387" s="400"/>
      <c r="AG387" s="400"/>
      <c r="AH387" s="439"/>
      <c r="AI387" s="400"/>
      <c r="AJ387" s="400"/>
      <c r="AK387" s="400"/>
      <c r="AL387" s="400"/>
      <c r="AM387" s="400"/>
      <c r="AN387" s="400"/>
      <c r="AO387" s="400"/>
      <c r="AP387" s="400"/>
      <c r="AQ387" s="400"/>
      <c r="AR387" s="400"/>
      <c r="AS387" s="400"/>
      <c r="AT387" s="400"/>
      <c r="AU387" s="400"/>
      <c r="AV387" s="400"/>
      <c r="AW387" s="400"/>
      <c r="AX387" s="400"/>
      <c r="AY387" s="400"/>
      <c r="AZ387" s="400"/>
      <c r="BA387" s="400"/>
    </row>
    <row r="388" s="366" customFormat="1" spans="1:53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00"/>
      <c r="P388" s="400"/>
      <c r="Q388" s="400"/>
      <c r="R388" s="400"/>
      <c r="S388" s="400"/>
      <c r="T388" s="400"/>
      <c r="U388" s="400"/>
      <c r="V388" s="400"/>
      <c r="W388" s="400"/>
      <c r="X388" s="400"/>
      <c r="Y388" s="400"/>
      <c r="Z388" s="400"/>
      <c r="AA388" s="400"/>
      <c r="AB388" s="400"/>
      <c r="AC388" s="400"/>
      <c r="AD388" s="400"/>
      <c r="AE388" s="400"/>
      <c r="AF388" s="400"/>
      <c r="AG388" s="400"/>
      <c r="AH388" s="439"/>
      <c r="AI388" s="400"/>
      <c r="AJ388" s="400"/>
      <c r="AK388" s="400"/>
      <c r="AL388" s="400"/>
      <c r="AM388" s="400"/>
      <c r="AN388" s="400"/>
      <c r="AO388" s="400"/>
      <c r="AP388" s="400"/>
      <c r="AQ388" s="400"/>
      <c r="AR388" s="400"/>
      <c r="AS388" s="400"/>
      <c r="AT388" s="400"/>
      <c r="AU388" s="400"/>
      <c r="AV388" s="400"/>
      <c r="AW388" s="400"/>
      <c r="AX388" s="400"/>
      <c r="AY388" s="400"/>
      <c r="AZ388" s="400"/>
      <c r="BA388" s="400"/>
    </row>
    <row r="389" s="366" customFormat="1" spans="1:53">
      <c r="A389" s="400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  <c r="AA389" s="400"/>
      <c r="AB389" s="400"/>
      <c r="AC389" s="400"/>
      <c r="AD389" s="400"/>
      <c r="AE389" s="400"/>
      <c r="AF389" s="400"/>
      <c r="AG389" s="400"/>
      <c r="AH389" s="439"/>
      <c r="AI389" s="400"/>
      <c r="AJ389" s="400"/>
      <c r="AK389" s="400"/>
      <c r="AL389" s="400"/>
      <c r="AM389" s="400"/>
      <c r="AN389" s="400"/>
      <c r="AO389" s="400"/>
      <c r="AP389" s="400"/>
      <c r="AQ389" s="400"/>
      <c r="AR389" s="400"/>
      <c r="AS389" s="400"/>
      <c r="AT389" s="400"/>
      <c r="AU389" s="400"/>
      <c r="AV389" s="400"/>
      <c r="AW389" s="400"/>
      <c r="AX389" s="400"/>
      <c r="AY389" s="400"/>
      <c r="AZ389" s="400"/>
      <c r="BA389" s="400"/>
    </row>
    <row r="390" s="366" customFormat="1" spans="1:53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400"/>
      <c r="AA390" s="400"/>
      <c r="AB390" s="400"/>
      <c r="AC390" s="400"/>
      <c r="AD390" s="400"/>
      <c r="AE390" s="400"/>
      <c r="AF390" s="400"/>
      <c r="AG390" s="400"/>
      <c r="AH390" s="439"/>
      <c r="AI390" s="400"/>
      <c r="AJ390" s="400"/>
      <c r="AK390" s="400"/>
      <c r="AL390" s="400"/>
      <c r="AM390" s="400"/>
      <c r="AN390" s="400"/>
      <c r="AO390" s="400"/>
      <c r="AP390" s="400"/>
      <c r="AQ390" s="400"/>
      <c r="AR390" s="400"/>
      <c r="AS390" s="400"/>
      <c r="AT390" s="400"/>
      <c r="AU390" s="400"/>
      <c r="AV390" s="400"/>
      <c r="AW390" s="400"/>
      <c r="AX390" s="400"/>
      <c r="AY390" s="400"/>
      <c r="AZ390" s="400"/>
      <c r="BA390" s="400"/>
    </row>
    <row r="391" s="366" customFormat="1" spans="1:53">
      <c r="A391" s="400"/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400"/>
      <c r="AB391" s="400"/>
      <c r="AC391" s="400"/>
      <c r="AD391" s="400"/>
      <c r="AE391" s="400"/>
      <c r="AF391" s="400"/>
      <c r="AG391" s="400"/>
      <c r="AH391" s="439"/>
      <c r="AI391" s="400"/>
      <c r="AJ391" s="400"/>
      <c r="AK391" s="400"/>
      <c r="AL391" s="400"/>
      <c r="AM391" s="400"/>
      <c r="AN391" s="400"/>
      <c r="AO391" s="400"/>
      <c r="AP391" s="400"/>
      <c r="AQ391" s="400"/>
      <c r="AR391" s="400"/>
      <c r="AS391" s="400"/>
      <c r="AT391" s="400"/>
      <c r="AU391" s="400"/>
      <c r="AV391" s="400"/>
      <c r="AW391" s="400"/>
      <c r="AX391" s="400"/>
      <c r="AY391" s="400"/>
      <c r="AZ391" s="400"/>
      <c r="BA391" s="400"/>
    </row>
    <row r="392" s="366" customFormat="1" spans="1:53">
      <c r="A392" s="400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00"/>
      <c r="P392" s="400"/>
      <c r="Q392" s="400"/>
      <c r="R392" s="400"/>
      <c r="S392" s="400"/>
      <c r="T392" s="400"/>
      <c r="U392" s="400"/>
      <c r="V392" s="400"/>
      <c r="W392" s="400"/>
      <c r="X392" s="400"/>
      <c r="Y392" s="400"/>
      <c r="Z392" s="400"/>
      <c r="AA392" s="400"/>
      <c r="AB392" s="400"/>
      <c r="AC392" s="400"/>
      <c r="AD392" s="400"/>
      <c r="AE392" s="400"/>
      <c r="AF392" s="400"/>
      <c r="AG392" s="400"/>
      <c r="AH392" s="439"/>
      <c r="AI392" s="400"/>
      <c r="AJ392" s="400"/>
      <c r="AK392" s="400"/>
      <c r="AL392" s="400"/>
      <c r="AM392" s="400"/>
      <c r="AN392" s="400"/>
      <c r="AO392" s="400"/>
      <c r="AP392" s="400"/>
      <c r="AQ392" s="400"/>
      <c r="AR392" s="400"/>
      <c r="AS392" s="400"/>
      <c r="AT392" s="400"/>
      <c r="AU392" s="400"/>
      <c r="AV392" s="400"/>
      <c r="AW392" s="400"/>
      <c r="AX392" s="400"/>
      <c r="AY392" s="400"/>
      <c r="AZ392" s="400"/>
      <c r="BA392" s="400"/>
    </row>
    <row r="393" s="366" customFormat="1" spans="1:53">
      <c r="A393" s="400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00"/>
      <c r="P393" s="400"/>
      <c r="Q393" s="400"/>
      <c r="R393" s="400"/>
      <c r="S393" s="400"/>
      <c r="T393" s="400"/>
      <c r="U393" s="400"/>
      <c r="V393" s="400"/>
      <c r="W393" s="400"/>
      <c r="X393" s="400"/>
      <c r="Y393" s="400"/>
      <c r="Z393" s="400"/>
      <c r="AA393" s="400"/>
      <c r="AB393" s="400"/>
      <c r="AC393" s="400"/>
      <c r="AD393" s="400"/>
      <c r="AE393" s="400"/>
      <c r="AF393" s="400"/>
      <c r="AG393" s="400"/>
      <c r="AH393" s="439"/>
      <c r="AI393" s="400"/>
      <c r="AJ393" s="400"/>
      <c r="AK393" s="400"/>
      <c r="AL393" s="400"/>
      <c r="AM393" s="400"/>
      <c r="AN393" s="400"/>
      <c r="AO393" s="400"/>
      <c r="AP393" s="400"/>
      <c r="AQ393" s="400"/>
      <c r="AR393" s="400"/>
      <c r="AS393" s="400"/>
      <c r="AT393" s="400"/>
      <c r="AU393" s="400"/>
      <c r="AV393" s="400"/>
      <c r="AW393" s="400"/>
      <c r="AX393" s="400"/>
      <c r="AY393" s="400"/>
      <c r="AZ393" s="400"/>
      <c r="BA393" s="400"/>
    </row>
    <row r="394" s="366" customFormat="1" spans="1:53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  <c r="AA394" s="400"/>
      <c r="AB394" s="400"/>
      <c r="AC394" s="400"/>
      <c r="AD394" s="400"/>
      <c r="AE394" s="400"/>
      <c r="AF394" s="400"/>
      <c r="AG394" s="400"/>
      <c r="AH394" s="439"/>
      <c r="AI394" s="400"/>
      <c r="AJ394" s="400"/>
      <c r="AK394" s="400"/>
      <c r="AL394" s="400"/>
      <c r="AM394" s="400"/>
      <c r="AN394" s="400"/>
      <c r="AO394" s="400"/>
      <c r="AP394" s="400"/>
      <c r="AQ394" s="400"/>
      <c r="AR394" s="400"/>
      <c r="AS394" s="400"/>
      <c r="AT394" s="400"/>
      <c r="AU394" s="400"/>
      <c r="AV394" s="400"/>
      <c r="AW394" s="400"/>
      <c r="AX394" s="400"/>
      <c r="AY394" s="400"/>
      <c r="AZ394" s="400"/>
      <c r="BA394" s="400"/>
    </row>
    <row r="395" s="366" customFormat="1" spans="1:53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400"/>
      <c r="AA395" s="400"/>
      <c r="AB395" s="400"/>
      <c r="AC395" s="400"/>
      <c r="AD395" s="400"/>
      <c r="AE395" s="400"/>
      <c r="AF395" s="400"/>
      <c r="AG395" s="400"/>
      <c r="AH395" s="439"/>
      <c r="AI395" s="400"/>
      <c r="AJ395" s="400"/>
      <c r="AK395" s="400"/>
      <c r="AL395" s="400"/>
      <c r="AM395" s="400"/>
      <c r="AN395" s="400"/>
      <c r="AO395" s="400"/>
      <c r="AP395" s="400"/>
      <c r="AQ395" s="400"/>
      <c r="AR395" s="400"/>
      <c r="AS395" s="400"/>
      <c r="AT395" s="400"/>
      <c r="AU395" s="400"/>
      <c r="AV395" s="400"/>
      <c r="AW395" s="400"/>
      <c r="AX395" s="400"/>
      <c r="AY395" s="400"/>
      <c r="AZ395" s="400"/>
      <c r="BA395" s="400"/>
    </row>
    <row r="396" s="366" customFormat="1" spans="1:53">
      <c r="A396" s="400"/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400"/>
      <c r="AB396" s="400"/>
      <c r="AC396" s="400"/>
      <c r="AD396" s="400"/>
      <c r="AE396" s="400"/>
      <c r="AF396" s="400"/>
      <c r="AG396" s="400"/>
      <c r="AH396" s="439"/>
      <c r="AI396" s="400"/>
      <c r="AJ396" s="400"/>
      <c r="AK396" s="400"/>
      <c r="AL396" s="400"/>
      <c r="AM396" s="400"/>
      <c r="AN396" s="400"/>
      <c r="AO396" s="400"/>
      <c r="AP396" s="400"/>
      <c r="AQ396" s="400"/>
      <c r="AR396" s="400"/>
      <c r="AS396" s="400"/>
      <c r="AT396" s="400"/>
      <c r="AU396" s="400"/>
      <c r="AV396" s="400"/>
      <c r="AW396" s="400"/>
      <c r="AX396" s="400"/>
      <c r="AY396" s="400"/>
      <c r="AZ396" s="400"/>
      <c r="BA396" s="400"/>
    </row>
    <row r="397" s="366" customFormat="1" spans="1:53">
      <c r="A397" s="400"/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400"/>
      <c r="AB397" s="400"/>
      <c r="AC397" s="400"/>
      <c r="AD397" s="400"/>
      <c r="AE397" s="400"/>
      <c r="AF397" s="400"/>
      <c r="AG397" s="400"/>
      <c r="AH397" s="439"/>
      <c r="AI397" s="400"/>
      <c r="AJ397" s="400"/>
      <c r="AK397" s="400"/>
      <c r="AL397" s="400"/>
      <c r="AM397" s="400"/>
      <c r="AN397" s="400"/>
      <c r="AO397" s="400"/>
      <c r="AP397" s="400"/>
      <c r="AQ397" s="400"/>
      <c r="AR397" s="400"/>
      <c r="AS397" s="400"/>
      <c r="AT397" s="400"/>
      <c r="AU397" s="400"/>
      <c r="AV397" s="400"/>
      <c r="AW397" s="400"/>
      <c r="AX397" s="400"/>
      <c r="AY397" s="400"/>
      <c r="AZ397" s="400"/>
      <c r="BA397" s="400"/>
    </row>
    <row r="398" s="366" customFormat="1" spans="1:53">
      <c r="A398" s="400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00"/>
      <c r="P398" s="400"/>
      <c r="Q398" s="400"/>
      <c r="R398" s="400"/>
      <c r="S398" s="400"/>
      <c r="T398" s="400"/>
      <c r="U398" s="400"/>
      <c r="V398" s="400"/>
      <c r="W398" s="400"/>
      <c r="X398" s="400"/>
      <c r="Y398" s="400"/>
      <c r="Z398" s="400"/>
      <c r="AA398" s="400"/>
      <c r="AB398" s="400"/>
      <c r="AC398" s="400"/>
      <c r="AD398" s="400"/>
      <c r="AE398" s="400"/>
      <c r="AF398" s="400"/>
      <c r="AG398" s="400"/>
      <c r="AH398" s="439"/>
      <c r="AI398" s="400"/>
      <c r="AJ398" s="400"/>
      <c r="AK398" s="400"/>
      <c r="AL398" s="400"/>
      <c r="AM398" s="400"/>
      <c r="AN398" s="400"/>
      <c r="AO398" s="400"/>
      <c r="AP398" s="400"/>
      <c r="AQ398" s="400"/>
      <c r="AR398" s="400"/>
      <c r="AS398" s="400"/>
      <c r="AT398" s="400"/>
      <c r="AU398" s="400"/>
      <c r="AV398" s="400"/>
      <c r="AW398" s="400"/>
      <c r="AX398" s="400"/>
      <c r="AY398" s="400"/>
      <c r="AZ398" s="400"/>
      <c r="BA398" s="400"/>
    </row>
    <row r="399" s="366" customFormat="1" spans="1:53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0"/>
      <c r="P399" s="400"/>
      <c r="Q399" s="400"/>
      <c r="R399" s="400"/>
      <c r="S399" s="400"/>
      <c r="T399" s="400"/>
      <c r="U399" s="400"/>
      <c r="V399" s="400"/>
      <c r="W399" s="400"/>
      <c r="X399" s="400"/>
      <c r="Y399" s="400"/>
      <c r="Z399" s="400"/>
      <c r="AA399" s="400"/>
      <c r="AB399" s="400"/>
      <c r="AC399" s="400"/>
      <c r="AD399" s="400"/>
      <c r="AE399" s="400"/>
      <c r="AF399" s="400"/>
      <c r="AG399" s="400"/>
      <c r="AH399" s="439"/>
      <c r="AI399" s="400"/>
      <c r="AJ399" s="400"/>
      <c r="AK399" s="400"/>
      <c r="AL399" s="400"/>
      <c r="AM399" s="400"/>
      <c r="AN399" s="400"/>
      <c r="AO399" s="400"/>
      <c r="AP399" s="400"/>
      <c r="AQ399" s="400"/>
      <c r="AR399" s="400"/>
      <c r="AS399" s="400"/>
      <c r="AT399" s="400"/>
      <c r="AU399" s="400"/>
      <c r="AV399" s="400"/>
      <c r="AW399" s="400"/>
      <c r="AX399" s="400"/>
      <c r="AY399" s="400"/>
      <c r="AZ399" s="400"/>
      <c r="BA399" s="400"/>
    </row>
    <row r="400" s="366" customFormat="1" spans="1:53">
      <c r="A400" s="400"/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400"/>
      <c r="AB400" s="400"/>
      <c r="AC400" s="400"/>
      <c r="AD400" s="400"/>
      <c r="AE400" s="400"/>
      <c r="AF400" s="400"/>
      <c r="AG400" s="400"/>
      <c r="AH400" s="439"/>
      <c r="AI400" s="400"/>
      <c r="AJ400" s="400"/>
      <c r="AK400" s="400"/>
      <c r="AL400" s="400"/>
      <c r="AM400" s="400"/>
      <c r="AN400" s="400"/>
      <c r="AO400" s="400"/>
      <c r="AP400" s="400"/>
      <c r="AQ400" s="400"/>
      <c r="AR400" s="400"/>
      <c r="AS400" s="400"/>
      <c r="AT400" s="400"/>
      <c r="AU400" s="400"/>
      <c r="AV400" s="400"/>
      <c r="AW400" s="400"/>
      <c r="AX400" s="400"/>
      <c r="AY400" s="400"/>
      <c r="AZ400" s="400"/>
      <c r="BA400" s="400"/>
    </row>
    <row r="401" s="366" customFormat="1" spans="1:53">
      <c r="A401" s="400"/>
      <c r="B401" s="400"/>
      <c r="C401" s="400"/>
      <c r="D401" s="400"/>
      <c r="E401" s="400"/>
      <c r="F401" s="400"/>
      <c r="G401" s="400"/>
      <c r="H401" s="400"/>
      <c r="I401" s="400"/>
      <c r="J401" s="400"/>
      <c r="K401" s="400"/>
      <c r="L401" s="400"/>
      <c r="M401" s="400"/>
      <c r="N401" s="400"/>
      <c r="O401" s="400"/>
      <c r="P401" s="400"/>
      <c r="Q401" s="400"/>
      <c r="R401" s="400"/>
      <c r="S401" s="400"/>
      <c r="T401" s="400"/>
      <c r="U401" s="400"/>
      <c r="V401" s="400"/>
      <c r="W401" s="400"/>
      <c r="X401" s="400"/>
      <c r="Y401" s="400"/>
      <c r="Z401" s="400"/>
      <c r="AA401" s="400"/>
      <c r="AB401" s="400"/>
      <c r="AC401" s="400"/>
      <c r="AD401" s="400"/>
      <c r="AE401" s="400"/>
      <c r="AF401" s="400"/>
      <c r="AG401" s="400"/>
      <c r="AH401" s="439"/>
      <c r="AI401" s="400"/>
      <c r="AJ401" s="400"/>
      <c r="AK401" s="400"/>
      <c r="AL401" s="400"/>
      <c r="AM401" s="400"/>
      <c r="AN401" s="400"/>
      <c r="AO401" s="400"/>
      <c r="AP401" s="400"/>
      <c r="AQ401" s="400"/>
      <c r="AR401" s="400"/>
      <c r="AS401" s="400"/>
      <c r="AT401" s="400"/>
      <c r="AU401" s="400"/>
      <c r="AV401" s="400"/>
      <c r="AW401" s="400"/>
      <c r="AX401" s="400"/>
      <c r="AY401" s="400"/>
      <c r="AZ401" s="400"/>
      <c r="BA401" s="400"/>
    </row>
    <row r="402" s="366" customFormat="1" spans="1:53">
      <c r="A402" s="400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0"/>
      <c r="P402" s="400"/>
      <c r="Q402" s="400"/>
      <c r="R402" s="400"/>
      <c r="S402" s="400"/>
      <c r="T402" s="400"/>
      <c r="U402" s="400"/>
      <c r="V402" s="400"/>
      <c r="W402" s="400"/>
      <c r="X402" s="400"/>
      <c r="Y402" s="400"/>
      <c r="Z402" s="400"/>
      <c r="AA402" s="400"/>
      <c r="AB402" s="400"/>
      <c r="AC402" s="400"/>
      <c r="AD402" s="400"/>
      <c r="AE402" s="400"/>
      <c r="AF402" s="400"/>
      <c r="AG402" s="400"/>
      <c r="AH402" s="439"/>
      <c r="AI402" s="400"/>
      <c r="AJ402" s="400"/>
      <c r="AK402" s="400"/>
      <c r="AL402" s="400"/>
      <c r="AM402" s="400"/>
      <c r="AN402" s="400"/>
      <c r="AO402" s="400"/>
      <c r="AP402" s="400"/>
      <c r="AQ402" s="400"/>
      <c r="AR402" s="400"/>
      <c r="AS402" s="400"/>
      <c r="AT402" s="400"/>
      <c r="AU402" s="400"/>
      <c r="AV402" s="400"/>
      <c r="AW402" s="400"/>
      <c r="AX402" s="400"/>
      <c r="AY402" s="400"/>
      <c r="AZ402" s="400"/>
      <c r="BA402" s="400"/>
    </row>
    <row r="403" s="366" customFormat="1" spans="1:53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0"/>
      <c r="P403" s="400"/>
      <c r="Q403" s="400"/>
      <c r="R403" s="400"/>
      <c r="S403" s="400"/>
      <c r="T403" s="400"/>
      <c r="U403" s="400"/>
      <c r="V403" s="400"/>
      <c r="W403" s="400"/>
      <c r="X403" s="400"/>
      <c r="Y403" s="400"/>
      <c r="Z403" s="400"/>
      <c r="AA403" s="400"/>
      <c r="AB403" s="400"/>
      <c r="AC403" s="400"/>
      <c r="AD403" s="400"/>
      <c r="AE403" s="400"/>
      <c r="AF403" s="400"/>
      <c r="AG403" s="400"/>
      <c r="AH403" s="439"/>
      <c r="AI403" s="400"/>
      <c r="AJ403" s="400"/>
      <c r="AK403" s="400"/>
      <c r="AL403" s="400"/>
      <c r="AM403" s="400"/>
      <c r="AN403" s="400"/>
      <c r="AO403" s="400"/>
      <c r="AP403" s="400"/>
      <c r="AQ403" s="400"/>
      <c r="AR403" s="400"/>
      <c r="AS403" s="400"/>
      <c r="AT403" s="400"/>
      <c r="AU403" s="400"/>
      <c r="AV403" s="400"/>
      <c r="AW403" s="400"/>
      <c r="AX403" s="400"/>
      <c r="AY403" s="400"/>
      <c r="AZ403" s="400"/>
      <c r="BA403" s="400"/>
    </row>
    <row r="404" s="366" customFormat="1" spans="1:53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400"/>
      <c r="AB404" s="400"/>
      <c r="AC404" s="400"/>
      <c r="AD404" s="400"/>
      <c r="AE404" s="400"/>
      <c r="AF404" s="400"/>
      <c r="AG404" s="400"/>
      <c r="AH404" s="439"/>
      <c r="AI404" s="400"/>
      <c r="AJ404" s="400"/>
      <c r="AK404" s="400"/>
      <c r="AL404" s="400"/>
      <c r="AM404" s="400"/>
      <c r="AN404" s="400"/>
      <c r="AO404" s="400"/>
      <c r="AP404" s="400"/>
      <c r="AQ404" s="400"/>
      <c r="AR404" s="400"/>
      <c r="AS404" s="400"/>
      <c r="AT404" s="400"/>
      <c r="AU404" s="400"/>
      <c r="AV404" s="400"/>
      <c r="AW404" s="400"/>
      <c r="AX404" s="400"/>
      <c r="AY404" s="400"/>
      <c r="AZ404" s="400"/>
      <c r="BA404" s="400"/>
    </row>
    <row r="405" s="366" customFormat="1" spans="1:53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400"/>
      <c r="AB405" s="400"/>
      <c r="AC405" s="400"/>
      <c r="AD405" s="400"/>
      <c r="AE405" s="400"/>
      <c r="AF405" s="400"/>
      <c r="AG405" s="400"/>
      <c r="AH405" s="439"/>
      <c r="AI405" s="400"/>
      <c r="AJ405" s="400"/>
      <c r="AK405" s="400"/>
      <c r="AL405" s="400"/>
      <c r="AM405" s="400"/>
      <c r="AN405" s="400"/>
      <c r="AO405" s="400"/>
      <c r="AP405" s="400"/>
      <c r="AQ405" s="400"/>
      <c r="AR405" s="400"/>
      <c r="AS405" s="400"/>
      <c r="AT405" s="400"/>
      <c r="AU405" s="400"/>
      <c r="AV405" s="400"/>
      <c r="AW405" s="400"/>
      <c r="AX405" s="400"/>
      <c r="AY405" s="400"/>
      <c r="AZ405" s="400"/>
      <c r="BA405" s="400"/>
    </row>
    <row r="406" s="366" customFormat="1" spans="1:53">
      <c r="A406" s="400"/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  <c r="AA406" s="400"/>
      <c r="AB406" s="400"/>
      <c r="AC406" s="400"/>
      <c r="AD406" s="400"/>
      <c r="AE406" s="400"/>
      <c r="AF406" s="400"/>
      <c r="AG406" s="400"/>
      <c r="AH406" s="439"/>
      <c r="AI406" s="400"/>
      <c r="AJ406" s="400"/>
      <c r="AK406" s="400"/>
      <c r="AL406" s="400"/>
      <c r="AM406" s="400"/>
      <c r="AN406" s="400"/>
      <c r="AO406" s="400"/>
      <c r="AP406" s="400"/>
      <c r="AQ406" s="400"/>
      <c r="AR406" s="400"/>
      <c r="AS406" s="400"/>
      <c r="AT406" s="400"/>
      <c r="AU406" s="400"/>
      <c r="AV406" s="400"/>
      <c r="AW406" s="400"/>
      <c r="AX406" s="400"/>
      <c r="AY406" s="400"/>
      <c r="AZ406" s="400"/>
      <c r="BA406" s="400"/>
    </row>
    <row r="407" s="366" customFormat="1" spans="1:53">
      <c r="A407" s="400"/>
      <c r="B407" s="400"/>
      <c r="C407" s="400"/>
      <c r="D407" s="400"/>
      <c r="E407" s="400"/>
      <c r="F407" s="400"/>
      <c r="G407" s="400"/>
      <c r="H407" s="400"/>
      <c r="I407" s="400"/>
      <c r="J407" s="400"/>
      <c r="K407" s="400"/>
      <c r="L407" s="400"/>
      <c r="M407" s="400"/>
      <c r="N407" s="400"/>
      <c r="O407" s="400"/>
      <c r="P407" s="400"/>
      <c r="Q407" s="400"/>
      <c r="R407" s="400"/>
      <c r="S407" s="400"/>
      <c r="T407" s="400"/>
      <c r="U407" s="400"/>
      <c r="V407" s="400"/>
      <c r="W407" s="400"/>
      <c r="X407" s="400"/>
      <c r="Y407" s="400"/>
      <c r="Z407" s="400"/>
      <c r="AA407" s="400"/>
      <c r="AB407" s="400"/>
      <c r="AC407" s="400"/>
      <c r="AD407" s="400"/>
      <c r="AE407" s="400"/>
      <c r="AF407" s="400"/>
      <c r="AG407" s="400"/>
      <c r="AH407" s="439"/>
      <c r="AI407" s="400"/>
      <c r="AJ407" s="400"/>
      <c r="AK407" s="400"/>
      <c r="AL407" s="400"/>
      <c r="AM407" s="400"/>
      <c r="AN407" s="400"/>
      <c r="AO407" s="400"/>
      <c r="AP407" s="400"/>
      <c r="AQ407" s="400"/>
      <c r="AR407" s="400"/>
      <c r="AS407" s="400"/>
      <c r="AT407" s="400"/>
      <c r="AU407" s="400"/>
      <c r="AV407" s="400"/>
      <c r="AW407" s="400"/>
      <c r="AX407" s="400"/>
      <c r="AY407" s="400"/>
      <c r="AZ407" s="400"/>
      <c r="BA407" s="400"/>
    </row>
    <row r="408" s="366" customFormat="1" spans="1:53">
      <c r="A408" s="400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0"/>
      <c r="P408" s="400"/>
      <c r="Q408" s="400"/>
      <c r="R408" s="400"/>
      <c r="S408" s="400"/>
      <c r="T408" s="400"/>
      <c r="U408" s="400"/>
      <c r="V408" s="400"/>
      <c r="W408" s="400"/>
      <c r="X408" s="400"/>
      <c r="Y408" s="400"/>
      <c r="Z408" s="400"/>
      <c r="AA408" s="400"/>
      <c r="AB408" s="400"/>
      <c r="AC408" s="400"/>
      <c r="AD408" s="400"/>
      <c r="AE408" s="400"/>
      <c r="AF408" s="400"/>
      <c r="AG408" s="400"/>
      <c r="AH408" s="439"/>
      <c r="AI408" s="400"/>
      <c r="AJ408" s="400"/>
      <c r="AK408" s="400"/>
      <c r="AL408" s="400"/>
      <c r="AM408" s="400"/>
      <c r="AN408" s="400"/>
      <c r="AO408" s="400"/>
      <c r="AP408" s="400"/>
      <c r="AQ408" s="400"/>
      <c r="AR408" s="400"/>
      <c r="AS408" s="400"/>
      <c r="AT408" s="400"/>
      <c r="AU408" s="400"/>
      <c r="AV408" s="400"/>
      <c r="AW408" s="400"/>
      <c r="AX408" s="400"/>
      <c r="AY408" s="400"/>
      <c r="AZ408" s="400"/>
      <c r="BA408" s="400"/>
    </row>
    <row r="409" s="366" customFormat="1" spans="1:53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0"/>
      <c r="P409" s="400"/>
      <c r="Q409" s="400"/>
      <c r="R409" s="400"/>
      <c r="S409" s="400"/>
      <c r="T409" s="400"/>
      <c r="U409" s="400"/>
      <c r="V409" s="400"/>
      <c r="W409" s="400"/>
      <c r="X409" s="400"/>
      <c r="Y409" s="400"/>
      <c r="Z409" s="400"/>
      <c r="AA409" s="400"/>
      <c r="AB409" s="400"/>
      <c r="AC409" s="400"/>
      <c r="AD409" s="400"/>
      <c r="AE409" s="400"/>
      <c r="AF409" s="400"/>
      <c r="AG409" s="400"/>
      <c r="AH409" s="439"/>
      <c r="AI409" s="400"/>
      <c r="AJ409" s="400"/>
      <c r="AK409" s="400"/>
      <c r="AL409" s="400"/>
      <c r="AM409" s="400"/>
      <c r="AN409" s="400"/>
      <c r="AO409" s="400"/>
      <c r="AP409" s="400"/>
      <c r="AQ409" s="400"/>
      <c r="AR409" s="400"/>
      <c r="AS409" s="400"/>
      <c r="AT409" s="400"/>
      <c r="AU409" s="400"/>
      <c r="AV409" s="400"/>
      <c r="AW409" s="400"/>
      <c r="AX409" s="400"/>
      <c r="AY409" s="400"/>
      <c r="AZ409" s="400"/>
      <c r="BA409" s="400"/>
    </row>
    <row r="410" s="366" customFormat="1" spans="1:53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400"/>
      <c r="AB410" s="400"/>
      <c r="AC410" s="400"/>
      <c r="AD410" s="400"/>
      <c r="AE410" s="400"/>
      <c r="AF410" s="400"/>
      <c r="AG410" s="400"/>
      <c r="AH410" s="439"/>
      <c r="AI410" s="400"/>
      <c r="AJ410" s="400"/>
      <c r="AK410" s="400"/>
      <c r="AL410" s="400"/>
      <c r="AM410" s="400"/>
      <c r="AN410" s="400"/>
      <c r="AO410" s="400"/>
      <c r="AP410" s="400"/>
      <c r="AQ410" s="400"/>
      <c r="AR410" s="400"/>
      <c r="AS410" s="400"/>
      <c r="AT410" s="400"/>
      <c r="AU410" s="400"/>
      <c r="AV410" s="400"/>
      <c r="AW410" s="400"/>
      <c r="AX410" s="400"/>
      <c r="AY410" s="400"/>
      <c r="AZ410" s="400"/>
      <c r="BA410" s="400"/>
    </row>
    <row r="411" s="366" customFormat="1" spans="1:53">
      <c r="A411" s="400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400"/>
      <c r="AA411" s="400"/>
      <c r="AB411" s="400"/>
      <c r="AC411" s="400"/>
      <c r="AD411" s="400"/>
      <c r="AE411" s="400"/>
      <c r="AF411" s="400"/>
      <c r="AG411" s="400"/>
      <c r="AH411" s="439"/>
      <c r="AI411" s="400"/>
      <c r="AJ411" s="400"/>
      <c r="AK411" s="400"/>
      <c r="AL411" s="400"/>
      <c r="AM411" s="400"/>
      <c r="AN411" s="400"/>
      <c r="AO411" s="400"/>
      <c r="AP411" s="400"/>
      <c r="AQ411" s="400"/>
      <c r="AR411" s="400"/>
      <c r="AS411" s="400"/>
      <c r="AT411" s="400"/>
      <c r="AU411" s="400"/>
      <c r="AV411" s="400"/>
      <c r="AW411" s="400"/>
      <c r="AX411" s="400"/>
      <c r="AY411" s="400"/>
      <c r="AZ411" s="400"/>
      <c r="BA411" s="400"/>
    </row>
    <row r="412" s="366" customFormat="1" spans="1:53">
      <c r="A412" s="400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00"/>
      <c r="P412" s="400"/>
      <c r="Q412" s="400"/>
      <c r="R412" s="400"/>
      <c r="S412" s="400"/>
      <c r="T412" s="400"/>
      <c r="U412" s="400"/>
      <c r="V412" s="400"/>
      <c r="W412" s="400"/>
      <c r="X412" s="400"/>
      <c r="Y412" s="400"/>
      <c r="Z412" s="400"/>
      <c r="AA412" s="400"/>
      <c r="AB412" s="400"/>
      <c r="AC412" s="400"/>
      <c r="AD412" s="400"/>
      <c r="AE412" s="400"/>
      <c r="AF412" s="400"/>
      <c r="AG412" s="400"/>
      <c r="AH412" s="439"/>
      <c r="AI412" s="400"/>
      <c r="AJ412" s="400"/>
      <c r="AK412" s="400"/>
      <c r="AL412" s="400"/>
      <c r="AM412" s="400"/>
      <c r="AN412" s="400"/>
      <c r="AO412" s="400"/>
      <c r="AP412" s="400"/>
      <c r="AQ412" s="400"/>
      <c r="AR412" s="400"/>
      <c r="AS412" s="400"/>
      <c r="AT412" s="400"/>
      <c r="AU412" s="400"/>
      <c r="AV412" s="400"/>
      <c r="AW412" s="400"/>
      <c r="AX412" s="400"/>
      <c r="AY412" s="400"/>
      <c r="AZ412" s="400"/>
      <c r="BA412" s="400"/>
    </row>
    <row r="413" s="366" customFormat="1" spans="1:53">
      <c r="A413" s="400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  <c r="AA413" s="400"/>
      <c r="AB413" s="400"/>
      <c r="AC413" s="400"/>
      <c r="AD413" s="400"/>
      <c r="AE413" s="400"/>
      <c r="AF413" s="400"/>
      <c r="AG413" s="400"/>
      <c r="AH413" s="439"/>
      <c r="AI413" s="400"/>
      <c r="AJ413" s="400"/>
      <c r="AK413" s="400"/>
      <c r="AL413" s="400"/>
      <c r="AM413" s="400"/>
      <c r="AN413" s="400"/>
      <c r="AO413" s="400"/>
      <c r="AP413" s="400"/>
      <c r="AQ413" s="400"/>
      <c r="AR413" s="400"/>
      <c r="AS413" s="400"/>
      <c r="AT413" s="400"/>
      <c r="AU413" s="400"/>
      <c r="AV413" s="400"/>
      <c r="AW413" s="400"/>
      <c r="AX413" s="400"/>
      <c r="AY413" s="400"/>
      <c r="AZ413" s="400"/>
      <c r="BA413" s="400"/>
    </row>
    <row r="414" s="366" customFormat="1" spans="1:53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0"/>
      <c r="O414" s="400"/>
      <c r="P414" s="400"/>
      <c r="Q414" s="400"/>
      <c r="R414" s="400"/>
      <c r="S414" s="400"/>
      <c r="T414" s="400"/>
      <c r="U414" s="400"/>
      <c r="V414" s="400"/>
      <c r="W414" s="400"/>
      <c r="X414" s="400"/>
      <c r="Y414" s="400"/>
      <c r="Z414" s="400"/>
      <c r="AA414" s="400"/>
      <c r="AB414" s="400"/>
      <c r="AC414" s="400"/>
      <c r="AD414" s="400"/>
      <c r="AE414" s="400"/>
      <c r="AF414" s="400"/>
      <c r="AG414" s="400"/>
      <c r="AH414" s="439"/>
      <c r="AI414" s="400"/>
      <c r="AJ414" s="400"/>
      <c r="AK414" s="400"/>
      <c r="AL414" s="400"/>
      <c r="AM414" s="400"/>
      <c r="AN414" s="400"/>
      <c r="AO414" s="400"/>
      <c r="AP414" s="400"/>
      <c r="AQ414" s="400"/>
      <c r="AR414" s="400"/>
      <c r="AS414" s="400"/>
      <c r="AT414" s="400"/>
      <c r="AU414" s="400"/>
      <c r="AV414" s="400"/>
      <c r="AW414" s="400"/>
      <c r="AX414" s="400"/>
      <c r="AY414" s="400"/>
      <c r="AZ414" s="400"/>
      <c r="BA414" s="400"/>
    </row>
    <row r="415" s="366" customFormat="1" spans="1:53">
      <c r="A415" s="400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400"/>
      <c r="AA415" s="400"/>
      <c r="AB415" s="400"/>
      <c r="AC415" s="400"/>
      <c r="AD415" s="400"/>
      <c r="AE415" s="400"/>
      <c r="AF415" s="400"/>
      <c r="AG415" s="400"/>
      <c r="AH415" s="439"/>
      <c r="AI415" s="400"/>
      <c r="AJ415" s="400"/>
      <c r="AK415" s="400"/>
      <c r="AL415" s="400"/>
      <c r="AM415" s="400"/>
      <c r="AN415" s="400"/>
      <c r="AO415" s="400"/>
      <c r="AP415" s="400"/>
      <c r="AQ415" s="400"/>
      <c r="AR415" s="400"/>
      <c r="AS415" s="400"/>
      <c r="AT415" s="400"/>
      <c r="AU415" s="400"/>
      <c r="AV415" s="400"/>
      <c r="AW415" s="400"/>
      <c r="AX415" s="400"/>
      <c r="AY415" s="400"/>
      <c r="AZ415" s="400"/>
      <c r="BA415" s="400"/>
    </row>
    <row r="416" s="366" customFormat="1" spans="1:53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0"/>
      <c r="P416" s="400"/>
      <c r="Q416" s="400"/>
      <c r="R416" s="400"/>
      <c r="S416" s="400"/>
      <c r="T416" s="400"/>
      <c r="U416" s="400"/>
      <c r="V416" s="400"/>
      <c r="W416" s="400"/>
      <c r="X416" s="400"/>
      <c r="Y416" s="400"/>
      <c r="Z416" s="400"/>
      <c r="AA416" s="400"/>
      <c r="AB416" s="400"/>
      <c r="AC416" s="400"/>
      <c r="AD416" s="400"/>
      <c r="AE416" s="400"/>
      <c r="AF416" s="400"/>
      <c r="AG416" s="400"/>
      <c r="AH416" s="439"/>
      <c r="AI416" s="400"/>
      <c r="AJ416" s="400"/>
      <c r="AK416" s="400"/>
      <c r="AL416" s="400"/>
      <c r="AM416" s="400"/>
      <c r="AN416" s="400"/>
      <c r="AO416" s="400"/>
      <c r="AP416" s="400"/>
      <c r="AQ416" s="400"/>
      <c r="AR416" s="400"/>
      <c r="AS416" s="400"/>
      <c r="AT416" s="400"/>
      <c r="AU416" s="400"/>
      <c r="AV416" s="400"/>
      <c r="AW416" s="400"/>
      <c r="AX416" s="400"/>
      <c r="AY416" s="400"/>
      <c r="AZ416" s="400"/>
      <c r="BA416" s="400"/>
    </row>
    <row r="417" s="366" customFormat="1" spans="1:53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  <c r="AA417" s="400"/>
      <c r="AB417" s="400"/>
      <c r="AC417" s="400"/>
      <c r="AD417" s="400"/>
      <c r="AE417" s="400"/>
      <c r="AF417" s="400"/>
      <c r="AG417" s="400"/>
      <c r="AH417" s="439"/>
      <c r="AI417" s="400"/>
      <c r="AJ417" s="400"/>
      <c r="AK417" s="400"/>
      <c r="AL417" s="400"/>
      <c r="AM417" s="400"/>
      <c r="AN417" s="400"/>
      <c r="AO417" s="400"/>
      <c r="AP417" s="400"/>
      <c r="AQ417" s="400"/>
      <c r="AR417" s="400"/>
      <c r="AS417" s="400"/>
      <c r="AT417" s="400"/>
      <c r="AU417" s="400"/>
      <c r="AV417" s="400"/>
      <c r="AW417" s="400"/>
      <c r="AX417" s="400"/>
      <c r="AY417" s="400"/>
      <c r="AZ417" s="400"/>
      <c r="BA417" s="400"/>
    </row>
    <row r="418" s="366" customFormat="1" spans="1:53">
      <c r="A418" s="400"/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400"/>
      <c r="AB418" s="400"/>
      <c r="AC418" s="400"/>
      <c r="AD418" s="400"/>
      <c r="AE418" s="400"/>
      <c r="AF418" s="400"/>
      <c r="AG418" s="400"/>
      <c r="AH418" s="439"/>
      <c r="AI418" s="400"/>
      <c r="AJ418" s="400"/>
      <c r="AK418" s="400"/>
      <c r="AL418" s="400"/>
      <c r="AM418" s="400"/>
      <c r="AN418" s="400"/>
      <c r="AO418" s="400"/>
      <c r="AP418" s="400"/>
      <c r="AQ418" s="400"/>
      <c r="AR418" s="400"/>
      <c r="AS418" s="400"/>
      <c r="AT418" s="400"/>
      <c r="AU418" s="400"/>
      <c r="AV418" s="400"/>
      <c r="AW418" s="400"/>
      <c r="AX418" s="400"/>
      <c r="AY418" s="400"/>
      <c r="AZ418" s="400"/>
      <c r="BA418" s="400"/>
    </row>
    <row r="419" s="366" customFormat="1" spans="1:53">
      <c r="A419" s="400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0"/>
      <c r="P419" s="400"/>
      <c r="Q419" s="400"/>
      <c r="R419" s="400"/>
      <c r="S419" s="400"/>
      <c r="T419" s="400"/>
      <c r="U419" s="400"/>
      <c r="V419" s="400"/>
      <c r="W419" s="400"/>
      <c r="X419" s="400"/>
      <c r="Y419" s="400"/>
      <c r="Z419" s="400"/>
      <c r="AA419" s="400"/>
      <c r="AB419" s="400"/>
      <c r="AC419" s="400"/>
      <c r="AD419" s="400"/>
      <c r="AE419" s="400"/>
      <c r="AF419" s="400"/>
      <c r="AG419" s="400"/>
      <c r="AH419" s="439"/>
      <c r="AI419" s="400"/>
      <c r="AJ419" s="400"/>
      <c r="AK419" s="400"/>
      <c r="AL419" s="400"/>
      <c r="AM419" s="400"/>
      <c r="AN419" s="400"/>
      <c r="AO419" s="400"/>
      <c r="AP419" s="400"/>
      <c r="AQ419" s="400"/>
      <c r="AR419" s="400"/>
      <c r="AS419" s="400"/>
      <c r="AT419" s="400"/>
      <c r="AU419" s="400"/>
      <c r="AV419" s="400"/>
      <c r="AW419" s="400"/>
      <c r="AX419" s="400"/>
      <c r="AY419" s="400"/>
      <c r="AZ419" s="400"/>
      <c r="BA419" s="400"/>
    </row>
    <row r="420" s="366" customFormat="1" spans="1:53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0"/>
      <c r="P420" s="400"/>
      <c r="Q420" s="400"/>
      <c r="R420" s="400"/>
      <c r="S420" s="400"/>
      <c r="T420" s="400"/>
      <c r="U420" s="400"/>
      <c r="V420" s="400"/>
      <c r="W420" s="400"/>
      <c r="X420" s="400"/>
      <c r="Y420" s="400"/>
      <c r="Z420" s="400"/>
      <c r="AA420" s="400"/>
      <c r="AB420" s="400"/>
      <c r="AC420" s="400"/>
      <c r="AD420" s="400"/>
      <c r="AE420" s="400"/>
      <c r="AF420" s="400"/>
      <c r="AG420" s="400"/>
      <c r="AH420" s="439"/>
      <c r="AI420" s="400"/>
      <c r="AJ420" s="400"/>
      <c r="AK420" s="400"/>
      <c r="AL420" s="400"/>
      <c r="AM420" s="400"/>
      <c r="AN420" s="400"/>
      <c r="AO420" s="400"/>
      <c r="AP420" s="400"/>
      <c r="AQ420" s="400"/>
      <c r="AR420" s="400"/>
      <c r="AS420" s="400"/>
      <c r="AT420" s="400"/>
      <c r="AU420" s="400"/>
      <c r="AV420" s="400"/>
      <c r="AW420" s="400"/>
      <c r="AX420" s="400"/>
      <c r="AY420" s="400"/>
      <c r="AZ420" s="400"/>
      <c r="BA420" s="400"/>
    </row>
    <row r="421" s="366" customFormat="1" spans="1:53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400"/>
      <c r="AA421" s="400"/>
      <c r="AB421" s="400"/>
      <c r="AC421" s="400"/>
      <c r="AD421" s="400"/>
      <c r="AE421" s="400"/>
      <c r="AF421" s="400"/>
      <c r="AG421" s="400"/>
      <c r="AH421" s="439"/>
      <c r="AI421" s="400"/>
      <c r="AJ421" s="400"/>
      <c r="AK421" s="400"/>
      <c r="AL421" s="400"/>
      <c r="AM421" s="400"/>
      <c r="AN421" s="400"/>
      <c r="AO421" s="400"/>
      <c r="AP421" s="400"/>
      <c r="AQ421" s="400"/>
      <c r="AR421" s="400"/>
      <c r="AS421" s="400"/>
      <c r="AT421" s="400"/>
      <c r="AU421" s="400"/>
      <c r="AV421" s="400"/>
      <c r="AW421" s="400"/>
      <c r="AX421" s="400"/>
      <c r="AY421" s="400"/>
      <c r="AZ421" s="400"/>
      <c r="BA421" s="400"/>
    </row>
    <row r="422" s="366" customFormat="1" spans="1:53">
      <c r="A422" s="400"/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400"/>
      <c r="AA422" s="400"/>
      <c r="AB422" s="400"/>
      <c r="AC422" s="400"/>
      <c r="AD422" s="400"/>
      <c r="AE422" s="400"/>
      <c r="AF422" s="400"/>
      <c r="AG422" s="400"/>
      <c r="AH422" s="439"/>
      <c r="AI422" s="400"/>
      <c r="AJ422" s="400"/>
      <c r="AK422" s="400"/>
      <c r="AL422" s="400"/>
      <c r="AM422" s="400"/>
      <c r="AN422" s="400"/>
      <c r="AO422" s="400"/>
      <c r="AP422" s="400"/>
      <c r="AQ422" s="400"/>
      <c r="AR422" s="400"/>
      <c r="AS422" s="400"/>
      <c r="AT422" s="400"/>
      <c r="AU422" s="400"/>
      <c r="AV422" s="400"/>
      <c r="AW422" s="400"/>
      <c r="AX422" s="400"/>
      <c r="AY422" s="400"/>
      <c r="AZ422" s="400"/>
      <c r="BA422" s="400"/>
    </row>
    <row r="423" s="366" customFormat="1" spans="1:53">
      <c r="A423" s="400"/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400"/>
      <c r="AB423" s="400"/>
      <c r="AC423" s="400"/>
      <c r="AD423" s="400"/>
      <c r="AE423" s="400"/>
      <c r="AF423" s="400"/>
      <c r="AG423" s="400"/>
      <c r="AH423" s="439"/>
      <c r="AI423" s="400"/>
      <c r="AJ423" s="400"/>
      <c r="AK423" s="400"/>
      <c r="AL423" s="400"/>
      <c r="AM423" s="400"/>
      <c r="AN423" s="400"/>
      <c r="AO423" s="400"/>
      <c r="AP423" s="400"/>
      <c r="AQ423" s="400"/>
      <c r="AR423" s="400"/>
      <c r="AS423" s="400"/>
      <c r="AT423" s="400"/>
      <c r="AU423" s="400"/>
      <c r="AV423" s="400"/>
      <c r="AW423" s="400"/>
      <c r="AX423" s="400"/>
      <c r="AY423" s="400"/>
      <c r="AZ423" s="400"/>
      <c r="BA423" s="400"/>
    </row>
    <row r="424" s="366" customFormat="1" spans="1:53">
      <c r="A424" s="400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400"/>
      <c r="AB424" s="400"/>
      <c r="AC424" s="400"/>
      <c r="AD424" s="400"/>
      <c r="AE424" s="400"/>
      <c r="AF424" s="400"/>
      <c r="AG424" s="400"/>
      <c r="AH424" s="439"/>
      <c r="AI424" s="400"/>
      <c r="AJ424" s="400"/>
      <c r="AK424" s="400"/>
      <c r="AL424" s="400"/>
      <c r="AM424" s="400"/>
      <c r="AN424" s="400"/>
      <c r="AO424" s="400"/>
      <c r="AP424" s="400"/>
      <c r="AQ424" s="400"/>
      <c r="AR424" s="400"/>
      <c r="AS424" s="400"/>
      <c r="AT424" s="400"/>
      <c r="AU424" s="400"/>
      <c r="AV424" s="400"/>
      <c r="AW424" s="400"/>
      <c r="AX424" s="400"/>
      <c r="AY424" s="400"/>
      <c r="AZ424" s="400"/>
      <c r="BA424" s="400"/>
    </row>
    <row r="425" s="366" customFormat="1" spans="1:53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0"/>
      <c r="P425" s="400"/>
      <c r="Q425" s="400"/>
      <c r="R425" s="400"/>
      <c r="S425" s="400"/>
      <c r="T425" s="400"/>
      <c r="U425" s="400"/>
      <c r="V425" s="400"/>
      <c r="W425" s="400"/>
      <c r="X425" s="400"/>
      <c r="Y425" s="400"/>
      <c r="Z425" s="400"/>
      <c r="AA425" s="400"/>
      <c r="AB425" s="400"/>
      <c r="AC425" s="400"/>
      <c r="AD425" s="400"/>
      <c r="AE425" s="400"/>
      <c r="AF425" s="400"/>
      <c r="AG425" s="400"/>
      <c r="AH425" s="439"/>
      <c r="AI425" s="400"/>
      <c r="AJ425" s="400"/>
      <c r="AK425" s="400"/>
      <c r="AL425" s="400"/>
      <c r="AM425" s="400"/>
      <c r="AN425" s="400"/>
      <c r="AO425" s="400"/>
      <c r="AP425" s="400"/>
      <c r="AQ425" s="400"/>
      <c r="AR425" s="400"/>
      <c r="AS425" s="400"/>
      <c r="AT425" s="400"/>
      <c r="AU425" s="400"/>
      <c r="AV425" s="400"/>
      <c r="AW425" s="400"/>
      <c r="AX425" s="400"/>
      <c r="AY425" s="400"/>
      <c r="AZ425" s="400"/>
      <c r="BA425" s="400"/>
    </row>
    <row r="426" s="366" customFormat="1" spans="1:53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400"/>
      <c r="AB426" s="400"/>
      <c r="AC426" s="400"/>
      <c r="AD426" s="400"/>
      <c r="AE426" s="400"/>
      <c r="AF426" s="400"/>
      <c r="AG426" s="400"/>
      <c r="AH426" s="439"/>
      <c r="AI426" s="400"/>
      <c r="AJ426" s="400"/>
      <c r="AK426" s="400"/>
      <c r="AL426" s="400"/>
      <c r="AM426" s="400"/>
      <c r="AN426" s="400"/>
      <c r="AO426" s="400"/>
      <c r="AP426" s="400"/>
      <c r="AQ426" s="400"/>
      <c r="AR426" s="400"/>
      <c r="AS426" s="400"/>
      <c r="AT426" s="400"/>
      <c r="AU426" s="400"/>
      <c r="AV426" s="400"/>
      <c r="AW426" s="400"/>
      <c r="AX426" s="400"/>
      <c r="AY426" s="400"/>
      <c r="AZ426" s="400"/>
      <c r="BA426" s="400"/>
    </row>
    <row r="427" s="366" customFormat="1" spans="1:53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400"/>
      <c r="AA427" s="400"/>
      <c r="AB427" s="400"/>
      <c r="AC427" s="400"/>
      <c r="AD427" s="400"/>
      <c r="AE427" s="400"/>
      <c r="AF427" s="400"/>
      <c r="AG427" s="400"/>
      <c r="AH427" s="439"/>
      <c r="AI427" s="400"/>
      <c r="AJ427" s="400"/>
      <c r="AK427" s="400"/>
      <c r="AL427" s="400"/>
      <c r="AM427" s="400"/>
      <c r="AN427" s="400"/>
      <c r="AO427" s="400"/>
      <c r="AP427" s="400"/>
      <c r="AQ427" s="400"/>
      <c r="AR427" s="400"/>
      <c r="AS427" s="400"/>
      <c r="AT427" s="400"/>
      <c r="AU427" s="400"/>
      <c r="AV427" s="400"/>
      <c r="AW427" s="400"/>
      <c r="AX427" s="400"/>
      <c r="AY427" s="400"/>
      <c r="AZ427" s="400"/>
      <c r="BA427" s="400"/>
    </row>
    <row r="428" s="366" customFormat="1" spans="1:53">
      <c r="A428" s="400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400"/>
      <c r="AB428" s="400"/>
      <c r="AC428" s="400"/>
      <c r="AD428" s="400"/>
      <c r="AE428" s="400"/>
      <c r="AF428" s="400"/>
      <c r="AG428" s="400"/>
      <c r="AH428" s="439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</row>
    <row r="429" s="366" customFormat="1" spans="1:53">
      <c r="A429" s="400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00"/>
      <c r="P429" s="400"/>
      <c r="Q429" s="400"/>
      <c r="R429" s="400"/>
      <c r="S429" s="400"/>
      <c r="T429" s="400"/>
      <c r="U429" s="400"/>
      <c r="V429" s="400"/>
      <c r="W429" s="400"/>
      <c r="X429" s="400"/>
      <c r="Y429" s="400"/>
      <c r="Z429" s="400"/>
      <c r="AA429" s="400"/>
      <c r="AB429" s="400"/>
      <c r="AC429" s="400"/>
      <c r="AD429" s="400"/>
      <c r="AE429" s="400"/>
      <c r="AF429" s="400"/>
      <c r="AG429" s="400"/>
      <c r="AH429" s="439"/>
      <c r="AI429" s="400"/>
      <c r="AJ429" s="400"/>
      <c r="AK429" s="400"/>
      <c r="AL429" s="400"/>
      <c r="AM429" s="400"/>
      <c r="AN429" s="400"/>
      <c r="AO429" s="400"/>
      <c r="AP429" s="400"/>
      <c r="AQ429" s="400"/>
      <c r="AR429" s="400"/>
      <c r="AS429" s="400"/>
      <c r="AT429" s="400"/>
      <c r="AU429" s="400"/>
      <c r="AV429" s="400"/>
      <c r="AW429" s="400"/>
      <c r="AX429" s="400"/>
      <c r="AY429" s="400"/>
      <c r="AZ429" s="400"/>
      <c r="BA429" s="400"/>
    </row>
    <row r="430" s="366" customFormat="1" spans="1:53">
      <c r="A430" s="400"/>
      <c r="B430" s="400"/>
      <c r="C430" s="400"/>
      <c r="D430" s="400"/>
      <c r="E430" s="400"/>
      <c r="F430" s="400"/>
      <c r="G430" s="400"/>
      <c r="H430" s="400"/>
      <c r="I430" s="400"/>
      <c r="J430" s="400"/>
      <c r="K430" s="400"/>
      <c r="L430" s="400"/>
      <c r="M430" s="400"/>
      <c r="N430" s="400"/>
      <c r="O430" s="400"/>
      <c r="P430" s="400"/>
      <c r="Q430" s="400"/>
      <c r="R430" s="400"/>
      <c r="S430" s="400"/>
      <c r="T430" s="400"/>
      <c r="U430" s="400"/>
      <c r="V430" s="400"/>
      <c r="W430" s="400"/>
      <c r="X430" s="400"/>
      <c r="Y430" s="400"/>
      <c r="Z430" s="400"/>
      <c r="AA430" s="400"/>
      <c r="AB430" s="400"/>
      <c r="AC430" s="400"/>
      <c r="AD430" s="400"/>
      <c r="AE430" s="400"/>
      <c r="AF430" s="400"/>
      <c r="AG430" s="400"/>
      <c r="AH430" s="439"/>
      <c r="AI430" s="400"/>
      <c r="AJ430" s="400"/>
      <c r="AK430" s="400"/>
      <c r="AL430" s="400"/>
      <c r="AM430" s="400"/>
      <c r="AN430" s="400"/>
      <c r="AO430" s="400"/>
      <c r="AP430" s="400"/>
      <c r="AQ430" s="400"/>
      <c r="AR430" s="400"/>
      <c r="AS430" s="400"/>
      <c r="AT430" s="400"/>
      <c r="AU430" s="400"/>
      <c r="AV430" s="400"/>
      <c r="AW430" s="400"/>
      <c r="AX430" s="400"/>
      <c r="AY430" s="400"/>
      <c r="AZ430" s="400"/>
      <c r="BA430" s="400"/>
    </row>
    <row r="431" s="366" customFormat="1" spans="1:53">
      <c r="A431" s="400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400"/>
      <c r="AB431" s="400"/>
      <c r="AC431" s="400"/>
      <c r="AD431" s="400"/>
      <c r="AE431" s="400"/>
      <c r="AF431" s="400"/>
      <c r="AG431" s="400"/>
      <c r="AH431" s="439"/>
      <c r="AI431" s="400"/>
      <c r="AJ431" s="400"/>
      <c r="AK431" s="400"/>
      <c r="AL431" s="400"/>
      <c r="AM431" s="400"/>
      <c r="AN431" s="400"/>
      <c r="AO431" s="400"/>
      <c r="AP431" s="400"/>
      <c r="AQ431" s="400"/>
      <c r="AR431" s="400"/>
      <c r="AS431" s="400"/>
      <c r="AT431" s="400"/>
      <c r="AU431" s="400"/>
      <c r="AV431" s="400"/>
      <c r="AW431" s="400"/>
      <c r="AX431" s="400"/>
      <c r="AY431" s="400"/>
      <c r="AZ431" s="400"/>
      <c r="BA431" s="400"/>
    </row>
    <row r="432" s="366" customFormat="1" spans="1:53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  <c r="AA432" s="400"/>
      <c r="AB432" s="400"/>
      <c r="AC432" s="400"/>
      <c r="AD432" s="400"/>
      <c r="AE432" s="400"/>
      <c r="AF432" s="400"/>
      <c r="AG432" s="400"/>
      <c r="AH432" s="439"/>
      <c r="AI432" s="400"/>
      <c r="AJ432" s="400"/>
      <c r="AK432" s="400"/>
      <c r="AL432" s="400"/>
      <c r="AM432" s="400"/>
      <c r="AN432" s="400"/>
      <c r="AO432" s="400"/>
      <c r="AP432" s="400"/>
      <c r="AQ432" s="400"/>
      <c r="AR432" s="400"/>
      <c r="AS432" s="400"/>
      <c r="AT432" s="400"/>
      <c r="AU432" s="400"/>
      <c r="AV432" s="400"/>
      <c r="AW432" s="400"/>
      <c r="AX432" s="400"/>
      <c r="AY432" s="400"/>
      <c r="AZ432" s="400"/>
      <c r="BA432" s="400"/>
    </row>
    <row r="433" s="366" customFormat="1" spans="1:53">
      <c r="A433" s="400"/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400"/>
      <c r="AA433" s="400"/>
      <c r="AB433" s="400"/>
      <c r="AC433" s="400"/>
      <c r="AD433" s="400"/>
      <c r="AE433" s="400"/>
      <c r="AF433" s="400"/>
      <c r="AG433" s="400"/>
      <c r="AH433" s="439"/>
      <c r="AI433" s="400"/>
      <c r="AJ433" s="400"/>
      <c r="AK433" s="400"/>
      <c r="AL433" s="400"/>
      <c r="AM433" s="400"/>
      <c r="AN433" s="400"/>
      <c r="AO433" s="400"/>
      <c r="AP433" s="400"/>
      <c r="AQ433" s="400"/>
      <c r="AR433" s="400"/>
      <c r="AS433" s="400"/>
      <c r="AT433" s="400"/>
      <c r="AU433" s="400"/>
      <c r="AV433" s="400"/>
      <c r="AW433" s="400"/>
      <c r="AX433" s="400"/>
      <c r="AY433" s="400"/>
      <c r="AZ433" s="400"/>
      <c r="BA433" s="400"/>
    </row>
    <row r="434" s="366" customFormat="1" spans="1:53">
      <c r="A434" s="400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00"/>
      <c r="P434" s="400"/>
      <c r="Q434" s="400"/>
      <c r="R434" s="400"/>
      <c r="S434" s="400"/>
      <c r="T434" s="400"/>
      <c r="U434" s="400"/>
      <c r="V434" s="400"/>
      <c r="W434" s="400"/>
      <c r="X434" s="400"/>
      <c r="Y434" s="400"/>
      <c r="Z434" s="400"/>
      <c r="AA434" s="400"/>
      <c r="AB434" s="400"/>
      <c r="AC434" s="400"/>
      <c r="AD434" s="400"/>
      <c r="AE434" s="400"/>
      <c r="AF434" s="400"/>
      <c r="AG434" s="400"/>
      <c r="AH434" s="439"/>
      <c r="AI434" s="400"/>
      <c r="AJ434" s="400"/>
      <c r="AK434" s="400"/>
      <c r="AL434" s="400"/>
      <c r="AM434" s="400"/>
      <c r="AN434" s="400"/>
      <c r="AO434" s="400"/>
      <c r="AP434" s="400"/>
      <c r="AQ434" s="400"/>
      <c r="AR434" s="400"/>
      <c r="AS434" s="400"/>
      <c r="AT434" s="400"/>
      <c r="AU434" s="400"/>
      <c r="AV434" s="400"/>
      <c r="AW434" s="400"/>
      <c r="AX434" s="400"/>
      <c r="AY434" s="400"/>
      <c r="AZ434" s="400"/>
      <c r="BA434" s="400"/>
    </row>
    <row r="435" s="366" customFormat="1" spans="1:53">
      <c r="A435" s="400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400"/>
      <c r="Z435" s="400"/>
      <c r="AA435" s="400"/>
      <c r="AB435" s="400"/>
      <c r="AC435" s="400"/>
      <c r="AD435" s="400"/>
      <c r="AE435" s="400"/>
      <c r="AF435" s="400"/>
      <c r="AG435" s="400"/>
      <c r="AH435" s="439"/>
      <c r="AI435" s="400"/>
      <c r="AJ435" s="400"/>
      <c r="AK435" s="400"/>
      <c r="AL435" s="400"/>
      <c r="AM435" s="400"/>
      <c r="AN435" s="400"/>
      <c r="AO435" s="400"/>
      <c r="AP435" s="400"/>
      <c r="AQ435" s="400"/>
      <c r="AR435" s="400"/>
      <c r="AS435" s="400"/>
      <c r="AT435" s="400"/>
      <c r="AU435" s="400"/>
      <c r="AV435" s="400"/>
      <c r="AW435" s="400"/>
      <c r="AX435" s="400"/>
      <c r="AY435" s="400"/>
      <c r="AZ435" s="400"/>
      <c r="BA435" s="400"/>
    </row>
    <row r="436" s="366" customFormat="1" spans="1:53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400"/>
      <c r="AB436" s="400"/>
      <c r="AC436" s="400"/>
      <c r="AD436" s="400"/>
      <c r="AE436" s="400"/>
      <c r="AF436" s="400"/>
      <c r="AG436" s="400"/>
      <c r="AH436" s="439"/>
      <c r="AI436" s="400"/>
      <c r="AJ436" s="400"/>
      <c r="AK436" s="400"/>
      <c r="AL436" s="400"/>
      <c r="AM436" s="400"/>
      <c r="AN436" s="400"/>
      <c r="AO436" s="400"/>
      <c r="AP436" s="400"/>
      <c r="AQ436" s="400"/>
      <c r="AR436" s="400"/>
      <c r="AS436" s="400"/>
      <c r="AT436" s="400"/>
      <c r="AU436" s="400"/>
      <c r="AV436" s="400"/>
      <c r="AW436" s="400"/>
      <c r="AX436" s="400"/>
      <c r="AY436" s="400"/>
      <c r="AZ436" s="400"/>
      <c r="BA436" s="400"/>
    </row>
    <row r="437" s="366" customFormat="1" spans="1:53">
      <c r="A437" s="400"/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400"/>
      <c r="AA437" s="400"/>
      <c r="AB437" s="400"/>
      <c r="AC437" s="400"/>
      <c r="AD437" s="400"/>
      <c r="AE437" s="400"/>
      <c r="AF437" s="400"/>
      <c r="AG437" s="400"/>
      <c r="AH437" s="439"/>
      <c r="AI437" s="400"/>
      <c r="AJ437" s="400"/>
      <c r="AK437" s="400"/>
      <c r="AL437" s="400"/>
      <c r="AM437" s="400"/>
      <c r="AN437" s="400"/>
      <c r="AO437" s="400"/>
      <c r="AP437" s="400"/>
      <c r="AQ437" s="400"/>
      <c r="AR437" s="400"/>
      <c r="AS437" s="400"/>
      <c r="AT437" s="400"/>
      <c r="AU437" s="400"/>
      <c r="AV437" s="400"/>
      <c r="AW437" s="400"/>
      <c r="AX437" s="400"/>
      <c r="AY437" s="400"/>
      <c r="AZ437" s="400"/>
      <c r="BA437" s="400"/>
    </row>
    <row r="438" s="366" customFormat="1" spans="1:53">
      <c r="A438" s="400"/>
      <c r="B438" s="400"/>
      <c r="C438" s="400"/>
      <c r="D438" s="400"/>
      <c r="E438" s="400"/>
      <c r="F438" s="400"/>
      <c r="G438" s="400"/>
      <c r="H438" s="400"/>
      <c r="I438" s="400"/>
      <c r="J438" s="400"/>
      <c r="K438" s="400"/>
      <c r="L438" s="400"/>
      <c r="M438" s="400"/>
      <c r="N438" s="400"/>
      <c r="O438" s="400"/>
      <c r="P438" s="400"/>
      <c r="Q438" s="400"/>
      <c r="R438" s="400"/>
      <c r="S438" s="400"/>
      <c r="T438" s="400"/>
      <c r="U438" s="400"/>
      <c r="V438" s="400"/>
      <c r="W438" s="400"/>
      <c r="X438" s="400"/>
      <c r="Y438" s="400"/>
      <c r="Z438" s="400"/>
      <c r="AA438" s="400"/>
      <c r="AB438" s="400"/>
      <c r="AC438" s="400"/>
      <c r="AD438" s="400"/>
      <c r="AE438" s="400"/>
      <c r="AF438" s="400"/>
      <c r="AG438" s="400"/>
      <c r="AH438" s="439"/>
      <c r="AI438" s="400"/>
      <c r="AJ438" s="400"/>
      <c r="AK438" s="400"/>
      <c r="AL438" s="400"/>
      <c r="AM438" s="400"/>
      <c r="AN438" s="400"/>
      <c r="AO438" s="400"/>
      <c r="AP438" s="400"/>
      <c r="AQ438" s="400"/>
      <c r="AR438" s="400"/>
      <c r="AS438" s="400"/>
      <c r="AT438" s="400"/>
      <c r="AU438" s="400"/>
      <c r="AV438" s="400"/>
      <c r="AW438" s="400"/>
      <c r="AX438" s="400"/>
      <c r="AY438" s="400"/>
      <c r="AZ438" s="400"/>
      <c r="BA438" s="400"/>
    </row>
    <row r="439" s="366" customFormat="1" spans="1:53">
      <c r="A439" s="400"/>
      <c r="B439" s="400"/>
      <c r="C439" s="400"/>
      <c r="D439" s="400"/>
      <c r="E439" s="400"/>
      <c r="F439" s="400"/>
      <c r="G439" s="400"/>
      <c r="H439" s="400"/>
      <c r="I439" s="400"/>
      <c r="J439" s="400"/>
      <c r="K439" s="400"/>
      <c r="L439" s="400"/>
      <c r="M439" s="400"/>
      <c r="N439" s="400"/>
      <c r="O439" s="400"/>
      <c r="P439" s="400"/>
      <c r="Q439" s="400"/>
      <c r="R439" s="400"/>
      <c r="S439" s="400"/>
      <c r="T439" s="400"/>
      <c r="U439" s="400"/>
      <c r="V439" s="400"/>
      <c r="W439" s="400"/>
      <c r="X439" s="400"/>
      <c r="Y439" s="400"/>
      <c r="Z439" s="400"/>
      <c r="AA439" s="400"/>
      <c r="AB439" s="400"/>
      <c r="AC439" s="400"/>
      <c r="AD439" s="400"/>
      <c r="AE439" s="400"/>
      <c r="AF439" s="400"/>
      <c r="AG439" s="400"/>
      <c r="AH439" s="439"/>
      <c r="AI439" s="400"/>
      <c r="AJ439" s="400"/>
      <c r="AK439" s="400"/>
      <c r="AL439" s="400"/>
      <c r="AM439" s="400"/>
      <c r="AN439" s="400"/>
      <c r="AO439" s="400"/>
      <c r="AP439" s="400"/>
      <c r="AQ439" s="400"/>
      <c r="AR439" s="400"/>
      <c r="AS439" s="400"/>
      <c r="AT439" s="400"/>
      <c r="AU439" s="400"/>
      <c r="AV439" s="400"/>
      <c r="AW439" s="400"/>
      <c r="AX439" s="400"/>
      <c r="AY439" s="400"/>
      <c r="AZ439" s="400"/>
      <c r="BA439" s="400"/>
    </row>
    <row r="440" s="366" customFormat="1" spans="1:53">
      <c r="A440" s="400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400"/>
      <c r="Z440" s="400"/>
      <c r="AA440" s="400"/>
      <c r="AB440" s="400"/>
      <c r="AC440" s="400"/>
      <c r="AD440" s="400"/>
      <c r="AE440" s="400"/>
      <c r="AF440" s="400"/>
      <c r="AG440" s="400"/>
      <c r="AH440" s="439"/>
      <c r="AI440" s="400"/>
      <c r="AJ440" s="400"/>
      <c r="AK440" s="400"/>
      <c r="AL440" s="400"/>
      <c r="AM440" s="400"/>
      <c r="AN440" s="400"/>
      <c r="AO440" s="400"/>
      <c r="AP440" s="400"/>
      <c r="AQ440" s="400"/>
      <c r="AR440" s="400"/>
      <c r="AS440" s="400"/>
      <c r="AT440" s="400"/>
      <c r="AU440" s="400"/>
      <c r="AV440" s="400"/>
      <c r="AW440" s="400"/>
      <c r="AX440" s="400"/>
      <c r="AY440" s="400"/>
      <c r="AZ440" s="400"/>
      <c r="BA440" s="400"/>
    </row>
    <row r="441" s="366" customFormat="1" spans="1:53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0"/>
      <c r="O441" s="400"/>
      <c r="P441" s="400"/>
      <c r="Q441" s="400"/>
      <c r="R441" s="400"/>
      <c r="S441" s="400"/>
      <c r="T441" s="400"/>
      <c r="U441" s="400"/>
      <c r="V441" s="400"/>
      <c r="W441" s="400"/>
      <c r="X441" s="400"/>
      <c r="Y441" s="400"/>
      <c r="Z441" s="400"/>
      <c r="AA441" s="400"/>
      <c r="AB441" s="400"/>
      <c r="AC441" s="400"/>
      <c r="AD441" s="400"/>
      <c r="AE441" s="400"/>
      <c r="AF441" s="400"/>
      <c r="AG441" s="400"/>
      <c r="AH441" s="439"/>
      <c r="AI441" s="400"/>
      <c r="AJ441" s="400"/>
      <c r="AK441" s="400"/>
      <c r="AL441" s="400"/>
      <c r="AM441" s="400"/>
      <c r="AN441" s="400"/>
      <c r="AO441" s="400"/>
      <c r="AP441" s="400"/>
      <c r="AQ441" s="400"/>
      <c r="AR441" s="400"/>
      <c r="AS441" s="400"/>
      <c r="AT441" s="400"/>
      <c r="AU441" s="400"/>
      <c r="AV441" s="400"/>
      <c r="AW441" s="400"/>
      <c r="AX441" s="400"/>
      <c r="AY441" s="400"/>
      <c r="AZ441" s="400"/>
      <c r="BA441" s="400"/>
    </row>
    <row r="442" s="366" customFormat="1" spans="1:53">
      <c r="A442" s="400"/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400"/>
      <c r="AA442" s="400"/>
      <c r="AB442" s="400"/>
      <c r="AC442" s="400"/>
      <c r="AD442" s="400"/>
      <c r="AE442" s="400"/>
      <c r="AF442" s="400"/>
      <c r="AG442" s="400"/>
      <c r="AH442" s="439"/>
      <c r="AI442" s="400"/>
      <c r="AJ442" s="400"/>
      <c r="AK442" s="400"/>
      <c r="AL442" s="400"/>
      <c r="AM442" s="400"/>
      <c r="AN442" s="400"/>
      <c r="AO442" s="400"/>
      <c r="AP442" s="400"/>
      <c r="AQ442" s="400"/>
      <c r="AR442" s="400"/>
      <c r="AS442" s="400"/>
      <c r="AT442" s="400"/>
      <c r="AU442" s="400"/>
      <c r="AV442" s="400"/>
      <c r="AW442" s="400"/>
      <c r="AX442" s="400"/>
      <c r="AY442" s="400"/>
      <c r="AZ442" s="400"/>
      <c r="BA442" s="400"/>
    </row>
    <row r="443" s="366" customFormat="1" spans="1:53">
      <c r="A443" s="400"/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00"/>
      <c r="Z443" s="400"/>
      <c r="AA443" s="400"/>
      <c r="AB443" s="400"/>
      <c r="AC443" s="400"/>
      <c r="AD443" s="400"/>
      <c r="AE443" s="400"/>
      <c r="AF443" s="400"/>
      <c r="AG443" s="400"/>
      <c r="AH443" s="439"/>
      <c r="AI443" s="400"/>
      <c r="AJ443" s="400"/>
      <c r="AK443" s="400"/>
      <c r="AL443" s="400"/>
      <c r="AM443" s="400"/>
      <c r="AN443" s="400"/>
      <c r="AO443" s="400"/>
      <c r="AP443" s="400"/>
      <c r="AQ443" s="400"/>
      <c r="AR443" s="400"/>
      <c r="AS443" s="400"/>
      <c r="AT443" s="400"/>
      <c r="AU443" s="400"/>
      <c r="AV443" s="400"/>
      <c r="AW443" s="400"/>
      <c r="AX443" s="400"/>
      <c r="AY443" s="400"/>
      <c r="AZ443" s="400"/>
      <c r="BA443" s="400"/>
    </row>
    <row r="444" s="366" customFormat="1" spans="1:53">
      <c r="A444" s="400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00"/>
      <c r="O444" s="400"/>
      <c r="P444" s="400"/>
      <c r="Q444" s="400"/>
      <c r="R444" s="400"/>
      <c r="S444" s="400"/>
      <c r="T444" s="400"/>
      <c r="U444" s="400"/>
      <c r="V444" s="400"/>
      <c r="W444" s="400"/>
      <c r="X444" s="400"/>
      <c r="Y444" s="400"/>
      <c r="Z444" s="400"/>
      <c r="AA444" s="400"/>
      <c r="AB444" s="400"/>
      <c r="AC444" s="400"/>
      <c r="AD444" s="400"/>
      <c r="AE444" s="400"/>
      <c r="AF444" s="400"/>
      <c r="AG444" s="400"/>
      <c r="AH444" s="439"/>
      <c r="AI444" s="400"/>
      <c r="AJ444" s="400"/>
      <c r="AK444" s="400"/>
      <c r="AL444" s="400"/>
      <c r="AM444" s="400"/>
      <c r="AN444" s="400"/>
      <c r="AO444" s="400"/>
      <c r="AP444" s="400"/>
      <c r="AQ444" s="400"/>
      <c r="AR444" s="400"/>
      <c r="AS444" s="400"/>
      <c r="AT444" s="400"/>
      <c r="AU444" s="400"/>
      <c r="AV444" s="400"/>
      <c r="AW444" s="400"/>
      <c r="AX444" s="400"/>
      <c r="AY444" s="400"/>
      <c r="AZ444" s="400"/>
      <c r="BA444" s="400"/>
    </row>
    <row r="445" s="366" customFormat="1" spans="1:53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0"/>
      <c r="O445" s="400"/>
      <c r="P445" s="400"/>
      <c r="Q445" s="400"/>
      <c r="R445" s="400"/>
      <c r="S445" s="400"/>
      <c r="T445" s="400"/>
      <c r="U445" s="400"/>
      <c r="V445" s="400"/>
      <c r="W445" s="400"/>
      <c r="X445" s="400"/>
      <c r="Y445" s="400"/>
      <c r="Z445" s="400"/>
      <c r="AA445" s="400"/>
      <c r="AB445" s="400"/>
      <c r="AC445" s="400"/>
      <c r="AD445" s="400"/>
      <c r="AE445" s="400"/>
      <c r="AF445" s="400"/>
      <c r="AG445" s="400"/>
      <c r="AH445" s="439"/>
      <c r="AI445" s="400"/>
      <c r="AJ445" s="400"/>
      <c r="AK445" s="400"/>
      <c r="AL445" s="400"/>
      <c r="AM445" s="400"/>
      <c r="AN445" s="400"/>
      <c r="AO445" s="400"/>
      <c r="AP445" s="400"/>
      <c r="AQ445" s="400"/>
      <c r="AR445" s="400"/>
      <c r="AS445" s="400"/>
      <c r="AT445" s="400"/>
      <c r="AU445" s="400"/>
      <c r="AV445" s="400"/>
      <c r="AW445" s="400"/>
      <c r="AX445" s="400"/>
      <c r="AY445" s="400"/>
      <c r="AZ445" s="400"/>
      <c r="BA445" s="400"/>
    </row>
    <row r="446" s="366" customFormat="1" spans="1:53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400"/>
      <c r="AA446" s="400"/>
      <c r="AB446" s="400"/>
      <c r="AC446" s="400"/>
      <c r="AD446" s="400"/>
      <c r="AE446" s="400"/>
      <c r="AF446" s="400"/>
      <c r="AG446" s="400"/>
      <c r="AH446" s="439"/>
      <c r="AI446" s="400"/>
      <c r="AJ446" s="400"/>
      <c r="AK446" s="400"/>
      <c r="AL446" s="400"/>
      <c r="AM446" s="400"/>
      <c r="AN446" s="400"/>
      <c r="AO446" s="400"/>
      <c r="AP446" s="400"/>
      <c r="AQ446" s="400"/>
      <c r="AR446" s="400"/>
      <c r="AS446" s="400"/>
      <c r="AT446" s="400"/>
      <c r="AU446" s="400"/>
      <c r="AV446" s="400"/>
      <c r="AW446" s="400"/>
      <c r="AX446" s="400"/>
      <c r="AY446" s="400"/>
      <c r="AZ446" s="400"/>
      <c r="BA446" s="400"/>
    </row>
    <row r="447" s="366" customFormat="1" spans="1:53">
      <c r="A447" s="400"/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400"/>
      <c r="AA447" s="400"/>
      <c r="AB447" s="400"/>
      <c r="AC447" s="400"/>
      <c r="AD447" s="400"/>
      <c r="AE447" s="400"/>
      <c r="AF447" s="400"/>
      <c r="AG447" s="400"/>
      <c r="AH447" s="439"/>
      <c r="AI447" s="400"/>
      <c r="AJ447" s="400"/>
      <c r="AK447" s="400"/>
      <c r="AL447" s="400"/>
      <c r="AM447" s="400"/>
      <c r="AN447" s="400"/>
      <c r="AO447" s="400"/>
      <c r="AP447" s="400"/>
      <c r="AQ447" s="400"/>
      <c r="AR447" s="400"/>
      <c r="AS447" s="400"/>
      <c r="AT447" s="400"/>
      <c r="AU447" s="400"/>
      <c r="AV447" s="400"/>
      <c r="AW447" s="400"/>
      <c r="AX447" s="400"/>
      <c r="AY447" s="400"/>
      <c r="AZ447" s="400"/>
      <c r="BA447" s="400"/>
    </row>
    <row r="448" s="366" customFormat="1" spans="1:53">
      <c r="A448" s="400"/>
      <c r="B448" s="400"/>
      <c r="C448" s="400"/>
      <c r="D448" s="400"/>
      <c r="E448" s="400"/>
      <c r="F448" s="400"/>
      <c r="G448" s="400"/>
      <c r="H448" s="400"/>
      <c r="I448" s="400"/>
      <c r="J448" s="400"/>
      <c r="K448" s="400"/>
      <c r="L448" s="400"/>
      <c r="M448" s="400"/>
      <c r="N448" s="400"/>
      <c r="O448" s="400"/>
      <c r="P448" s="400"/>
      <c r="Q448" s="400"/>
      <c r="R448" s="400"/>
      <c r="S448" s="400"/>
      <c r="T448" s="400"/>
      <c r="U448" s="400"/>
      <c r="V448" s="400"/>
      <c r="W448" s="400"/>
      <c r="X448" s="400"/>
      <c r="Y448" s="400"/>
      <c r="Z448" s="400"/>
      <c r="AA448" s="400"/>
      <c r="AB448" s="400"/>
      <c r="AC448" s="400"/>
      <c r="AD448" s="400"/>
      <c r="AE448" s="400"/>
      <c r="AF448" s="400"/>
      <c r="AG448" s="400"/>
      <c r="AH448" s="439"/>
      <c r="AI448" s="400"/>
      <c r="AJ448" s="400"/>
      <c r="AK448" s="400"/>
      <c r="AL448" s="400"/>
      <c r="AM448" s="400"/>
      <c r="AN448" s="400"/>
      <c r="AO448" s="400"/>
      <c r="AP448" s="400"/>
      <c r="AQ448" s="400"/>
      <c r="AR448" s="400"/>
      <c r="AS448" s="400"/>
      <c r="AT448" s="400"/>
      <c r="AU448" s="400"/>
      <c r="AV448" s="400"/>
      <c r="AW448" s="400"/>
      <c r="AX448" s="400"/>
      <c r="AY448" s="400"/>
      <c r="AZ448" s="400"/>
      <c r="BA448" s="400"/>
    </row>
    <row r="449" s="366" customFormat="1" spans="1:53">
      <c r="A449" s="400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0"/>
      <c r="O449" s="400"/>
      <c r="P449" s="400"/>
      <c r="Q449" s="400"/>
      <c r="R449" s="400"/>
      <c r="S449" s="400"/>
      <c r="T449" s="400"/>
      <c r="U449" s="400"/>
      <c r="V449" s="400"/>
      <c r="W449" s="400"/>
      <c r="X449" s="400"/>
      <c r="Y449" s="400"/>
      <c r="Z449" s="400"/>
      <c r="AA449" s="400"/>
      <c r="AB449" s="400"/>
      <c r="AC449" s="400"/>
      <c r="AD449" s="400"/>
      <c r="AE449" s="400"/>
      <c r="AF449" s="400"/>
      <c r="AG449" s="400"/>
      <c r="AH449" s="439"/>
      <c r="AI449" s="400"/>
      <c r="AJ449" s="400"/>
      <c r="AK449" s="400"/>
      <c r="AL449" s="400"/>
      <c r="AM449" s="400"/>
      <c r="AN449" s="400"/>
      <c r="AO449" s="400"/>
      <c r="AP449" s="400"/>
      <c r="AQ449" s="400"/>
      <c r="AR449" s="400"/>
      <c r="AS449" s="400"/>
      <c r="AT449" s="400"/>
      <c r="AU449" s="400"/>
      <c r="AV449" s="400"/>
      <c r="AW449" s="400"/>
      <c r="AX449" s="400"/>
      <c r="AY449" s="400"/>
      <c r="AZ449" s="400"/>
      <c r="BA449" s="400"/>
    </row>
    <row r="450" s="366" customFormat="1" spans="1:53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0"/>
      <c r="P450" s="400"/>
      <c r="Q450" s="400"/>
      <c r="R450" s="400"/>
      <c r="S450" s="400"/>
      <c r="T450" s="400"/>
      <c r="U450" s="400"/>
      <c r="V450" s="400"/>
      <c r="W450" s="400"/>
      <c r="X450" s="400"/>
      <c r="Y450" s="400"/>
      <c r="Z450" s="400"/>
      <c r="AA450" s="400"/>
      <c r="AB450" s="400"/>
      <c r="AC450" s="400"/>
      <c r="AD450" s="400"/>
      <c r="AE450" s="400"/>
      <c r="AF450" s="400"/>
      <c r="AG450" s="400"/>
      <c r="AH450" s="439"/>
      <c r="AI450" s="400"/>
      <c r="AJ450" s="400"/>
      <c r="AK450" s="400"/>
      <c r="AL450" s="400"/>
      <c r="AM450" s="400"/>
      <c r="AN450" s="400"/>
      <c r="AO450" s="400"/>
      <c r="AP450" s="400"/>
      <c r="AQ450" s="400"/>
      <c r="AR450" s="400"/>
      <c r="AS450" s="400"/>
      <c r="AT450" s="400"/>
      <c r="AU450" s="400"/>
      <c r="AV450" s="400"/>
      <c r="AW450" s="400"/>
      <c r="AX450" s="400"/>
      <c r="AY450" s="400"/>
      <c r="AZ450" s="400"/>
      <c r="BA450" s="400"/>
    </row>
    <row r="451" s="366" customFormat="1" spans="1:53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400"/>
      <c r="AA451" s="400"/>
      <c r="AB451" s="400"/>
      <c r="AC451" s="400"/>
      <c r="AD451" s="400"/>
      <c r="AE451" s="400"/>
      <c r="AF451" s="400"/>
      <c r="AG451" s="400"/>
      <c r="AH451" s="439"/>
      <c r="AI451" s="400"/>
      <c r="AJ451" s="400"/>
      <c r="AK451" s="400"/>
      <c r="AL451" s="400"/>
      <c r="AM451" s="400"/>
      <c r="AN451" s="400"/>
      <c r="AO451" s="400"/>
      <c r="AP451" s="400"/>
      <c r="AQ451" s="400"/>
      <c r="AR451" s="400"/>
      <c r="AS451" s="400"/>
      <c r="AT451" s="400"/>
      <c r="AU451" s="400"/>
      <c r="AV451" s="400"/>
      <c r="AW451" s="400"/>
      <c r="AX451" s="400"/>
      <c r="AY451" s="400"/>
      <c r="AZ451" s="400"/>
      <c r="BA451" s="400"/>
    </row>
    <row r="452" s="366" customFormat="1" spans="1:53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400"/>
      <c r="AB452" s="400"/>
      <c r="AC452" s="400"/>
      <c r="AD452" s="400"/>
      <c r="AE452" s="400"/>
      <c r="AF452" s="400"/>
      <c r="AG452" s="400"/>
      <c r="AH452" s="439"/>
      <c r="AI452" s="400"/>
      <c r="AJ452" s="400"/>
      <c r="AK452" s="400"/>
      <c r="AL452" s="400"/>
      <c r="AM452" s="400"/>
      <c r="AN452" s="400"/>
      <c r="AO452" s="400"/>
      <c r="AP452" s="400"/>
      <c r="AQ452" s="400"/>
      <c r="AR452" s="400"/>
      <c r="AS452" s="400"/>
      <c r="AT452" s="400"/>
      <c r="AU452" s="400"/>
      <c r="AV452" s="400"/>
      <c r="AW452" s="400"/>
      <c r="AX452" s="400"/>
      <c r="AY452" s="400"/>
      <c r="AZ452" s="400"/>
      <c r="BA452" s="400"/>
    </row>
    <row r="453" s="366" customFormat="1" spans="1:53">
      <c r="A453" s="400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400"/>
      <c r="AA453" s="400"/>
      <c r="AB453" s="400"/>
      <c r="AC453" s="400"/>
      <c r="AD453" s="400"/>
      <c r="AE453" s="400"/>
      <c r="AF453" s="400"/>
      <c r="AG453" s="400"/>
      <c r="AH453" s="439"/>
      <c r="AI453" s="400"/>
      <c r="AJ453" s="400"/>
      <c r="AK453" s="400"/>
      <c r="AL453" s="400"/>
      <c r="AM453" s="400"/>
      <c r="AN453" s="400"/>
      <c r="AO453" s="400"/>
      <c r="AP453" s="400"/>
      <c r="AQ453" s="400"/>
      <c r="AR453" s="400"/>
      <c r="AS453" s="400"/>
      <c r="AT453" s="400"/>
      <c r="AU453" s="400"/>
      <c r="AV453" s="400"/>
      <c r="AW453" s="400"/>
      <c r="AX453" s="400"/>
      <c r="AY453" s="400"/>
      <c r="AZ453" s="400"/>
      <c r="BA453" s="400"/>
    </row>
    <row r="454" s="366" customFormat="1" spans="1:53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400"/>
      <c r="AA454" s="400"/>
      <c r="AB454" s="400"/>
      <c r="AC454" s="400"/>
      <c r="AD454" s="400"/>
      <c r="AE454" s="400"/>
      <c r="AF454" s="400"/>
      <c r="AG454" s="400"/>
      <c r="AH454" s="439"/>
      <c r="AI454" s="400"/>
      <c r="AJ454" s="400"/>
      <c r="AK454" s="400"/>
      <c r="AL454" s="400"/>
      <c r="AM454" s="400"/>
      <c r="AN454" s="400"/>
      <c r="AO454" s="400"/>
      <c r="AP454" s="400"/>
      <c r="AQ454" s="400"/>
      <c r="AR454" s="400"/>
      <c r="AS454" s="400"/>
      <c r="AT454" s="400"/>
      <c r="AU454" s="400"/>
      <c r="AV454" s="400"/>
      <c r="AW454" s="400"/>
      <c r="AX454" s="400"/>
      <c r="AY454" s="400"/>
      <c r="AZ454" s="400"/>
      <c r="BA454" s="400"/>
    </row>
    <row r="455" s="366" customFormat="1" spans="1:53">
      <c r="A455" s="400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400"/>
      <c r="AA455" s="400"/>
      <c r="AB455" s="400"/>
      <c r="AC455" s="400"/>
      <c r="AD455" s="400"/>
      <c r="AE455" s="400"/>
      <c r="AF455" s="400"/>
      <c r="AG455" s="400"/>
      <c r="AH455" s="439"/>
      <c r="AI455" s="400"/>
      <c r="AJ455" s="400"/>
      <c r="AK455" s="400"/>
      <c r="AL455" s="400"/>
      <c r="AM455" s="400"/>
      <c r="AN455" s="400"/>
      <c r="AO455" s="400"/>
      <c r="AP455" s="400"/>
      <c r="AQ455" s="400"/>
      <c r="AR455" s="400"/>
      <c r="AS455" s="400"/>
      <c r="AT455" s="400"/>
      <c r="AU455" s="400"/>
      <c r="AV455" s="400"/>
      <c r="AW455" s="400"/>
      <c r="AX455" s="400"/>
      <c r="AY455" s="400"/>
      <c r="AZ455" s="400"/>
      <c r="BA455" s="400"/>
    </row>
    <row r="456" s="366" customFormat="1" spans="1:53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400"/>
      <c r="AA456" s="400"/>
      <c r="AB456" s="400"/>
      <c r="AC456" s="400"/>
      <c r="AD456" s="400"/>
      <c r="AE456" s="400"/>
      <c r="AF456" s="400"/>
      <c r="AG456" s="400"/>
      <c r="AH456" s="439"/>
      <c r="AI456" s="400"/>
      <c r="AJ456" s="400"/>
      <c r="AK456" s="400"/>
      <c r="AL456" s="400"/>
      <c r="AM456" s="400"/>
      <c r="AN456" s="400"/>
      <c r="AO456" s="400"/>
      <c r="AP456" s="400"/>
      <c r="AQ456" s="400"/>
      <c r="AR456" s="400"/>
      <c r="AS456" s="400"/>
      <c r="AT456" s="400"/>
      <c r="AU456" s="400"/>
      <c r="AV456" s="400"/>
      <c r="AW456" s="400"/>
      <c r="AX456" s="400"/>
      <c r="AY456" s="400"/>
      <c r="AZ456" s="400"/>
      <c r="BA456" s="400"/>
    </row>
    <row r="457" s="366" customFormat="1" spans="1:53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400"/>
      <c r="AB457" s="400"/>
      <c r="AC457" s="400"/>
      <c r="AD457" s="400"/>
      <c r="AE457" s="400"/>
      <c r="AF457" s="400"/>
      <c r="AG457" s="400"/>
      <c r="AH457" s="439"/>
      <c r="AI457" s="400"/>
      <c r="AJ457" s="400"/>
      <c r="AK457" s="400"/>
      <c r="AL457" s="400"/>
      <c r="AM457" s="400"/>
      <c r="AN457" s="400"/>
      <c r="AO457" s="400"/>
      <c r="AP457" s="400"/>
      <c r="AQ457" s="400"/>
      <c r="AR457" s="400"/>
      <c r="AS457" s="400"/>
      <c r="AT457" s="400"/>
      <c r="AU457" s="400"/>
      <c r="AV457" s="400"/>
      <c r="AW457" s="400"/>
      <c r="AX457" s="400"/>
      <c r="AY457" s="400"/>
      <c r="AZ457" s="400"/>
      <c r="BA457" s="400"/>
    </row>
    <row r="458" s="366" customFormat="1" spans="1:53">
      <c r="A458" s="400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00"/>
      <c r="P458" s="400"/>
      <c r="Q458" s="400"/>
      <c r="R458" s="400"/>
      <c r="S458" s="400"/>
      <c r="T458" s="400"/>
      <c r="U458" s="400"/>
      <c r="V458" s="400"/>
      <c r="W458" s="400"/>
      <c r="X458" s="400"/>
      <c r="Y458" s="400"/>
      <c r="Z458" s="400"/>
      <c r="AA458" s="400"/>
      <c r="AB458" s="400"/>
      <c r="AC458" s="400"/>
      <c r="AD458" s="400"/>
      <c r="AE458" s="400"/>
      <c r="AF458" s="400"/>
      <c r="AG458" s="400"/>
      <c r="AH458" s="439"/>
      <c r="AI458" s="400"/>
      <c r="AJ458" s="400"/>
      <c r="AK458" s="400"/>
      <c r="AL458" s="400"/>
      <c r="AM458" s="400"/>
      <c r="AN458" s="400"/>
      <c r="AO458" s="400"/>
      <c r="AP458" s="400"/>
      <c r="AQ458" s="400"/>
      <c r="AR458" s="400"/>
      <c r="AS458" s="400"/>
      <c r="AT458" s="400"/>
      <c r="AU458" s="400"/>
      <c r="AV458" s="400"/>
      <c r="AW458" s="400"/>
      <c r="AX458" s="400"/>
      <c r="AY458" s="400"/>
      <c r="AZ458" s="400"/>
      <c r="BA458" s="400"/>
    </row>
    <row r="459" s="366" customFormat="1" spans="1:53">
      <c r="A459" s="400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400"/>
      <c r="AA459" s="400"/>
      <c r="AB459" s="400"/>
      <c r="AC459" s="400"/>
      <c r="AD459" s="400"/>
      <c r="AE459" s="400"/>
      <c r="AF459" s="400"/>
      <c r="AG459" s="400"/>
      <c r="AH459" s="439"/>
      <c r="AI459" s="400"/>
      <c r="AJ459" s="400"/>
      <c r="AK459" s="400"/>
      <c r="AL459" s="400"/>
      <c r="AM459" s="400"/>
      <c r="AN459" s="400"/>
      <c r="AO459" s="400"/>
      <c r="AP459" s="400"/>
      <c r="AQ459" s="400"/>
      <c r="AR459" s="400"/>
      <c r="AS459" s="400"/>
      <c r="AT459" s="400"/>
      <c r="AU459" s="400"/>
      <c r="AV459" s="400"/>
      <c r="AW459" s="400"/>
      <c r="AX459" s="400"/>
      <c r="AY459" s="400"/>
      <c r="AZ459" s="400"/>
      <c r="BA459" s="400"/>
    </row>
    <row r="460" s="366" customFormat="1" spans="1:53">
      <c r="A460" s="400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  <c r="AA460" s="400"/>
      <c r="AB460" s="400"/>
      <c r="AC460" s="400"/>
      <c r="AD460" s="400"/>
      <c r="AE460" s="400"/>
      <c r="AF460" s="400"/>
      <c r="AG460" s="400"/>
      <c r="AH460" s="439"/>
      <c r="AI460" s="400"/>
      <c r="AJ460" s="400"/>
      <c r="AK460" s="400"/>
      <c r="AL460" s="400"/>
      <c r="AM460" s="400"/>
      <c r="AN460" s="400"/>
      <c r="AO460" s="400"/>
      <c r="AP460" s="400"/>
      <c r="AQ460" s="400"/>
      <c r="AR460" s="400"/>
      <c r="AS460" s="400"/>
      <c r="AT460" s="400"/>
      <c r="AU460" s="400"/>
      <c r="AV460" s="400"/>
      <c r="AW460" s="400"/>
      <c r="AX460" s="400"/>
      <c r="AY460" s="400"/>
      <c r="AZ460" s="400"/>
      <c r="BA460" s="400"/>
    </row>
    <row r="461" s="366" customFormat="1" spans="1:53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0"/>
      <c r="P461" s="400"/>
      <c r="Q461" s="400"/>
      <c r="R461" s="400"/>
      <c r="S461" s="400"/>
      <c r="T461" s="400"/>
      <c r="U461" s="400"/>
      <c r="V461" s="400"/>
      <c r="W461" s="400"/>
      <c r="X461" s="400"/>
      <c r="Y461" s="400"/>
      <c r="Z461" s="400"/>
      <c r="AA461" s="400"/>
      <c r="AB461" s="400"/>
      <c r="AC461" s="400"/>
      <c r="AD461" s="400"/>
      <c r="AE461" s="400"/>
      <c r="AF461" s="400"/>
      <c r="AG461" s="400"/>
      <c r="AH461" s="439"/>
      <c r="AI461" s="400"/>
      <c r="AJ461" s="400"/>
      <c r="AK461" s="400"/>
      <c r="AL461" s="400"/>
      <c r="AM461" s="400"/>
      <c r="AN461" s="400"/>
      <c r="AO461" s="400"/>
      <c r="AP461" s="400"/>
      <c r="AQ461" s="400"/>
      <c r="AR461" s="400"/>
      <c r="AS461" s="400"/>
      <c r="AT461" s="400"/>
      <c r="AU461" s="400"/>
      <c r="AV461" s="400"/>
      <c r="AW461" s="400"/>
      <c r="AX461" s="400"/>
      <c r="AY461" s="400"/>
      <c r="AZ461" s="400"/>
      <c r="BA461" s="400"/>
    </row>
    <row r="462" s="366" customFormat="1" spans="1:53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400"/>
      <c r="AA462" s="400"/>
      <c r="AB462" s="400"/>
      <c r="AC462" s="400"/>
      <c r="AD462" s="400"/>
      <c r="AE462" s="400"/>
      <c r="AF462" s="400"/>
      <c r="AG462" s="400"/>
      <c r="AH462" s="439"/>
      <c r="AI462" s="400"/>
      <c r="AJ462" s="400"/>
      <c r="AK462" s="400"/>
      <c r="AL462" s="400"/>
      <c r="AM462" s="400"/>
      <c r="AN462" s="400"/>
      <c r="AO462" s="400"/>
      <c r="AP462" s="400"/>
      <c r="AQ462" s="400"/>
      <c r="AR462" s="400"/>
      <c r="AS462" s="400"/>
      <c r="AT462" s="400"/>
      <c r="AU462" s="400"/>
      <c r="AV462" s="400"/>
      <c r="AW462" s="400"/>
      <c r="AX462" s="400"/>
      <c r="AY462" s="400"/>
      <c r="AZ462" s="400"/>
      <c r="BA462" s="400"/>
    </row>
    <row r="463" s="366" customFormat="1" spans="1:53">
      <c r="A463" s="400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400"/>
      <c r="AB463" s="400"/>
      <c r="AC463" s="400"/>
      <c r="AD463" s="400"/>
      <c r="AE463" s="400"/>
      <c r="AF463" s="400"/>
      <c r="AG463" s="400"/>
      <c r="AH463" s="439"/>
      <c r="AI463" s="400"/>
      <c r="AJ463" s="400"/>
      <c r="AK463" s="400"/>
      <c r="AL463" s="400"/>
      <c r="AM463" s="400"/>
      <c r="AN463" s="400"/>
      <c r="AO463" s="400"/>
      <c r="AP463" s="400"/>
      <c r="AQ463" s="400"/>
      <c r="AR463" s="400"/>
      <c r="AS463" s="400"/>
      <c r="AT463" s="400"/>
      <c r="AU463" s="400"/>
      <c r="AV463" s="400"/>
      <c r="AW463" s="400"/>
      <c r="AX463" s="400"/>
      <c r="AY463" s="400"/>
      <c r="AZ463" s="400"/>
      <c r="BA463" s="400"/>
    </row>
    <row r="464" s="366" customFormat="1" spans="1:53">
      <c r="A464" s="400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400"/>
      <c r="AB464" s="400"/>
      <c r="AC464" s="400"/>
      <c r="AD464" s="400"/>
      <c r="AE464" s="400"/>
      <c r="AF464" s="400"/>
      <c r="AG464" s="400"/>
      <c r="AH464" s="439"/>
      <c r="AI464" s="400"/>
      <c r="AJ464" s="400"/>
      <c r="AK464" s="400"/>
      <c r="AL464" s="400"/>
      <c r="AM464" s="400"/>
      <c r="AN464" s="400"/>
      <c r="AO464" s="400"/>
      <c r="AP464" s="400"/>
      <c r="AQ464" s="400"/>
      <c r="AR464" s="400"/>
      <c r="AS464" s="400"/>
      <c r="AT464" s="400"/>
      <c r="AU464" s="400"/>
      <c r="AV464" s="400"/>
      <c r="AW464" s="400"/>
      <c r="AX464" s="400"/>
      <c r="AY464" s="400"/>
      <c r="AZ464" s="400"/>
      <c r="BA464" s="400"/>
    </row>
    <row r="465" s="366" customFormat="1" spans="1:53">
      <c r="A465" s="400"/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400"/>
      <c r="AB465" s="400"/>
      <c r="AC465" s="400"/>
      <c r="AD465" s="400"/>
      <c r="AE465" s="400"/>
      <c r="AF465" s="400"/>
      <c r="AG465" s="400"/>
      <c r="AH465" s="439"/>
      <c r="AI465" s="400"/>
      <c r="AJ465" s="400"/>
      <c r="AK465" s="400"/>
      <c r="AL465" s="400"/>
      <c r="AM465" s="400"/>
      <c r="AN465" s="400"/>
      <c r="AO465" s="400"/>
      <c r="AP465" s="400"/>
      <c r="AQ465" s="400"/>
      <c r="AR465" s="400"/>
      <c r="AS465" s="400"/>
      <c r="AT465" s="400"/>
      <c r="AU465" s="400"/>
      <c r="AV465" s="400"/>
      <c r="AW465" s="400"/>
      <c r="AX465" s="400"/>
      <c r="AY465" s="400"/>
      <c r="AZ465" s="400"/>
      <c r="BA465" s="400"/>
    </row>
    <row r="466" s="366" customFormat="1" spans="1:53">
      <c r="A466" s="400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0"/>
      <c r="P466" s="400"/>
      <c r="Q466" s="400"/>
      <c r="R466" s="400"/>
      <c r="S466" s="400"/>
      <c r="T466" s="400"/>
      <c r="U466" s="400"/>
      <c r="V466" s="400"/>
      <c r="W466" s="400"/>
      <c r="X466" s="400"/>
      <c r="Y466" s="400"/>
      <c r="Z466" s="400"/>
      <c r="AA466" s="400"/>
      <c r="AB466" s="400"/>
      <c r="AC466" s="400"/>
      <c r="AD466" s="400"/>
      <c r="AE466" s="400"/>
      <c r="AF466" s="400"/>
      <c r="AG466" s="400"/>
      <c r="AH466" s="439"/>
      <c r="AI466" s="400"/>
      <c r="AJ466" s="400"/>
      <c r="AK466" s="400"/>
      <c r="AL466" s="400"/>
      <c r="AM466" s="400"/>
      <c r="AN466" s="400"/>
      <c r="AO466" s="400"/>
      <c r="AP466" s="400"/>
      <c r="AQ466" s="400"/>
      <c r="AR466" s="400"/>
      <c r="AS466" s="400"/>
      <c r="AT466" s="400"/>
      <c r="AU466" s="400"/>
      <c r="AV466" s="400"/>
      <c r="AW466" s="400"/>
      <c r="AX466" s="400"/>
      <c r="AY466" s="400"/>
      <c r="AZ466" s="400"/>
      <c r="BA466" s="400"/>
    </row>
    <row r="467" s="366" customFormat="1" spans="1:53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0"/>
      <c r="P467" s="400"/>
      <c r="Q467" s="400"/>
      <c r="R467" s="400"/>
      <c r="S467" s="400"/>
      <c r="T467" s="400"/>
      <c r="U467" s="400"/>
      <c r="V467" s="400"/>
      <c r="W467" s="400"/>
      <c r="X467" s="400"/>
      <c r="Y467" s="400"/>
      <c r="Z467" s="400"/>
      <c r="AA467" s="400"/>
      <c r="AB467" s="400"/>
      <c r="AC467" s="400"/>
      <c r="AD467" s="400"/>
      <c r="AE467" s="400"/>
      <c r="AF467" s="400"/>
      <c r="AG467" s="400"/>
      <c r="AH467" s="439"/>
      <c r="AI467" s="400"/>
      <c r="AJ467" s="400"/>
      <c r="AK467" s="400"/>
      <c r="AL467" s="400"/>
      <c r="AM467" s="400"/>
      <c r="AN467" s="400"/>
      <c r="AO467" s="400"/>
      <c r="AP467" s="400"/>
      <c r="AQ467" s="400"/>
      <c r="AR467" s="400"/>
      <c r="AS467" s="400"/>
      <c r="AT467" s="400"/>
      <c r="AU467" s="400"/>
      <c r="AV467" s="400"/>
      <c r="AW467" s="400"/>
      <c r="AX467" s="400"/>
      <c r="AY467" s="400"/>
      <c r="AZ467" s="400"/>
      <c r="BA467" s="400"/>
    </row>
    <row r="468" s="366" customFormat="1" spans="1:53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400"/>
      <c r="AB468" s="400"/>
      <c r="AC468" s="400"/>
      <c r="AD468" s="400"/>
      <c r="AE468" s="400"/>
      <c r="AF468" s="400"/>
      <c r="AG468" s="400"/>
      <c r="AH468" s="439"/>
      <c r="AI468" s="400"/>
      <c r="AJ468" s="400"/>
      <c r="AK468" s="400"/>
      <c r="AL468" s="400"/>
      <c r="AM468" s="400"/>
      <c r="AN468" s="400"/>
      <c r="AO468" s="400"/>
      <c r="AP468" s="400"/>
      <c r="AQ468" s="400"/>
      <c r="AR468" s="400"/>
      <c r="AS468" s="400"/>
      <c r="AT468" s="400"/>
      <c r="AU468" s="400"/>
      <c r="AV468" s="400"/>
      <c r="AW468" s="400"/>
      <c r="AX468" s="400"/>
      <c r="AY468" s="400"/>
      <c r="AZ468" s="400"/>
      <c r="BA468" s="400"/>
    </row>
    <row r="469" s="366" customFormat="1" spans="1:53">
      <c r="A469" s="400"/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  <c r="AA469" s="400"/>
      <c r="AB469" s="400"/>
      <c r="AC469" s="400"/>
      <c r="AD469" s="400"/>
      <c r="AE469" s="400"/>
      <c r="AF469" s="400"/>
      <c r="AG469" s="400"/>
      <c r="AH469" s="439"/>
      <c r="AI469" s="400"/>
      <c r="AJ469" s="400"/>
      <c r="AK469" s="400"/>
      <c r="AL469" s="400"/>
      <c r="AM469" s="400"/>
      <c r="AN469" s="400"/>
      <c r="AO469" s="400"/>
      <c r="AP469" s="400"/>
      <c r="AQ469" s="400"/>
      <c r="AR469" s="400"/>
      <c r="AS469" s="400"/>
      <c r="AT469" s="400"/>
      <c r="AU469" s="400"/>
      <c r="AV469" s="400"/>
      <c r="AW469" s="400"/>
      <c r="AX469" s="400"/>
      <c r="AY469" s="400"/>
      <c r="AZ469" s="400"/>
      <c r="BA469" s="400"/>
    </row>
    <row r="470" s="366" customFormat="1" spans="1:53">
      <c r="A470" s="400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  <c r="AA470" s="400"/>
      <c r="AB470" s="400"/>
      <c r="AC470" s="400"/>
      <c r="AD470" s="400"/>
      <c r="AE470" s="400"/>
      <c r="AF470" s="400"/>
      <c r="AG470" s="400"/>
      <c r="AH470" s="439"/>
      <c r="AI470" s="400"/>
      <c r="AJ470" s="400"/>
      <c r="AK470" s="400"/>
      <c r="AL470" s="400"/>
      <c r="AM470" s="400"/>
      <c r="AN470" s="400"/>
      <c r="AO470" s="400"/>
      <c r="AP470" s="400"/>
      <c r="AQ470" s="400"/>
      <c r="AR470" s="400"/>
      <c r="AS470" s="400"/>
      <c r="AT470" s="400"/>
      <c r="AU470" s="400"/>
      <c r="AV470" s="400"/>
      <c r="AW470" s="400"/>
      <c r="AX470" s="400"/>
      <c r="AY470" s="400"/>
      <c r="AZ470" s="400"/>
      <c r="BA470" s="400"/>
    </row>
    <row r="471" s="366" customFormat="1" spans="1:53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00"/>
      <c r="O471" s="400"/>
      <c r="P471" s="400"/>
      <c r="Q471" s="400"/>
      <c r="R471" s="400"/>
      <c r="S471" s="400"/>
      <c r="T471" s="400"/>
      <c r="U471" s="400"/>
      <c r="V471" s="400"/>
      <c r="W471" s="400"/>
      <c r="X471" s="400"/>
      <c r="Y471" s="400"/>
      <c r="Z471" s="400"/>
      <c r="AA471" s="400"/>
      <c r="AB471" s="400"/>
      <c r="AC471" s="400"/>
      <c r="AD471" s="400"/>
      <c r="AE471" s="400"/>
      <c r="AF471" s="400"/>
      <c r="AG471" s="400"/>
      <c r="AH471" s="439"/>
      <c r="AI471" s="400"/>
      <c r="AJ471" s="400"/>
      <c r="AK471" s="400"/>
      <c r="AL471" s="400"/>
      <c r="AM471" s="400"/>
      <c r="AN471" s="400"/>
      <c r="AO471" s="400"/>
      <c r="AP471" s="400"/>
      <c r="AQ471" s="400"/>
      <c r="AR471" s="400"/>
      <c r="AS471" s="400"/>
      <c r="AT471" s="400"/>
      <c r="AU471" s="400"/>
      <c r="AV471" s="400"/>
      <c r="AW471" s="400"/>
      <c r="AX471" s="400"/>
      <c r="AY471" s="400"/>
      <c r="AZ471" s="400"/>
      <c r="BA471" s="400"/>
    </row>
    <row r="472" s="366" customFormat="1" spans="1:53">
      <c r="A472" s="400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00"/>
      <c r="P472" s="400"/>
      <c r="Q472" s="400"/>
      <c r="R472" s="400"/>
      <c r="S472" s="400"/>
      <c r="T472" s="400"/>
      <c r="U472" s="400"/>
      <c r="V472" s="400"/>
      <c r="W472" s="400"/>
      <c r="X472" s="400"/>
      <c r="Y472" s="400"/>
      <c r="Z472" s="400"/>
      <c r="AA472" s="400"/>
      <c r="AB472" s="400"/>
      <c r="AC472" s="400"/>
      <c r="AD472" s="400"/>
      <c r="AE472" s="400"/>
      <c r="AF472" s="400"/>
      <c r="AG472" s="400"/>
      <c r="AH472" s="439"/>
      <c r="AI472" s="400"/>
      <c r="AJ472" s="400"/>
      <c r="AK472" s="400"/>
      <c r="AL472" s="400"/>
      <c r="AM472" s="400"/>
      <c r="AN472" s="400"/>
      <c r="AO472" s="400"/>
      <c r="AP472" s="400"/>
      <c r="AQ472" s="400"/>
      <c r="AR472" s="400"/>
      <c r="AS472" s="400"/>
      <c r="AT472" s="400"/>
      <c r="AU472" s="400"/>
      <c r="AV472" s="400"/>
      <c r="AW472" s="400"/>
      <c r="AX472" s="400"/>
      <c r="AY472" s="400"/>
      <c r="AZ472" s="400"/>
      <c r="BA472" s="400"/>
    </row>
    <row r="473" s="366" customFormat="1" spans="1:53">
      <c r="A473" s="400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400"/>
      <c r="AA473" s="400"/>
      <c r="AB473" s="400"/>
      <c r="AC473" s="400"/>
      <c r="AD473" s="400"/>
      <c r="AE473" s="400"/>
      <c r="AF473" s="400"/>
      <c r="AG473" s="400"/>
      <c r="AH473" s="439"/>
      <c r="AI473" s="400"/>
      <c r="AJ473" s="400"/>
      <c r="AK473" s="400"/>
      <c r="AL473" s="400"/>
      <c r="AM473" s="400"/>
      <c r="AN473" s="400"/>
      <c r="AO473" s="400"/>
      <c r="AP473" s="400"/>
      <c r="AQ473" s="400"/>
      <c r="AR473" s="400"/>
      <c r="AS473" s="400"/>
      <c r="AT473" s="400"/>
      <c r="AU473" s="400"/>
      <c r="AV473" s="400"/>
      <c r="AW473" s="400"/>
      <c r="AX473" s="400"/>
      <c r="AY473" s="400"/>
      <c r="AZ473" s="400"/>
      <c r="BA473" s="400"/>
    </row>
    <row r="474" spans="1:53">
      <c r="A474" s="282"/>
      <c r="B474" s="282"/>
      <c r="C474" s="282"/>
      <c r="D474" s="282"/>
      <c r="E474" s="282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  <c r="AD474" s="282"/>
      <c r="AE474" s="282"/>
      <c r="AF474" s="282"/>
      <c r="AG474" s="282"/>
      <c r="AH474" s="281"/>
      <c r="AI474" s="282"/>
      <c r="AJ474" s="282"/>
      <c r="AK474" s="282"/>
      <c r="AL474" s="282"/>
      <c r="AM474" s="282"/>
      <c r="AN474" s="282"/>
      <c r="AO474" s="282"/>
      <c r="AP474" s="282"/>
      <c r="AQ474" s="282"/>
      <c r="AR474" s="282"/>
      <c r="AS474" s="282"/>
      <c r="AT474" s="282"/>
      <c r="AU474" s="282"/>
      <c r="AV474" s="282"/>
      <c r="AW474" s="282"/>
      <c r="AX474" s="282"/>
      <c r="AY474" s="282"/>
      <c r="AZ474" s="282"/>
      <c r="BA474" s="282"/>
    </row>
    <row r="475" spans="1:53">
      <c r="A475" s="282"/>
      <c r="B475" s="282"/>
      <c r="C475" s="282"/>
      <c r="D475" s="282"/>
      <c r="E475" s="282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  <c r="AD475" s="282"/>
      <c r="AE475" s="282"/>
      <c r="AF475" s="282"/>
      <c r="AG475" s="282"/>
      <c r="AH475" s="281"/>
      <c r="AI475" s="282"/>
      <c r="AJ475" s="282"/>
      <c r="AK475" s="282"/>
      <c r="AL475" s="282"/>
      <c r="AM475" s="282"/>
      <c r="AN475" s="282"/>
      <c r="AO475" s="282"/>
      <c r="AP475" s="282"/>
      <c r="AQ475" s="282"/>
      <c r="AR475" s="282"/>
      <c r="AS475" s="282"/>
      <c r="AT475" s="282"/>
      <c r="AU475" s="282"/>
      <c r="AV475" s="282"/>
      <c r="AW475" s="282"/>
      <c r="AX475" s="282"/>
      <c r="AY475" s="282"/>
      <c r="AZ475" s="282"/>
      <c r="BA475" s="282"/>
    </row>
    <row r="476" spans="1:53">
      <c r="A476" s="282"/>
      <c r="B476" s="282"/>
      <c r="C476" s="282"/>
      <c r="D476" s="282"/>
      <c r="E476" s="282"/>
      <c r="F476" s="282"/>
      <c r="G476" s="282"/>
      <c r="H476" s="282"/>
      <c r="I476" s="282"/>
      <c r="J476" s="282"/>
      <c r="K476" s="282"/>
      <c r="L476" s="282"/>
      <c r="M476" s="282"/>
      <c r="N476" s="282"/>
      <c r="O476" s="282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  <c r="AA476" s="282"/>
      <c r="AB476" s="282"/>
      <c r="AC476" s="282"/>
      <c r="AD476" s="282"/>
      <c r="AE476" s="282"/>
      <c r="AF476" s="282"/>
      <c r="AG476" s="282"/>
      <c r="AH476" s="281"/>
      <c r="AI476" s="282"/>
      <c r="AJ476" s="282"/>
      <c r="AK476" s="282"/>
      <c r="AL476" s="282"/>
      <c r="AM476" s="282"/>
      <c r="AN476" s="282"/>
      <c r="AO476" s="282"/>
      <c r="AP476" s="282"/>
      <c r="AQ476" s="282"/>
      <c r="AR476" s="282"/>
      <c r="AS476" s="282"/>
      <c r="AT476" s="282"/>
      <c r="AU476" s="282"/>
      <c r="AV476" s="282"/>
      <c r="AW476" s="282"/>
      <c r="AX476" s="282"/>
      <c r="AY476" s="282"/>
      <c r="AZ476" s="282"/>
      <c r="BA476" s="282"/>
    </row>
    <row r="477" spans="1:53">
      <c r="A477" s="282"/>
      <c r="B477" s="282"/>
      <c r="C477" s="282"/>
      <c r="D477" s="282"/>
      <c r="E477" s="282"/>
      <c r="F477" s="282"/>
      <c r="G477" s="282"/>
      <c r="H477" s="282"/>
      <c r="I477" s="282"/>
      <c r="J477" s="282"/>
      <c r="K477" s="282"/>
      <c r="L477" s="282"/>
      <c r="M477" s="282"/>
      <c r="N477" s="282"/>
      <c r="O477" s="282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  <c r="AA477" s="282"/>
      <c r="AB477" s="282"/>
      <c r="AC477" s="282"/>
      <c r="AD477" s="282"/>
      <c r="AE477" s="282"/>
      <c r="AF477" s="282"/>
      <c r="AG477" s="282"/>
      <c r="AH477" s="281"/>
      <c r="AI477" s="282"/>
      <c r="AJ477" s="282"/>
      <c r="AK477" s="282"/>
      <c r="AL477" s="282"/>
      <c r="AM477" s="282"/>
      <c r="AN477" s="282"/>
      <c r="AO477" s="282"/>
      <c r="AP477" s="282"/>
      <c r="AQ477" s="282"/>
      <c r="AR477" s="282"/>
      <c r="AS477" s="282"/>
      <c r="AT477" s="282"/>
      <c r="AU477" s="282"/>
      <c r="AV477" s="282"/>
      <c r="AW477" s="282"/>
      <c r="AX477" s="282"/>
      <c r="AY477" s="282"/>
      <c r="AZ477" s="282"/>
      <c r="BA477" s="282"/>
    </row>
    <row r="478" spans="1:53">
      <c r="A478" s="282"/>
      <c r="B478" s="282"/>
      <c r="C478" s="282"/>
      <c r="D478" s="282"/>
      <c r="E478" s="282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  <c r="AD478" s="282"/>
      <c r="AE478" s="282"/>
      <c r="AF478" s="282"/>
      <c r="AG478" s="282"/>
      <c r="AH478" s="281"/>
      <c r="AI478" s="282"/>
      <c r="AJ478" s="282"/>
      <c r="AK478" s="282"/>
      <c r="AL478" s="282"/>
      <c r="AM478" s="282"/>
      <c r="AN478" s="282"/>
      <c r="AO478" s="282"/>
      <c r="AP478" s="282"/>
      <c r="AQ478" s="282"/>
      <c r="AR478" s="282"/>
      <c r="AS478" s="282"/>
      <c r="AT478" s="282"/>
      <c r="AU478" s="282"/>
      <c r="AV478" s="282"/>
      <c r="AW478" s="282"/>
      <c r="AX478" s="282"/>
      <c r="AY478" s="282"/>
      <c r="AZ478" s="282"/>
      <c r="BA478" s="282"/>
    </row>
    <row r="479" spans="1:53">
      <c r="A479" s="282"/>
      <c r="B479" s="282"/>
      <c r="C479" s="282"/>
      <c r="D479" s="282"/>
      <c r="E479" s="282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  <c r="AD479" s="282"/>
      <c r="AE479" s="282"/>
      <c r="AF479" s="282"/>
      <c r="AG479" s="282"/>
      <c r="AH479" s="281"/>
      <c r="AI479" s="282"/>
      <c r="AJ479" s="282"/>
      <c r="AK479" s="282"/>
      <c r="AL479" s="282"/>
      <c r="AM479" s="282"/>
      <c r="AN479" s="282"/>
      <c r="AO479" s="282"/>
      <c r="AP479" s="282"/>
      <c r="AQ479" s="282"/>
      <c r="AR479" s="282"/>
      <c r="AS479" s="282"/>
      <c r="AT479" s="282"/>
      <c r="AU479" s="282"/>
      <c r="AV479" s="282"/>
      <c r="AW479" s="282"/>
      <c r="AX479" s="282"/>
      <c r="AY479" s="282"/>
      <c r="AZ479" s="282"/>
      <c r="BA479" s="282"/>
    </row>
    <row r="480" spans="1:53">
      <c r="A480" s="282"/>
      <c r="B480" s="282"/>
      <c r="C480" s="282"/>
      <c r="D480" s="282"/>
      <c r="E480" s="282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  <c r="AC480" s="282"/>
      <c r="AD480" s="282"/>
      <c r="AE480" s="282"/>
      <c r="AF480" s="282"/>
      <c r="AG480" s="282"/>
      <c r="AH480" s="281"/>
      <c r="AI480" s="282"/>
      <c r="AJ480" s="282"/>
      <c r="AK480" s="282"/>
      <c r="AL480" s="282"/>
      <c r="AM480" s="282"/>
      <c r="AN480" s="282"/>
      <c r="AO480" s="282"/>
      <c r="AP480" s="282"/>
      <c r="AQ480" s="282"/>
      <c r="AR480" s="282"/>
      <c r="AS480" s="282"/>
      <c r="AT480" s="282"/>
      <c r="AU480" s="282"/>
      <c r="AV480" s="282"/>
      <c r="AW480" s="282"/>
      <c r="AX480" s="282"/>
      <c r="AY480" s="282"/>
      <c r="AZ480" s="282"/>
      <c r="BA480" s="282"/>
    </row>
    <row r="481" spans="1:53">
      <c r="A481" s="282"/>
      <c r="B481" s="282"/>
      <c r="C481" s="282"/>
      <c r="D481" s="282"/>
      <c r="E481" s="282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  <c r="AA481" s="282"/>
      <c r="AB481" s="282"/>
      <c r="AC481" s="282"/>
      <c r="AD481" s="282"/>
      <c r="AE481" s="282"/>
      <c r="AF481" s="282"/>
      <c r="AG481" s="282"/>
      <c r="AH481" s="281"/>
      <c r="AI481" s="282"/>
      <c r="AJ481" s="282"/>
      <c r="AK481" s="282"/>
      <c r="AL481" s="282"/>
      <c r="AM481" s="282"/>
      <c r="AN481" s="282"/>
      <c r="AO481" s="282"/>
      <c r="AP481" s="282"/>
      <c r="AQ481" s="282"/>
      <c r="AR481" s="282"/>
      <c r="AS481" s="282"/>
      <c r="AT481" s="282"/>
      <c r="AU481" s="282"/>
      <c r="AV481" s="282"/>
      <c r="AW481" s="282"/>
      <c r="AX481" s="282"/>
      <c r="AY481" s="282"/>
      <c r="AZ481" s="282"/>
      <c r="BA481" s="282"/>
    </row>
    <row r="482" spans="1:53">
      <c r="A482" s="282"/>
      <c r="B482" s="282"/>
      <c r="C482" s="282"/>
      <c r="D482" s="282"/>
      <c r="E482" s="282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  <c r="AA482" s="282"/>
      <c r="AB482" s="282"/>
      <c r="AC482" s="282"/>
      <c r="AD482" s="282"/>
      <c r="AE482" s="282"/>
      <c r="AF482" s="282"/>
      <c r="AG482" s="282"/>
      <c r="AH482" s="281"/>
      <c r="AI482" s="282"/>
      <c r="AJ482" s="282"/>
      <c r="AK482" s="282"/>
      <c r="AL482" s="282"/>
      <c r="AM482" s="282"/>
      <c r="AN482" s="282"/>
      <c r="AO482" s="282"/>
      <c r="AP482" s="282"/>
      <c r="AQ482" s="282"/>
      <c r="AR482" s="282"/>
      <c r="AS482" s="282"/>
      <c r="AT482" s="282"/>
      <c r="AU482" s="282"/>
      <c r="AV482" s="282"/>
      <c r="AW482" s="282"/>
      <c r="AX482" s="282"/>
      <c r="AY482" s="282"/>
      <c r="AZ482" s="282"/>
      <c r="BA482" s="282"/>
    </row>
    <row r="483" spans="1:53">
      <c r="A483" s="282"/>
      <c r="B483" s="282"/>
      <c r="C483" s="282"/>
      <c r="D483" s="282"/>
      <c r="E483" s="282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  <c r="AA483" s="282"/>
      <c r="AB483" s="282"/>
      <c r="AC483" s="282"/>
      <c r="AD483" s="282"/>
      <c r="AE483" s="282"/>
      <c r="AF483" s="282"/>
      <c r="AG483" s="282"/>
      <c r="AH483" s="281"/>
      <c r="AI483" s="282"/>
      <c r="AJ483" s="282"/>
      <c r="AK483" s="282"/>
      <c r="AL483" s="282"/>
      <c r="AM483" s="282"/>
      <c r="AN483" s="282"/>
      <c r="AO483" s="282"/>
      <c r="AP483" s="282"/>
      <c r="AQ483" s="282"/>
      <c r="AR483" s="282"/>
      <c r="AS483" s="282"/>
      <c r="AT483" s="282"/>
      <c r="AU483" s="282"/>
      <c r="AV483" s="282"/>
      <c r="AW483" s="282"/>
      <c r="AX483" s="282"/>
      <c r="AY483" s="282"/>
      <c r="AZ483" s="282"/>
      <c r="BA483" s="282"/>
    </row>
    <row r="484" spans="1:53">
      <c r="A484" s="282"/>
      <c r="B484" s="282"/>
      <c r="C484" s="282"/>
      <c r="D484" s="282"/>
      <c r="E484" s="282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  <c r="AA484" s="282"/>
      <c r="AB484" s="282"/>
      <c r="AC484" s="282"/>
      <c r="AD484" s="282"/>
      <c r="AE484" s="282"/>
      <c r="AF484" s="282"/>
      <c r="AG484" s="282"/>
      <c r="AH484" s="281"/>
      <c r="AI484" s="282"/>
      <c r="AJ484" s="282"/>
      <c r="AK484" s="282"/>
      <c r="AL484" s="282"/>
      <c r="AM484" s="282"/>
      <c r="AN484" s="282"/>
      <c r="AO484" s="282"/>
      <c r="AP484" s="282"/>
      <c r="AQ484" s="282"/>
      <c r="AR484" s="282"/>
      <c r="AS484" s="282"/>
      <c r="AT484" s="282"/>
      <c r="AU484" s="282"/>
      <c r="AV484" s="282"/>
      <c r="AW484" s="282"/>
      <c r="AX484" s="282"/>
      <c r="AY484" s="282"/>
      <c r="AZ484" s="282"/>
      <c r="BA484" s="282"/>
    </row>
    <row r="485" spans="1:53">
      <c r="A485" s="282"/>
      <c r="B485" s="282"/>
      <c r="C485" s="282"/>
      <c r="D485" s="282"/>
      <c r="E485" s="282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  <c r="AA485" s="282"/>
      <c r="AB485" s="282"/>
      <c r="AC485" s="282"/>
      <c r="AD485" s="282"/>
      <c r="AE485" s="282"/>
      <c r="AF485" s="282"/>
      <c r="AG485" s="282"/>
      <c r="AH485" s="281"/>
      <c r="AI485" s="282"/>
      <c r="AJ485" s="282"/>
      <c r="AK485" s="282"/>
      <c r="AL485" s="282"/>
      <c r="AM485" s="282"/>
      <c r="AN485" s="282"/>
      <c r="AO485" s="282"/>
      <c r="AP485" s="282"/>
      <c r="AQ485" s="282"/>
      <c r="AR485" s="282"/>
      <c r="AS485" s="282"/>
      <c r="AT485" s="282"/>
      <c r="AU485" s="282"/>
      <c r="AV485" s="282"/>
      <c r="AW485" s="282"/>
      <c r="AX485" s="282"/>
      <c r="AY485" s="282"/>
      <c r="AZ485" s="282"/>
      <c r="BA485" s="282"/>
    </row>
    <row r="486" spans="1:53">
      <c r="A486" s="282"/>
      <c r="B486" s="282"/>
      <c r="C486" s="282"/>
      <c r="D486" s="282"/>
      <c r="E486" s="282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  <c r="AA486" s="282"/>
      <c r="AB486" s="282"/>
      <c r="AC486" s="282"/>
      <c r="AD486" s="282"/>
      <c r="AE486" s="282"/>
      <c r="AF486" s="282"/>
      <c r="AG486" s="282"/>
      <c r="AH486" s="281"/>
      <c r="AI486" s="282"/>
      <c r="AJ486" s="282"/>
      <c r="AK486" s="282"/>
      <c r="AL486" s="282"/>
      <c r="AM486" s="282"/>
      <c r="AN486" s="282"/>
      <c r="AO486" s="282"/>
      <c r="AP486" s="282"/>
      <c r="AQ486" s="282"/>
      <c r="AR486" s="282"/>
      <c r="AS486" s="282"/>
      <c r="AT486" s="282"/>
      <c r="AU486" s="282"/>
      <c r="AV486" s="282"/>
      <c r="AW486" s="282"/>
      <c r="AX486" s="282"/>
      <c r="AY486" s="282"/>
      <c r="AZ486" s="282"/>
      <c r="BA486" s="282"/>
    </row>
    <row r="487" spans="1:53">
      <c r="A487" s="282"/>
      <c r="B487" s="282"/>
      <c r="C487" s="282"/>
      <c r="D487" s="282"/>
      <c r="E487" s="282"/>
      <c r="F487" s="282"/>
      <c r="G487" s="282"/>
      <c r="H487" s="282"/>
      <c r="I487" s="282"/>
      <c r="J487" s="282"/>
      <c r="K487" s="282"/>
      <c r="L487" s="282"/>
      <c r="M487" s="282"/>
      <c r="N487" s="282"/>
      <c r="O487" s="282"/>
      <c r="P487" s="282"/>
      <c r="Q487" s="282"/>
      <c r="R487" s="282"/>
      <c r="S487" s="282"/>
      <c r="T487" s="282"/>
      <c r="U487" s="282"/>
      <c r="V487" s="282"/>
      <c r="W487" s="282"/>
      <c r="X487" s="282"/>
      <c r="Y487" s="282"/>
      <c r="Z487" s="282"/>
      <c r="AA487" s="282"/>
      <c r="AB487" s="282"/>
      <c r="AC487" s="282"/>
      <c r="AD487" s="282"/>
      <c r="AE487" s="282"/>
      <c r="AF487" s="282"/>
      <c r="AG487" s="282"/>
      <c r="AH487" s="281"/>
      <c r="AI487" s="282"/>
      <c r="AJ487" s="282"/>
      <c r="AK487" s="282"/>
      <c r="AL487" s="282"/>
      <c r="AM487" s="282"/>
      <c r="AN487" s="282"/>
      <c r="AO487" s="282"/>
      <c r="AP487" s="282"/>
      <c r="AQ487" s="282"/>
      <c r="AR487" s="282"/>
      <c r="AS487" s="282"/>
      <c r="AT487" s="282"/>
      <c r="AU487" s="282"/>
      <c r="AV487" s="282"/>
      <c r="AW487" s="282"/>
      <c r="AX487" s="282"/>
      <c r="AY487" s="282"/>
      <c r="AZ487" s="282"/>
      <c r="BA487" s="282"/>
    </row>
    <row r="488" spans="1:53">
      <c r="A488" s="282"/>
      <c r="B488" s="282"/>
      <c r="C488" s="282"/>
      <c r="D488" s="282"/>
      <c r="E488" s="282"/>
      <c r="F488" s="282"/>
      <c r="G488" s="282"/>
      <c r="H488" s="282"/>
      <c r="I488" s="282"/>
      <c r="J488" s="282"/>
      <c r="K488" s="282"/>
      <c r="L488" s="282"/>
      <c r="M488" s="282"/>
      <c r="N488" s="282"/>
      <c r="O488" s="282"/>
      <c r="P488" s="282"/>
      <c r="Q488" s="282"/>
      <c r="R488" s="282"/>
      <c r="S488" s="282"/>
      <c r="T488" s="282"/>
      <c r="U488" s="282"/>
      <c r="V488" s="282"/>
      <c r="W488" s="282"/>
      <c r="X488" s="282"/>
      <c r="Y488" s="282"/>
      <c r="Z488" s="282"/>
      <c r="AA488" s="282"/>
      <c r="AB488" s="282"/>
      <c r="AC488" s="282"/>
      <c r="AD488" s="282"/>
      <c r="AE488" s="282"/>
      <c r="AF488" s="282"/>
      <c r="AG488" s="282"/>
      <c r="AH488" s="281"/>
      <c r="AI488" s="282"/>
      <c r="AJ488" s="282"/>
      <c r="AK488" s="282"/>
      <c r="AL488" s="282"/>
      <c r="AM488" s="282"/>
      <c r="AN488" s="282"/>
      <c r="AO488" s="282"/>
      <c r="AP488" s="282"/>
      <c r="AQ488" s="282"/>
      <c r="AR488" s="282"/>
      <c r="AS488" s="282"/>
      <c r="AT488" s="282"/>
      <c r="AU488" s="282"/>
      <c r="AV488" s="282"/>
      <c r="AW488" s="282"/>
      <c r="AX488" s="282"/>
      <c r="AY488" s="282"/>
      <c r="AZ488" s="282"/>
      <c r="BA488" s="282"/>
    </row>
    <row r="489" spans="1:53">
      <c r="A489" s="282"/>
      <c r="B489" s="282"/>
      <c r="C489" s="282"/>
      <c r="D489" s="282"/>
      <c r="E489" s="282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  <c r="AA489" s="282"/>
      <c r="AB489" s="282"/>
      <c r="AC489" s="282"/>
      <c r="AD489" s="282"/>
      <c r="AE489" s="282"/>
      <c r="AF489" s="282"/>
      <c r="AG489" s="282"/>
      <c r="AH489" s="281"/>
      <c r="AI489" s="282"/>
      <c r="AJ489" s="282"/>
      <c r="AK489" s="282"/>
      <c r="AL489" s="282"/>
      <c r="AM489" s="282"/>
      <c r="AN489" s="282"/>
      <c r="AO489" s="282"/>
      <c r="AP489" s="282"/>
      <c r="AQ489" s="282"/>
      <c r="AR489" s="282"/>
      <c r="AS489" s="282"/>
      <c r="AT489" s="282"/>
      <c r="AU489" s="282"/>
      <c r="AV489" s="282"/>
      <c r="AW489" s="282"/>
      <c r="AX489" s="282"/>
      <c r="AY489" s="282"/>
      <c r="AZ489" s="282"/>
      <c r="BA489" s="282"/>
    </row>
    <row r="490" spans="1:53">
      <c r="A490" s="282"/>
      <c r="B490" s="282"/>
      <c r="C490" s="282"/>
      <c r="D490" s="282"/>
      <c r="E490" s="282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  <c r="AA490" s="282"/>
      <c r="AB490" s="282"/>
      <c r="AC490" s="282"/>
      <c r="AD490" s="282"/>
      <c r="AE490" s="282"/>
      <c r="AF490" s="282"/>
      <c r="AG490" s="282"/>
      <c r="AH490" s="281"/>
      <c r="AI490" s="282"/>
      <c r="AJ490" s="282"/>
      <c r="AK490" s="282"/>
      <c r="AL490" s="282"/>
      <c r="AM490" s="282"/>
      <c r="AN490" s="282"/>
      <c r="AO490" s="282"/>
      <c r="AP490" s="282"/>
      <c r="AQ490" s="282"/>
      <c r="AR490" s="282"/>
      <c r="AS490" s="282"/>
      <c r="AT490" s="282"/>
      <c r="AU490" s="282"/>
      <c r="AV490" s="282"/>
      <c r="AW490" s="282"/>
      <c r="AX490" s="282"/>
      <c r="AY490" s="282"/>
      <c r="AZ490" s="282"/>
      <c r="BA490" s="282"/>
    </row>
    <row r="491" spans="1:53">
      <c r="A491" s="282"/>
      <c r="B491" s="282"/>
      <c r="C491" s="282"/>
      <c r="D491" s="282"/>
      <c r="E491" s="282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  <c r="AA491" s="282"/>
      <c r="AB491" s="282"/>
      <c r="AC491" s="282"/>
      <c r="AD491" s="282"/>
      <c r="AE491" s="282"/>
      <c r="AF491" s="282"/>
      <c r="AG491" s="282"/>
      <c r="AH491" s="281"/>
      <c r="AI491" s="282"/>
      <c r="AJ491" s="282"/>
      <c r="AK491" s="282"/>
      <c r="AL491" s="282"/>
      <c r="AM491" s="282"/>
      <c r="AN491" s="282"/>
      <c r="AO491" s="282"/>
      <c r="AP491" s="282"/>
      <c r="AQ491" s="282"/>
      <c r="AR491" s="282"/>
      <c r="AS491" s="282"/>
      <c r="AT491" s="282"/>
      <c r="AU491" s="282"/>
      <c r="AV491" s="282"/>
      <c r="AW491" s="282"/>
      <c r="AX491" s="282"/>
      <c r="AY491" s="282"/>
      <c r="AZ491" s="282"/>
      <c r="BA491" s="282"/>
    </row>
    <row r="492" spans="1:53">
      <c r="A492" s="282"/>
      <c r="B492" s="282"/>
      <c r="C492" s="282"/>
      <c r="D492" s="282"/>
      <c r="E492" s="282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  <c r="AA492" s="282"/>
      <c r="AB492" s="282"/>
      <c r="AC492" s="282"/>
      <c r="AD492" s="282"/>
      <c r="AE492" s="282"/>
      <c r="AF492" s="282"/>
      <c r="AG492" s="282"/>
      <c r="AH492" s="281"/>
      <c r="AI492" s="282"/>
      <c r="AJ492" s="282"/>
      <c r="AK492" s="282"/>
      <c r="AL492" s="282"/>
      <c r="AM492" s="282"/>
      <c r="AN492" s="282"/>
      <c r="AO492" s="282"/>
      <c r="AP492" s="282"/>
      <c r="AQ492" s="282"/>
      <c r="AR492" s="282"/>
      <c r="AS492" s="282"/>
      <c r="AT492" s="282"/>
      <c r="AU492" s="282"/>
      <c r="AV492" s="282"/>
      <c r="AW492" s="282"/>
      <c r="AX492" s="282"/>
      <c r="AY492" s="282"/>
      <c r="AZ492" s="282"/>
      <c r="BA492" s="282"/>
    </row>
    <row r="493" spans="1:53">
      <c r="A493" s="282"/>
      <c r="B493" s="282"/>
      <c r="C493" s="282"/>
      <c r="D493" s="282"/>
      <c r="E493" s="282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  <c r="AA493" s="282"/>
      <c r="AB493" s="282"/>
      <c r="AC493" s="282"/>
      <c r="AD493" s="282"/>
      <c r="AE493" s="282"/>
      <c r="AF493" s="282"/>
      <c r="AG493" s="282"/>
      <c r="AH493" s="281"/>
      <c r="AI493" s="282"/>
      <c r="AJ493" s="282"/>
      <c r="AK493" s="282"/>
      <c r="AL493" s="282"/>
      <c r="AM493" s="282"/>
      <c r="AN493" s="282"/>
      <c r="AO493" s="282"/>
      <c r="AP493" s="282"/>
      <c r="AQ493" s="282"/>
      <c r="AR493" s="282"/>
      <c r="AS493" s="282"/>
      <c r="AT493" s="282"/>
      <c r="AU493" s="282"/>
      <c r="AV493" s="282"/>
      <c r="AW493" s="282"/>
      <c r="AX493" s="282"/>
      <c r="AY493" s="282"/>
      <c r="AZ493" s="282"/>
      <c r="BA493" s="282"/>
    </row>
    <row r="494" spans="1:53">
      <c r="A494" s="282"/>
      <c r="B494" s="282"/>
      <c r="C494" s="282"/>
      <c r="D494" s="282"/>
      <c r="E494" s="282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  <c r="AA494" s="282"/>
      <c r="AB494" s="282"/>
      <c r="AC494" s="282"/>
      <c r="AD494" s="282"/>
      <c r="AE494" s="282"/>
      <c r="AF494" s="282"/>
      <c r="AG494" s="282"/>
      <c r="AH494" s="281"/>
      <c r="AI494" s="282"/>
      <c r="AJ494" s="282"/>
      <c r="AK494" s="282"/>
      <c r="AL494" s="282"/>
      <c r="AM494" s="282"/>
      <c r="AN494" s="282"/>
      <c r="AO494" s="282"/>
      <c r="AP494" s="282"/>
      <c r="AQ494" s="282"/>
      <c r="AR494" s="282"/>
      <c r="AS494" s="282"/>
      <c r="AT494" s="282"/>
      <c r="AU494" s="282"/>
      <c r="AV494" s="282"/>
      <c r="AW494" s="282"/>
      <c r="AX494" s="282"/>
      <c r="AY494" s="282"/>
      <c r="AZ494" s="282"/>
      <c r="BA494" s="282"/>
    </row>
    <row r="495" spans="1:53">
      <c r="A495" s="282"/>
      <c r="B495" s="282"/>
      <c r="C495" s="282"/>
      <c r="D495" s="282"/>
      <c r="E495" s="282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  <c r="AA495" s="282"/>
      <c r="AB495" s="282"/>
      <c r="AC495" s="282"/>
      <c r="AD495" s="282"/>
      <c r="AE495" s="282"/>
      <c r="AF495" s="282"/>
      <c r="AG495" s="282"/>
      <c r="AH495" s="281"/>
      <c r="AI495" s="282"/>
      <c r="AJ495" s="282"/>
      <c r="AK495" s="282"/>
      <c r="AL495" s="282"/>
      <c r="AM495" s="282"/>
      <c r="AN495" s="282"/>
      <c r="AO495" s="282"/>
      <c r="AP495" s="282"/>
      <c r="AQ495" s="282"/>
      <c r="AR495" s="282"/>
      <c r="AS495" s="282"/>
      <c r="AT495" s="282"/>
      <c r="AU495" s="282"/>
      <c r="AV495" s="282"/>
      <c r="AW495" s="282"/>
      <c r="AX495" s="282"/>
      <c r="AY495" s="282"/>
      <c r="AZ495" s="282"/>
      <c r="BA495" s="282"/>
    </row>
    <row r="496" spans="1:53">
      <c r="A496" s="282"/>
      <c r="B496" s="282"/>
      <c r="C496" s="282"/>
      <c r="D496" s="282"/>
      <c r="E496" s="282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  <c r="AA496" s="282"/>
      <c r="AB496" s="282"/>
      <c r="AC496" s="282"/>
      <c r="AD496" s="282"/>
      <c r="AE496" s="282"/>
      <c r="AF496" s="282"/>
      <c r="AG496" s="282"/>
      <c r="AH496" s="281"/>
      <c r="AI496" s="282"/>
      <c r="AJ496" s="282"/>
      <c r="AK496" s="282"/>
      <c r="AL496" s="282"/>
      <c r="AM496" s="282"/>
      <c r="AN496" s="282"/>
      <c r="AO496" s="282"/>
      <c r="AP496" s="282"/>
      <c r="AQ496" s="282"/>
      <c r="AR496" s="282"/>
      <c r="AS496" s="282"/>
      <c r="AT496" s="282"/>
      <c r="AU496" s="282"/>
      <c r="AV496" s="282"/>
      <c r="AW496" s="282"/>
      <c r="AX496" s="282"/>
      <c r="AY496" s="282"/>
      <c r="AZ496" s="282"/>
      <c r="BA496" s="282"/>
    </row>
    <row r="497" spans="1:53">
      <c r="A497" s="282"/>
      <c r="B497" s="282"/>
      <c r="C497" s="282"/>
      <c r="D497" s="282"/>
      <c r="E497" s="282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  <c r="AA497" s="282"/>
      <c r="AB497" s="282"/>
      <c r="AC497" s="282"/>
      <c r="AD497" s="282"/>
      <c r="AE497" s="282"/>
      <c r="AF497" s="282"/>
      <c r="AG497" s="282"/>
      <c r="AH497" s="281"/>
      <c r="AI497" s="282"/>
      <c r="AJ497" s="282"/>
      <c r="AK497" s="282"/>
      <c r="AL497" s="282"/>
      <c r="AM497" s="282"/>
      <c r="AN497" s="282"/>
      <c r="AO497" s="282"/>
      <c r="AP497" s="282"/>
      <c r="AQ497" s="282"/>
      <c r="AR497" s="282"/>
      <c r="AS497" s="282"/>
      <c r="AT497" s="282"/>
      <c r="AU497" s="282"/>
      <c r="AV497" s="282"/>
      <c r="AW497" s="282"/>
      <c r="AX497" s="282"/>
      <c r="AY497" s="282"/>
      <c r="AZ497" s="282"/>
      <c r="BA497" s="282"/>
    </row>
    <row r="498" spans="1:53">
      <c r="A498" s="282"/>
      <c r="B498" s="282"/>
      <c r="C498" s="282"/>
      <c r="D498" s="282"/>
      <c r="E498" s="282"/>
      <c r="F498" s="282"/>
      <c r="G498" s="282"/>
      <c r="H498" s="282"/>
      <c r="I498" s="282"/>
      <c r="J498" s="282"/>
      <c r="K498" s="282"/>
      <c r="L498" s="282"/>
      <c r="M498" s="282"/>
      <c r="N498" s="282"/>
      <c r="O498" s="282"/>
      <c r="P498" s="282"/>
      <c r="Q498" s="282"/>
      <c r="R498" s="282"/>
      <c r="S498" s="282"/>
      <c r="T498" s="282"/>
      <c r="U498" s="282"/>
      <c r="V498" s="282"/>
      <c r="W498" s="282"/>
      <c r="X498" s="282"/>
      <c r="Y498" s="282"/>
      <c r="Z498" s="282"/>
      <c r="AA498" s="282"/>
      <c r="AB498" s="282"/>
      <c r="AC498" s="282"/>
      <c r="AD498" s="282"/>
      <c r="AE498" s="282"/>
      <c r="AF498" s="282"/>
      <c r="AG498" s="282"/>
      <c r="AH498" s="281"/>
      <c r="AI498" s="282"/>
      <c r="AJ498" s="282"/>
      <c r="AK498" s="282"/>
      <c r="AL498" s="282"/>
      <c r="AM498" s="282"/>
      <c r="AN498" s="282"/>
      <c r="AO498" s="282"/>
      <c r="AP498" s="282"/>
      <c r="AQ498" s="282"/>
      <c r="AR498" s="282"/>
      <c r="AS498" s="282"/>
      <c r="AT498" s="282"/>
      <c r="AU498" s="282"/>
      <c r="AV498" s="282"/>
      <c r="AW498" s="282"/>
      <c r="AX498" s="282"/>
      <c r="AY498" s="282"/>
      <c r="AZ498" s="282"/>
      <c r="BA498" s="282"/>
    </row>
    <row r="499" spans="1:53">
      <c r="A499" s="282"/>
      <c r="B499" s="282"/>
      <c r="C499" s="282"/>
      <c r="D499" s="282"/>
      <c r="E499" s="282"/>
      <c r="F499" s="282"/>
      <c r="G499" s="282"/>
      <c r="H499" s="282"/>
      <c r="I499" s="282"/>
      <c r="J499" s="282"/>
      <c r="K499" s="282"/>
      <c r="L499" s="282"/>
      <c r="M499" s="282"/>
      <c r="N499" s="282"/>
      <c r="O499" s="282"/>
      <c r="P499" s="282"/>
      <c r="Q499" s="282"/>
      <c r="R499" s="282"/>
      <c r="S499" s="282"/>
      <c r="T499" s="282"/>
      <c r="U499" s="282"/>
      <c r="V499" s="282"/>
      <c r="W499" s="282"/>
      <c r="X499" s="282"/>
      <c r="Y499" s="282"/>
      <c r="Z499" s="282"/>
      <c r="AA499" s="282"/>
      <c r="AB499" s="282"/>
      <c r="AC499" s="282"/>
      <c r="AD499" s="282"/>
      <c r="AE499" s="282"/>
      <c r="AF499" s="282"/>
      <c r="AG499" s="282"/>
      <c r="AH499" s="281"/>
      <c r="AI499" s="282"/>
      <c r="AJ499" s="282"/>
      <c r="AK499" s="282"/>
      <c r="AL499" s="282"/>
      <c r="AM499" s="282"/>
      <c r="AN499" s="282"/>
      <c r="AO499" s="282"/>
      <c r="AP499" s="282"/>
      <c r="AQ499" s="282"/>
      <c r="AR499" s="282"/>
      <c r="AS499" s="282"/>
      <c r="AT499" s="282"/>
      <c r="AU499" s="282"/>
      <c r="AV499" s="282"/>
      <c r="AW499" s="282"/>
      <c r="AX499" s="282"/>
      <c r="AY499" s="282"/>
      <c r="AZ499" s="282"/>
      <c r="BA499" s="282"/>
    </row>
    <row r="500" spans="1:53">
      <c r="A500" s="282"/>
      <c r="B500" s="282"/>
      <c r="C500" s="282"/>
      <c r="D500" s="282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  <c r="AC500" s="282"/>
      <c r="AD500" s="282"/>
      <c r="AE500" s="282"/>
      <c r="AF500" s="282"/>
      <c r="AG500" s="282"/>
      <c r="AH500" s="281"/>
      <c r="AI500" s="282"/>
      <c r="AJ500" s="282"/>
      <c r="AK500" s="282"/>
      <c r="AL500" s="282"/>
      <c r="AM500" s="282"/>
      <c r="AN500" s="282"/>
      <c r="AO500" s="282"/>
      <c r="AP500" s="282"/>
      <c r="AQ500" s="282"/>
      <c r="AR500" s="282"/>
      <c r="AS500" s="282"/>
      <c r="AT500" s="282"/>
      <c r="AU500" s="282"/>
      <c r="AV500" s="282"/>
      <c r="AW500" s="282"/>
      <c r="AX500" s="282"/>
      <c r="AY500" s="282"/>
      <c r="AZ500" s="282"/>
      <c r="BA500" s="282"/>
    </row>
    <row r="501" spans="1:53">
      <c r="A501" s="282"/>
      <c r="B501" s="282"/>
      <c r="C501" s="282"/>
      <c r="D501" s="282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  <c r="AC501" s="282"/>
      <c r="AD501" s="282"/>
      <c r="AE501" s="282"/>
      <c r="AF501" s="282"/>
      <c r="AG501" s="282"/>
      <c r="AH501" s="281"/>
      <c r="AI501" s="282"/>
      <c r="AJ501" s="282"/>
      <c r="AK501" s="282"/>
      <c r="AL501" s="282"/>
      <c r="AM501" s="282"/>
      <c r="AN501" s="282"/>
      <c r="AO501" s="282"/>
      <c r="AP501" s="282"/>
      <c r="AQ501" s="282"/>
      <c r="AR501" s="282"/>
      <c r="AS501" s="282"/>
      <c r="AT501" s="282"/>
      <c r="AU501" s="282"/>
      <c r="AV501" s="282"/>
      <c r="AW501" s="282"/>
      <c r="AX501" s="282"/>
      <c r="AY501" s="282"/>
      <c r="AZ501" s="282"/>
      <c r="BA501" s="282"/>
    </row>
    <row r="502" spans="1:53">
      <c r="A502" s="282"/>
      <c r="B502" s="282"/>
      <c r="C502" s="282"/>
      <c r="D502" s="282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  <c r="AC502" s="282"/>
      <c r="AD502" s="282"/>
      <c r="AE502" s="282"/>
      <c r="AF502" s="282"/>
      <c r="AG502" s="282"/>
      <c r="AH502" s="281"/>
      <c r="AI502" s="282"/>
      <c r="AJ502" s="282"/>
      <c r="AK502" s="282"/>
      <c r="AL502" s="282"/>
      <c r="AM502" s="282"/>
      <c r="AN502" s="282"/>
      <c r="AO502" s="282"/>
      <c r="AP502" s="282"/>
      <c r="AQ502" s="282"/>
      <c r="AR502" s="282"/>
      <c r="AS502" s="282"/>
      <c r="AT502" s="282"/>
      <c r="AU502" s="282"/>
      <c r="AV502" s="282"/>
      <c r="AW502" s="282"/>
      <c r="AX502" s="282"/>
      <c r="AY502" s="282"/>
      <c r="AZ502" s="282"/>
      <c r="BA502" s="282"/>
    </row>
    <row r="503" spans="1:53">
      <c r="A503" s="282"/>
      <c r="B503" s="282"/>
      <c r="C503" s="282"/>
      <c r="D503" s="282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  <c r="AC503" s="282"/>
      <c r="AD503" s="282"/>
      <c r="AE503" s="282"/>
      <c r="AF503" s="282"/>
      <c r="AG503" s="282"/>
      <c r="AH503" s="281"/>
      <c r="AI503" s="282"/>
      <c r="AJ503" s="282"/>
      <c r="AK503" s="282"/>
      <c r="AL503" s="282"/>
      <c r="AM503" s="282"/>
      <c r="AN503" s="282"/>
      <c r="AO503" s="282"/>
      <c r="AP503" s="282"/>
      <c r="AQ503" s="282"/>
      <c r="AR503" s="282"/>
      <c r="AS503" s="282"/>
      <c r="AT503" s="282"/>
      <c r="AU503" s="282"/>
      <c r="AV503" s="282"/>
      <c r="AW503" s="282"/>
      <c r="AX503" s="282"/>
      <c r="AY503" s="282"/>
      <c r="AZ503" s="282"/>
      <c r="BA503" s="282"/>
    </row>
    <row r="504" spans="1:53">
      <c r="A504" s="282"/>
      <c r="B504" s="282"/>
      <c r="C504" s="282"/>
      <c r="D504" s="282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  <c r="AC504" s="282"/>
      <c r="AD504" s="282"/>
      <c r="AE504" s="282"/>
      <c r="AF504" s="282"/>
      <c r="AG504" s="282"/>
      <c r="AH504" s="281"/>
      <c r="AI504" s="282"/>
      <c r="AJ504" s="282"/>
      <c r="AK504" s="282"/>
      <c r="AL504" s="282"/>
      <c r="AM504" s="282"/>
      <c r="AN504" s="282"/>
      <c r="AO504" s="282"/>
      <c r="AP504" s="282"/>
      <c r="AQ504" s="282"/>
      <c r="AR504" s="282"/>
      <c r="AS504" s="282"/>
      <c r="AT504" s="282"/>
      <c r="AU504" s="282"/>
      <c r="AV504" s="282"/>
      <c r="AW504" s="282"/>
      <c r="AX504" s="282"/>
      <c r="AY504" s="282"/>
      <c r="AZ504" s="282"/>
      <c r="BA504" s="282"/>
    </row>
    <row r="505" spans="1:53">
      <c r="A505" s="282"/>
      <c r="B505" s="282"/>
      <c r="C505" s="282"/>
      <c r="D505" s="282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  <c r="AC505" s="282"/>
      <c r="AD505" s="282"/>
      <c r="AE505" s="282"/>
      <c r="AF505" s="282"/>
      <c r="AG505" s="282"/>
      <c r="AH505" s="281"/>
      <c r="AI505" s="282"/>
      <c r="AJ505" s="282"/>
      <c r="AK505" s="282"/>
      <c r="AL505" s="282"/>
      <c r="AM505" s="282"/>
      <c r="AN505" s="282"/>
      <c r="AO505" s="282"/>
      <c r="AP505" s="282"/>
      <c r="AQ505" s="282"/>
      <c r="AR505" s="282"/>
      <c r="AS505" s="282"/>
      <c r="AT505" s="282"/>
      <c r="AU505" s="282"/>
      <c r="AV505" s="282"/>
      <c r="AW505" s="282"/>
      <c r="AX505" s="282"/>
      <c r="AY505" s="282"/>
      <c r="AZ505" s="282"/>
      <c r="BA505" s="282"/>
    </row>
    <row r="506" spans="1:53">
      <c r="A506" s="282"/>
      <c r="B506" s="282"/>
      <c r="C506" s="282"/>
      <c r="D506" s="282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  <c r="AC506" s="282"/>
      <c r="AD506" s="282"/>
      <c r="AE506" s="282"/>
      <c r="AF506" s="282"/>
      <c r="AG506" s="282"/>
      <c r="AH506" s="281"/>
      <c r="AI506" s="282"/>
      <c r="AJ506" s="282"/>
      <c r="AK506" s="282"/>
      <c r="AL506" s="282"/>
      <c r="AM506" s="282"/>
      <c r="AN506" s="282"/>
      <c r="AO506" s="282"/>
      <c r="AP506" s="282"/>
      <c r="AQ506" s="282"/>
      <c r="AR506" s="282"/>
      <c r="AS506" s="282"/>
      <c r="AT506" s="282"/>
      <c r="AU506" s="282"/>
      <c r="AV506" s="282"/>
      <c r="AW506" s="282"/>
      <c r="AX506" s="282"/>
      <c r="AY506" s="282"/>
      <c r="AZ506" s="282"/>
      <c r="BA506" s="282"/>
    </row>
    <row r="507" spans="1:53">
      <c r="A507" s="282"/>
      <c r="B507" s="282"/>
      <c r="C507" s="282"/>
      <c r="D507" s="282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  <c r="AC507" s="282"/>
      <c r="AD507" s="282"/>
      <c r="AE507" s="282"/>
      <c r="AF507" s="282"/>
      <c r="AG507" s="282"/>
      <c r="AH507" s="281"/>
      <c r="AI507" s="282"/>
      <c r="AJ507" s="282"/>
      <c r="AK507" s="282"/>
      <c r="AL507" s="282"/>
      <c r="AM507" s="282"/>
      <c r="AN507" s="282"/>
      <c r="AO507" s="282"/>
      <c r="AP507" s="282"/>
      <c r="AQ507" s="282"/>
      <c r="AR507" s="282"/>
      <c r="AS507" s="282"/>
      <c r="AT507" s="282"/>
      <c r="AU507" s="282"/>
      <c r="AV507" s="282"/>
      <c r="AW507" s="282"/>
      <c r="AX507" s="282"/>
      <c r="AY507" s="282"/>
      <c r="AZ507" s="282"/>
      <c r="BA507" s="282"/>
    </row>
    <row r="508" spans="1:53">
      <c r="A508" s="282"/>
      <c r="B508" s="282"/>
      <c r="C508" s="282"/>
      <c r="D508" s="282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  <c r="AC508" s="282"/>
      <c r="AD508" s="282"/>
      <c r="AE508" s="282"/>
      <c r="AF508" s="282"/>
      <c r="AG508" s="282"/>
      <c r="AH508" s="281"/>
      <c r="AI508" s="282"/>
      <c r="AJ508" s="282"/>
      <c r="AK508" s="282"/>
      <c r="AL508" s="282"/>
      <c r="AM508" s="282"/>
      <c r="AN508" s="282"/>
      <c r="AO508" s="282"/>
      <c r="AP508" s="282"/>
      <c r="AQ508" s="282"/>
      <c r="AR508" s="282"/>
      <c r="AS508" s="282"/>
      <c r="AT508" s="282"/>
      <c r="AU508" s="282"/>
      <c r="AV508" s="282"/>
      <c r="AW508" s="282"/>
      <c r="AX508" s="282"/>
      <c r="AY508" s="282"/>
      <c r="AZ508" s="282"/>
      <c r="BA508" s="282"/>
    </row>
    <row r="509" spans="1:53">
      <c r="A509" s="282"/>
      <c r="B509" s="282"/>
      <c r="C509" s="282"/>
      <c r="D509" s="282"/>
      <c r="E509" s="282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  <c r="AA509" s="282"/>
      <c r="AB509" s="282"/>
      <c r="AC509" s="282"/>
      <c r="AD509" s="282"/>
      <c r="AE509" s="282"/>
      <c r="AF509" s="282"/>
      <c r="AG509" s="282"/>
      <c r="AH509" s="281"/>
      <c r="AI509" s="282"/>
      <c r="AJ509" s="282"/>
      <c r="AK509" s="282"/>
      <c r="AL509" s="282"/>
      <c r="AM509" s="282"/>
      <c r="AN509" s="282"/>
      <c r="AO509" s="282"/>
      <c r="AP509" s="282"/>
      <c r="AQ509" s="282"/>
      <c r="AR509" s="282"/>
      <c r="AS509" s="282"/>
      <c r="AT509" s="282"/>
      <c r="AU509" s="282"/>
      <c r="AV509" s="282"/>
      <c r="AW509" s="282"/>
      <c r="AX509" s="282"/>
      <c r="AY509" s="282"/>
      <c r="AZ509" s="282"/>
      <c r="BA509" s="282"/>
    </row>
    <row r="510" spans="1:53">
      <c r="A510" s="282"/>
      <c r="B510" s="282"/>
      <c r="C510" s="282"/>
      <c r="D510" s="282"/>
      <c r="E510" s="282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  <c r="AA510" s="282"/>
      <c r="AB510" s="282"/>
      <c r="AC510" s="282"/>
      <c r="AD510" s="282"/>
      <c r="AE510" s="282"/>
      <c r="AF510" s="282"/>
      <c r="AG510" s="282"/>
      <c r="AH510" s="281"/>
      <c r="AI510" s="282"/>
      <c r="AJ510" s="282"/>
      <c r="AK510" s="282"/>
      <c r="AL510" s="282"/>
      <c r="AM510" s="282"/>
      <c r="AN510" s="282"/>
      <c r="AO510" s="282"/>
      <c r="AP510" s="282"/>
      <c r="AQ510" s="282"/>
      <c r="AR510" s="282"/>
      <c r="AS510" s="282"/>
      <c r="AT510" s="282"/>
      <c r="AU510" s="282"/>
      <c r="AV510" s="282"/>
      <c r="AW510" s="282"/>
      <c r="AX510" s="282"/>
      <c r="AY510" s="282"/>
      <c r="AZ510" s="282"/>
      <c r="BA510" s="282"/>
    </row>
    <row r="511" spans="1:53">
      <c r="A511" s="282"/>
      <c r="B511" s="282"/>
      <c r="C511" s="282"/>
      <c r="D511" s="282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  <c r="AD511" s="282"/>
      <c r="AE511" s="282"/>
      <c r="AF511" s="282"/>
      <c r="AG511" s="282"/>
      <c r="AH511" s="281"/>
      <c r="AI511" s="282"/>
      <c r="AJ511" s="282"/>
      <c r="AK511" s="282"/>
      <c r="AL511" s="282"/>
      <c r="AM511" s="282"/>
      <c r="AN511" s="282"/>
      <c r="AO511" s="282"/>
      <c r="AP511" s="282"/>
      <c r="AQ511" s="282"/>
      <c r="AR511" s="282"/>
      <c r="AS511" s="282"/>
      <c r="AT511" s="282"/>
      <c r="AU511" s="282"/>
      <c r="AV511" s="282"/>
      <c r="AW511" s="282"/>
      <c r="AX511" s="282"/>
      <c r="AY511" s="282"/>
      <c r="AZ511" s="282"/>
      <c r="BA511" s="282"/>
    </row>
    <row r="512" spans="1:53">
      <c r="A512" s="282"/>
      <c r="B512" s="282"/>
      <c r="C512" s="282"/>
      <c r="D512" s="282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  <c r="AC512" s="282"/>
      <c r="AD512" s="282"/>
      <c r="AE512" s="282"/>
      <c r="AF512" s="282"/>
      <c r="AG512" s="282"/>
      <c r="AH512" s="281"/>
      <c r="AI512" s="282"/>
      <c r="AJ512" s="282"/>
      <c r="AK512" s="282"/>
      <c r="AL512" s="282"/>
      <c r="AM512" s="282"/>
      <c r="AN512" s="282"/>
      <c r="AO512" s="282"/>
      <c r="AP512" s="282"/>
      <c r="AQ512" s="282"/>
      <c r="AR512" s="282"/>
      <c r="AS512" s="282"/>
      <c r="AT512" s="282"/>
      <c r="AU512" s="282"/>
      <c r="AV512" s="282"/>
      <c r="AW512" s="282"/>
      <c r="AX512" s="282"/>
      <c r="AY512" s="282"/>
      <c r="AZ512" s="282"/>
      <c r="BA512" s="282"/>
    </row>
    <row r="513" spans="1:53">
      <c r="A513" s="282"/>
      <c r="B513" s="282"/>
      <c r="C513" s="282"/>
      <c r="D513" s="282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  <c r="AC513" s="282"/>
      <c r="AD513" s="282"/>
      <c r="AE513" s="282"/>
      <c r="AF513" s="282"/>
      <c r="AG513" s="282"/>
      <c r="AH513" s="281"/>
      <c r="AI513" s="282"/>
      <c r="AJ513" s="282"/>
      <c r="AK513" s="282"/>
      <c r="AL513" s="282"/>
      <c r="AM513" s="282"/>
      <c r="AN513" s="282"/>
      <c r="AO513" s="282"/>
      <c r="AP513" s="282"/>
      <c r="AQ513" s="282"/>
      <c r="AR513" s="282"/>
      <c r="AS513" s="282"/>
      <c r="AT513" s="282"/>
      <c r="AU513" s="282"/>
      <c r="AV513" s="282"/>
      <c r="AW513" s="282"/>
      <c r="AX513" s="282"/>
      <c r="AY513" s="282"/>
      <c r="AZ513" s="282"/>
      <c r="BA513" s="282"/>
    </row>
    <row r="514" spans="1:53">
      <c r="A514" s="282"/>
      <c r="B514" s="282"/>
      <c r="C514" s="282"/>
      <c r="D514" s="282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  <c r="AC514" s="282"/>
      <c r="AD514" s="282"/>
      <c r="AE514" s="282"/>
      <c r="AF514" s="282"/>
      <c r="AG514" s="282"/>
      <c r="AH514" s="281"/>
      <c r="AI514" s="282"/>
      <c r="AJ514" s="282"/>
      <c r="AK514" s="282"/>
      <c r="AL514" s="282"/>
      <c r="AM514" s="282"/>
      <c r="AN514" s="282"/>
      <c r="AO514" s="282"/>
      <c r="AP514" s="282"/>
      <c r="AQ514" s="282"/>
      <c r="AR514" s="282"/>
      <c r="AS514" s="282"/>
      <c r="AT514" s="282"/>
      <c r="AU514" s="282"/>
      <c r="AV514" s="282"/>
      <c r="AW514" s="282"/>
      <c r="AX514" s="282"/>
      <c r="AY514" s="282"/>
      <c r="AZ514" s="282"/>
      <c r="BA514" s="282"/>
    </row>
    <row r="515" spans="1:53">
      <c r="A515" s="282"/>
      <c r="B515" s="282"/>
      <c r="C515" s="282"/>
      <c r="D515" s="282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  <c r="AC515" s="282"/>
      <c r="AD515" s="282"/>
      <c r="AE515" s="282"/>
      <c r="AF515" s="282"/>
      <c r="AG515" s="282"/>
      <c r="AH515" s="281"/>
      <c r="AI515" s="282"/>
      <c r="AJ515" s="282"/>
      <c r="AK515" s="282"/>
      <c r="AL515" s="282"/>
      <c r="AM515" s="282"/>
      <c r="AN515" s="282"/>
      <c r="AO515" s="282"/>
      <c r="AP515" s="282"/>
      <c r="AQ515" s="282"/>
      <c r="AR515" s="282"/>
      <c r="AS515" s="282"/>
      <c r="AT515" s="282"/>
      <c r="AU515" s="282"/>
      <c r="AV515" s="282"/>
      <c r="AW515" s="282"/>
      <c r="AX515" s="282"/>
      <c r="AY515" s="282"/>
      <c r="AZ515" s="282"/>
      <c r="BA515" s="282"/>
    </row>
    <row r="516" spans="1:53">
      <c r="A516" s="282"/>
      <c r="B516" s="282"/>
      <c r="C516" s="282"/>
      <c r="D516" s="282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  <c r="AC516" s="282"/>
      <c r="AD516" s="282"/>
      <c r="AE516" s="282"/>
      <c r="AF516" s="282"/>
      <c r="AG516" s="282"/>
      <c r="AH516" s="281"/>
      <c r="AI516" s="282"/>
      <c r="AJ516" s="282"/>
      <c r="AK516" s="282"/>
      <c r="AL516" s="282"/>
      <c r="AM516" s="282"/>
      <c r="AN516" s="282"/>
      <c r="AO516" s="282"/>
      <c r="AP516" s="282"/>
      <c r="AQ516" s="282"/>
      <c r="AR516" s="282"/>
      <c r="AS516" s="282"/>
      <c r="AT516" s="282"/>
      <c r="AU516" s="282"/>
      <c r="AV516" s="282"/>
      <c r="AW516" s="282"/>
      <c r="AX516" s="282"/>
      <c r="AY516" s="282"/>
      <c r="AZ516" s="282"/>
      <c r="BA516" s="282"/>
    </row>
    <row r="517" spans="1:53">
      <c r="A517" s="282"/>
      <c r="B517" s="282"/>
      <c r="C517" s="282"/>
      <c r="D517" s="282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  <c r="AC517" s="282"/>
      <c r="AD517" s="282"/>
      <c r="AE517" s="282"/>
      <c r="AF517" s="282"/>
      <c r="AG517" s="282"/>
      <c r="AH517" s="281"/>
      <c r="AI517" s="282"/>
      <c r="AJ517" s="282"/>
      <c r="AK517" s="282"/>
      <c r="AL517" s="282"/>
      <c r="AM517" s="282"/>
      <c r="AN517" s="282"/>
      <c r="AO517" s="282"/>
      <c r="AP517" s="282"/>
      <c r="AQ517" s="282"/>
      <c r="AR517" s="282"/>
      <c r="AS517" s="282"/>
      <c r="AT517" s="282"/>
      <c r="AU517" s="282"/>
      <c r="AV517" s="282"/>
      <c r="AW517" s="282"/>
      <c r="AX517" s="282"/>
      <c r="AY517" s="282"/>
      <c r="AZ517" s="282"/>
      <c r="BA517" s="282"/>
    </row>
    <row r="518" spans="1:53">
      <c r="A518" s="282"/>
      <c r="B518" s="282"/>
      <c r="C518" s="282"/>
      <c r="D518" s="282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  <c r="AC518" s="282"/>
      <c r="AD518" s="282"/>
      <c r="AE518" s="282"/>
      <c r="AF518" s="282"/>
      <c r="AG518" s="282"/>
      <c r="AH518" s="281"/>
      <c r="AI518" s="282"/>
      <c r="AJ518" s="282"/>
      <c r="AK518" s="282"/>
      <c r="AL518" s="282"/>
      <c r="AM518" s="282"/>
      <c r="AN518" s="282"/>
      <c r="AO518" s="282"/>
      <c r="AP518" s="282"/>
      <c r="AQ518" s="282"/>
      <c r="AR518" s="282"/>
      <c r="AS518" s="282"/>
      <c r="AT518" s="282"/>
      <c r="AU518" s="282"/>
      <c r="AV518" s="282"/>
      <c r="AW518" s="282"/>
      <c r="AX518" s="282"/>
      <c r="AY518" s="282"/>
      <c r="AZ518" s="282"/>
      <c r="BA518" s="282"/>
    </row>
    <row r="519" spans="1:53">
      <c r="A519" s="282"/>
      <c r="B519" s="282"/>
      <c r="C519" s="282"/>
      <c r="D519" s="282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  <c r="AC519" s="282"/>
      <c r="AD519" s="282"/>
      <c r="AE519" s="282"/>
      <c r="AF519" s="282"/>
      <c r="AG519" s="282"/>
      <c r="AH519" s="281"/>
      <c r="AI519" s="282"/>
      <c r="AJ519" s="282"/>
      <c r="AK519" s="282"/>
      <c r="AL519" s="282"/>
      <c r="AM519" s="282"/>
      <c r="AN519" s="282"/>
      <c r="AO519" s="282"/>
      <c r="AP519" s="282"/>
      <c r="AQ519" s="282"/>
      <c r="AR519" s="282"/>
      <c r="AS519" s="282"/>
      <c r="AT519" s="282"/>
      <c r="AU519" s="282"/>
      <c r="AV519" s="282"/>
      <c r="AW519" s="282"/>
      <c r="AX519" s="282"/>
      <c r="AY519" s="282"/>
      <c r="AZ519" s="282"/>
      <c r="BA519" s="282"/>
    </row>
    <row r="520" spans="1:53">
      <c r="A520" s="282"/>
      <c r="B520" s="282"/>
      <c r="C520" s="282"/>
      <c r="D520" s="282"/>
      <c r="E520" s="282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  <c r="AA520" s="282"/>
      <c r="AB520" s="282"/>
      <c r="AC520" s="282"/>
      <c r="AD520" s="282"/>
      <c r="AE520" s="282"/>
      <c r="AF520" s="282"/>
      <c r="AG520" s="282"/>
      <c r="AH520" s="281"/>
      <c r="AI520" s="282"/>
      <c r="AJ520" s="282"/>
      <c r="AK520" s="282"/>
      <c r="AL520" s="282"/>
      <c r="AM520" s="282"/>
      <c r="AN520" s="282"/>
      <c r="AO520" s="282"/>
      <c r="AP520" s="282"/>
      <c r="AQ520" s="282"/>
      <c r="AR520" s="282"/>
      <c r="AS520" s="282"/>
      <c r="AT520" s="282"/>
      <c r="AU520" s="282"/>
      <c r="AV520" s="282"/>
      <c r="AW520" s="282"/>
      <c r="AX520" s="282"/>
      <c r="AY520" s="282"/>
      <c r="AZ520" s="282"/>
      <c r="BA520" s="282"/>
    </row>
    <row r="521" spans="1:53">
      <c r="A521" s="282"/>
      <c r="B521" s="282"/>
      <c r="C521" s="282"/>
      <c r="D521" s="282"/>
      <c r="E521" s="282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  <c r="AA521" s="282"/>
      <c r="AB521" s="282"/>
      <c r="AC521" s="282"/>
      <c r="AD521" s="282"/>
      <c r="AE521" s="282"/>
      <c r="AF521" s="282"/>
      <c r="AG521" s="282"/>
      <c r="AH521" s="281"/>
      <c r="AI521" s="282"/>
      <c r="AJ521" s="282"/>
      <c r="AK521" s="282"/>
      <c r="AL521" s="282"/>
      <c r="AM521" s="282"/>
      <c r="AN521" s="282"/>
      <c r="AO521" s="282"/>
      <c r="AP521" s="282"/>
      <c r="AQ521" s="282"/>
      <c r="AR521" s="282"/>
      <c r="AS521" s="282"/>
      <c r="AT521" s="282"/>
      <c r="AU521" s="282"/>
      <c r="AV521" s="282"/>
      <c r="AW521" s="282"/>
      <c r="AX521" s="282"/>
      <c r="AY521" s="282"/>
      <c r="AZ521" s="282"/>
      <c r="BA521" s="282"/>
    </row>
    <row r="522" spans="1:53">
      <c r="A522" s="282"/>
      <c r="B522" s="282"/>
      <c r="C522" s="282"/>
      <c r="D522" s="282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  <c r="AC522" s="282"/>
      <c r="AD522" s="282"/>
      <c r="AE522" s="282"/>
      <c r="AF522" s="282"/>
      <c r="AG522" s="282"/>
      <c r="AH522" s="281"/>
      <c r="AI522" s="282"/>
      <c r="AJ522" s="282"/>
      <c r="AK522" s="282"/>
      <c r="AL522" s="282"/>
      <c r="AM522" s="282"/>
      <c r="AN522" s="282"/>
      <c r="AO522" s="282"/>
      <c r="AP522" s="282"/>
      <c r="AQ522" s="282"/>
      <c r="AR522" s="282"/>
      <c r="AS522" s="282"/>
      <c r="AT522" s="282"/>
      <c r="AU522" s="282"/>
      <c r="AV522" s="282"/>
      <c r="AW522" s="282"/>
      <c r="AX522" s="282"/>
      <c r="AY522" s="282"/>
      <c r="AZ522" s="282"/>
      <c r="BA522" s="282"/>
    </row>
    <row r="523" spans="1:53">
      <c r="A523" s="282"/>
      <c r="B523" s="282"/>
      <c r="C523" s="282"/>
      <c r="D523" s="282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  <c r="AC523" s="282"/>
      <c r="AD523" s="282"/>
      <c r="AE523" s="282"/>
      <c r="AF523" s="282"/>
      <c r="AG523" s="282"/>
      <c r="AH523" s="281"/>
      <c r="AI523" s="282"/>
      <c r="AJ523" s="282"/>
      <c r="AK523" s="282"/>
      <c r="AL523" s="282"/>
      <c r="AM523" s="282"/>
      <c r="AN523" s="282"/>
      <c r="AO523" s="282"/>
      <c r="AP523" s="282"/>
      <c r="AQ523" s="282"/>
      <c r="AR523" s="282"/>
      <c r="AS523" s="282"/>
      <c r="AT523" s="282"/>
      <c r="AU523" s="282"/>
      <c r="AV523" s="282"/>
      <c r="AW523" s="282"/>
      <c r="AX523" s="282"/>
      <c r="AY523" s="282"/>
      <c r="AZ523" s="282"/>
      <c r="BA523" s="282"/>
    </row>
    <row r="524" spans="1:53">
      <c r="A524" s="282"/>
      <c r="B524" s="282"/>
      <c r="C524" s="282"/>
      <c r="D524" s="282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  <c r="AC524" s="282"/>
      <c r="AD524" s="282"/>
      <c r="AE524" s="282"/>
      <c r="AF524" s="282"/>
      <c r="AG524" s="282"/>
      <c r="AH524" s="281"/>
      <c r="AI524" s="282"/>
      <c r="AJ524" s="282"/>
      <c r="AK524" s="282"/>
      <c r="AL524" s="282"/>
      <c r="AM524" s="282"/>
      <c r="AN524" s="282"/>
      <c r="AO524" s="282"/>
      <c r="AP524" s="282"/>
      <c r="AQ524" s="282"/>
      <c r="AR524" s="282"/>
      <c r="AS524" s="282"/>
      <c r="AT524" s="282"/>
      <c r="AU524" s="282"/>
      <c r="AV524" s="282"/>
      <c r="AW524" s="282"/>
      <c r="AX524" s="282"/>
      <c r="AY524" s="282"/>
      <c r="AZ524" s="282"/>
      <c r="BA524" s="282"/>
    </row>
    <row r="525" spans="1:53">
      <c r="A525" s="282"/>
      <c r="B525" s="282"/>
      <c r="C525" s="282"/>
      <c r="D525" s="282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  <c r="AC525" s="282"/>
      <c r="AD525" s="282"/>
      <c r="AE525" s="282"/>
      <c r="AF525" s="282"/>
      <c r="AG525" s="282"/>
      <c r="AH525" s="281"/>
      <c r="AI525" s="282"/>
      <c r="AJ525" s="282"/>
      <c r="AK525" s="282"/>
      <c r="AL525" s="282"/>
      <c r="AM525" s="282"/>
      <c r="AN525" s="282"/>
      <c r="AO525" s="282"/>
      <c r="AP525" s="282"/>
      <c r="AQ525" s="282"/>
      <c r="AR525" s="282"/>
      <c r="AS525" s="282"/>
      <c r="AT525" s="282"/>
      <c r="AU525" s="282"/>
      <c r="AV525" s="282"/>
      <c r="AW525" s="282"/>
      <c r="AX525" s="282"/>
      <c r="AY525" s="282"/>
      <c r="AZ525" s="282"/>
      <c r="BA525" s="282"/>
    </row>
    <row r="526" spans="1:53">
      <c r="A526" s="282"/>
      <c r="B526" s="282"/>
      <c r="C526" s="282"/>
      <c r="D526" s="282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  <c r="AC526" s="282"/>
      <c r="AD526" s="282"/>
      <c r="AE526" s="282"/>
      <c r="AF526" s="282"/>
      <c r="AG526" s="282"/>
      <c r="AH526" s="281"/>
      <c r="AI526" s="282"/>
      <c r="AJ526" s="282"/>
      <c r="AK526" s="282"/>
      <c r="AL526" s="282"/>
      <c r="AM526" s="282"/>
      <c r="AN526" s="282"/>
      <c r="AO526" s="282"/>
      <c r="AP526" s="282"/>
      <c r="AQ526" s="282"/>
      <c r="AR526" s="282"/>
      <c r="AS526" s="282"/>
      <c r="AT526" s="282"/>
      <c r="AU526" s="282"/>
      <c r="AV526" s="282"/>
      <c r="AW526" s="282"/>
      <c r="AX526" s="282"/>
      <c r="AY526" s="282"/>
      <c r="AZ526" s="282"/>
      <c r="BA526" s="282"/>
    </row>
    <row r="527" spans="1:53">
      <c r="A527" s="282"/>
      <c r="B527" s="282"/>
      <c r="C527" s="282"/>
      <c r="D527" s="282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  <c r="AC527" s="282"/>
      <c r="AD527" s="282"/>
      <c r="AE527" s="282"/>
      <c r="AF527" s="282"/>
      <c r="AG527" s="282"/>
      <c r="AH527" s="281"/>
      <c r="AI527" s="282"/>
      <c r="AJ527" s="282"/>
      <c r="AK527" s="282"/>
      <c r="AL527" s="282"/>
      <c r="AM527" s="282"/>
      <c r="AN527" s="282"/>
      <c r="AO527" s="282"/>
      <c r="AP527" s="282"/>
      <c r="AQ527" s="282"/>
      <c r="AR527" s="282"/>
      <c r="AS527" s="282"/>
      <c r="AT527" s="282"/>
      <c r="AU527" s="282"/>
      <c r="AV527" s="282"/>
      <c r="AW527" s="282"/>
      <c r="AX527" s="282"/>
      <c r="AY527" s="282"/>
      <c r="AZ527" s="282"/>
      <c r="BA527" s="282"/>
    </row>
    <row r="528" spans="1:53">
      <c r="A528" s="282"/>
      <c r="B528" s="282"/>
      <c r="C528" s="282"/>
      <c r="D528" s="282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  <c r="AC528" s="282"/>
      <c r="AD528" s="282"/>
      <c r="AE528" s="282"/>
      <c r="AF528" s="282"/>
      <c r="AG528" s="282"/>
      <c r="AH528" s="281"/>
      <c r="AI528" s="282"/>
      <c r="AJ528" s="282"/>
      <c r="AK528" s="282"/>
      <c r="AL528" s="282"/>
      <c r="AM528" s="282"/>
      <c r="AN528" s="282"/>
      <c r="AO528" s="282"/>
      <c r="AP528" s="282"/>
      <c r="AQ528" s="282"/>
      <c r="AR528" s="282"/>
      <c r="AS528" s="282"/>
      <c r="AT528" s="282"/>
      <c r="AU528" s="282"/>
      <c r="AV528" s="282"/>
      <c r="AW528" s="282"/>
      <c r="AX528" s="282"/>
      <c r="AY528" s="282"/>
      <c r="AZ528" s="282"/>
      <c r="BA528" s="282"/>
    </row>
    <row r="529" spans="1:53">
      <c r="A529" s="282"/>
      <c r="B529" s="282"/>
      <c r="C529" s="282"/>
      <c r="D529" s="282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  <c r="AC529" s="282"/>
      <c r="AD529" s="282"/>
      <c r="AE529" s="282"/>
      <c r="AF529" s="282"/>
      <c r="AG529" s="282"/>
      <c r="AH529" s="281"/>
      <c r="AI529" s="282"/>
      <c r="AJ529" s="282"/>
      <c r="AK529" s="282"/>
      <c r="AL529" s="282"/>
      <c r="AM529" s="282"/>
      <c r="AN529" s="282"/>
      <c r="AO529" s="282"/>
      <c r="AP529" s="282"/>
      <c r="AQ529" s="282"/>
      <c r="AR529" s="282"/>
      <c r="AS529" s="282"/>
      <c r="AT529" s="282"/>
      <c r="AU529" s="282"/>
      <c r="AV529" s="282"/>
      <c r="AW529" s="282"/>
      <c r="AX529" s="282"/>
      <c r="AY529" s="282"/>
      <c r="AZ529" s="282"/>
      <c r="BA529" s="282"/>
    </row>
    <row r="530" spans="1:53">
      <c r="A530" s="282"/>
      <c r="B530" s="282"/>
      <c r="C530" s="282"/>
      <c r="D530" s="282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  <c r="AC530" s="282"/>
      <c r="AD530" s="282"/>
      <c r="AE530" s="282"/>
      <c r="AF530" s="282"/>
      <c r="AG530" s="282"/>
      <c r="AH530" s="281"/>
      <c r="AI530" s="282"/>
      <c r="AJ530" s="282"/>
      <c r="AK530" s="282"/>
      <c r="AL530" s="282"/>
      <c r="AM530" s="282"/>
      <c r="AN530" s="282"/>
      <c r="AO530" s="282"/>
      <c r="AP530" s="282"/>
      <c r="AQ530" s="282"/>
      <c r="AR530" s="282"/>
      <c r="AS530" s="282"/>
      <c r="AT530" s="282"/>
      <c r="AU530" s="282"/>
      <c r="AV530" s="282"/>
      <c r="AW530" s="282"/>
      <c r="AX530" s="282"/>
      <c r="AY530" s="282"/>
      <c r="AZ530" s="282"/>
      <c r="BA530" s="282"/>
    </row>
    <row r="531" spans="1:53">
      <c r="A531" s="282"/>
      <c r="B531" s="282"/>
      <c r="C531" s="282"/>
      <c r="D531" s="282"/>
      <c r="E531" s="282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  <c r="AA531" s="282"/>
      <c r="AB531" s="282"/>
      <c r="AC531" s="282"/>
      <c r="AD531" s="282"/>
      <c r="AE531" s="282"/>
      <c r="AF531" s="282"/>
      <c r="AG531" s="282"/>
      <c r="AH531" s="281"/>
      <c r="AI531" s="282"/>
      <c r="AJ531" s="282"/>
      <c r="AK531" s="282"/>
      <c r="AL531" s="282"/>
      <c r="AM531" s="282"/>
      <c r="AN531" s="282"/>
      <c r="AO531" s="282"/>
      <c r="AP531" s="282"/>
      <c r="AQ531" s="282"/>
      <c r="AR531" s="282"/>
      <c r="AS531" s="282"/>
      <c r="AT531" s="282"/>
      <c r="AU531" s="282"/>
      <c r="AV531" s="282"/>
      <c r="AW531" s="282"/>
      <c r="AX531" s="282"/>
      <c r="AY531" s="282"/>
      <c r="AZ531" s="282"/>
      <c r="BA531" s="282"/>
    </row>
    <row r="532" spans="1:53">
      <c r="A532" s="282"/>
      <c r="B532" s="282"/>
      <c r="C532" s="282"/>
      <c r="D532" s="282"/>
      <c r="E532" s="282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  <c r="AA532" s="282"/>
      <c r="AB532" s="282"/>
      <c r="AC532" s="282"/>
      <c r="AD532" s="282"/>
      <c r="AE532" s="282"/>
      <c r="AF532" s="282"/>
      <c r="AG532" s="282"/>
      <c r="AH532" s="281"/>
      <c r="AI532" s="282"/>
      <c r="AJ532" s="282"/>
      <c r="AK532" s="282"/>
      <c r="AL532" s="282"/>
      <c r="AM532" s="282"/>
      <c r="AN532" s="282"/>
      <c r="AO532" s="282"/>
      <c r="AP532" s="282"/>
      <c r="AQ532" s="282"/>
      <c r="AR532" s="282"/>
      <c r="AS532" s="282"/>
      <c r="AT532" s="282"/>
      <c r="AU532" s="282"/>
      <c r="AV532" s="282"/>
      <c r="AW532" s="282"/>
      <c r="AX532" s="282"/>
      <c r="AY532" s="282"/>
      <c r="AZ532" s="282"/>
      <c r="BA532" s="282"/>
    </row>
    <row r="533" spans="1:53">
      <c r="A533" s="282"/>
      <c r="B533" s="282"/>
      <c r="C533" s="282"/>
      <c r="D533" s="282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  <c r="AC533" s="282"/>
      <c r="AD533" s="282"/>
      <c r="AE533" s="282"/>
      <c r="AF533" s="282"/>
      <c r="AG533" s="282"/>
      <c r="AH533" s="281"/>
      <c r="AI533" s="282"/>
      <c r="AJ533" s="282"/>
      <c r="AK533" s="282"/>
      <c r="AL533" s="282"/>
      <c r="AM533" s="282"/>
      <c r="AN533" s="282"/>
      <c r="AO533" s="282"/>
      <c r="AP533" s="282"/>
      <c r="AQ533" s="282"/>
      <c r="AR533" s="282"/>
      <c r="AS533" s="282"/>
      <c r="AT533" s="282"/>
      <c r="AU533" s="282"/>
      <c r="AV533" s="282"/>
      <c r="AW533" s="282"/>
      <c r="AX533" s="282"/>
      <c r="AY533" s="282"/>
      <c r="AZ533" s="282"/>
      <c r="BA533" s="282"/>
    </row>
    <row r="534" spans="1:53">
      <c r="A534" s="282"/>
      <c r="B534" s="282"/>
      <c r="C534" s="282"/>
      <c r="D534" s="282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  <c r="AC534" s="282"/>
      <c r="AD534" s="282"/>
      <c r="AE534" s="282"/>
      <c r="AF534" s="282"/>
      <c r="AG534" s="282"/>
      <c r="AH534" s="281"/>
      <c r="AI534" s="282"/>
      <c r="AJ534" s="282"/>
      <c r="AK534" s="282"/>
      <c r="AL534" s="282"/>
      <c r="AM534" s="282"/>
      <c r="AN534" s="282"/>
      <c r="AO534" s="282"/>
      <c r="AP534" s="282"/>
      <c r="AQ534" s="282"/>
      <c r="AR534" s="282"/>
      <c r="AS534" s="282"/>
      <c r="AT534" s="282"/>
      <c r="AU534" s="282"/>
      <c r="AV534" s="282"/>
      <c r="AW534" s="282"/>
      <c r="AX534" s="282"/>
      <c r="AY534" s="282"/>
      <c r="AZ534" s="282"/>
      <c r="BA534" s="282"/>
    </row>
    <row r="535" spans="1:53">
      <c r="A535" s="282"/>
      <c r="B535" s="282"/>
      <c r="C535" s="282"/>
      <c r="D535" s="282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  <c r="AC535" s="282"/>
      <c r="AD535" s="282"/>
      <c r="AE535" s="282"/>
      <c r="AF535" s="282"/>
      <c r="AG535" s="282"/>
      <c r="AH535" s="281"/>
      <c r="AI535" s="282"/>
      <c r="AJ535" s="282"/>
      <c r="AK535" s="282"/>
      <c r="AL535" s="282"/>
      <c r="AM535" s="282"/>
      <c r="AN535" s="282"/>
      <c r="AO535" s="282"/>
      <c r="AP535" s="282"/>
      <c r="AQ535" s="282"/>
      <c r="AR535" s="282"/>
      <c r="AS535" s="282"/>
      <c r="AT535" s="282"/>
      <c r="AU535" s="282"/>
      <c r="AV535" s="282"/>
      <c r="AW535" s="282"/>
      <c r="AX535" s="282"/>
      <c r="AY535" s="282"/>
      <c r="AZ535" s="282"/>
      <c r="BA535" s="282"/>
    </row>
    <row r="536" spans="1:53">
      <c r="A536" s="282"/>
      <c r="B536" s="282"/>
      <c r="C536" s="282"/>
      <c r="D536" s="282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  <c r="AC536" s="282"/>
      <c r="AD536" s="282"/>
      <c r="AE536" s="282"/>
      <c r="AF536" s="282"/>
      <c r="AG536" s="282"/>
      <c r="AH536" s="281"/>
      <c r="AI536" s="282"/>
      <c r="AJ536" s="282"/>
      <c r="AK536" s="282"/>
      <c r="AL536" s="282"/>
      <c r="AM536" s="282"/>
      <c r="AN536" s="282"/>
      <c r="AO536" s="282"/>
      <c r="AP536" s="282"/>
      <c r="AQ536" s="282"/>
      <c r="AR536" s="282"/>
      <c r="AS536" s="282"/>
      <c r="AT536" s="282"/>
      <c r="AU536" s="282"/>
      <c r="AV536" s="282"/>
      <c r="AW536" s="282"/>
      <c r="AX536" s="282"/>
      <c r="AY536" s="282"/>
      <c r="AZ536" s="282"/>
      <c r="BA536" s="282"/>
    </row>
    <row r="537" spans="1:53">
      <c r="A537" s="282"/>
      <c r="B537" s="282"/>
      <c r="C537" s="282"/>
      <c r="D537" s="282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  <c r="AC537" s="282"/>
      <c r="AD537" s="282"/>
      <c r="AE537" s="282"/>
      <c r="AF537" s="282"/>
      <c r="AG537" s="282"/>
      <c r="AH537" s="281"/>
      <c r="AI537" s="282"/>
      <c r="AJ537" s="282"/>
      <c r="AK537" s="282"/>
      <c r="AL537" s="282"/>
      <c r="AM537" s="282"/>
      <c r="AN537" s="282"/>
      <c r="AO537" s="282"/>
      <c r="AP537" s="282"/>
      <c r="AQ537" s="282"/>
      <c r="AR537" s="282"/>
      <c r="AS537" s="282"/>
      <c r="AT537" s="282"/>
      <c r="AU537" s="282"/>
      <c r="AV537" s="282"/>
      <c r="AW537" s="282"/>
      <c r="AX537" s="282"/>
      <c r="AY537" s="282"/>
      <c r="AZ537" s="282"/>
      <c r="BA537" s="282"/>
    </row>
    <row r="538" spans="1:53">
      <c r="A538" s="282"/>
      <c r="B538" s="282"/>
      <c r="C538" s="282"/>
      <c r="D538" s="282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  <c r="AC538" s="282"/>
      <c r="AD538" s="282"/>
      <c r="AE538" s="282"/>
      <c r="AF538" s="282"/>
      <c r="AG538" s="282"/>
      <c r="AH538" s="281"/>
      <c r="AI538" s="282"/>
      <c r="AJ538" s="282"/>
      <c r="AK538" s="282"/>
      <c r="AL538" s="282"/>
      <c r="AM538" s="282"/>
      <c r="AN538" s="282"/>
      <c r="AO538" s="282"/>
      <c r="AP538" s="282"/>
      <c r="AQ538" s="282"/>
      <c r="AR538" s="282"/>
      <c r="AS538" s="282"/>
      <c r="AT538" s="282"/>
      <c r="AU538" s="282"/>
      <c r="AV538" s="282"/>
      <c r="AW538" s="282"/>
      <c r="AX538" s="282"/>
      <c r="AY538" s="282"/>
      <c r="AZ538" s="282"/>
      <c r="BA538" s="282"/>
    </row>
    <row r="539" spans="1:53">
      <c r="A539" s="282"/>
      <c r="B539" s="282"/>
      <c r="C539" s="282"/>
      <c r="D539" s="282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  <c r="AC539" s="282"/>
      <c r="AD539" s="282"/>
      <c r="AE539" s="282"/>
      <c r="AF539" s="282"/>
      <c r="AG539" s="282"/>
      <c r="AH539" s="281"/>
      <c r="AI539" s="282"/>
      <c r="AJ539" s="282"/>
      <c r="AK539" s="282"/>
      <c r="AL539" s="282"/>
      <c r="AM539" s="282"/>
      <c r="AN539" s="282"/>
      <c r="AO539" s="282"/>
      <c r="AP539" s="282"/>
      <c r="AQ539" s="282"/>
      <c r="AR539" s="282"/>
      <c r="AS539" s="282"/>
      <c r="AT539" s="282"/>
      <c r="AU539" s="282"/>
      <c r="AV539" s="282"/>
      <c r="AW539" s="282"/>
      <c r="AX539" s="282"/>
      <c r="AY539" s="282"/>
      <c r="AZ539" s="282"/>
      <c r="BA539" s="282"/>
    </row>
    <row r="540" spans="1:53">
      <c r="A540" s="282"/>
      <c r="B540" s="282"/>
      <c r="C540" s="282"/>
      <c r="D540" s="282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  <c r="AC540" s="282"/>
      <c r="AD540" s="282"/>
      <c r="AE540" s="282"/>
      <c r="AF540" s="282"/>
      <c r="AG540" s="282"/>
      <c r="AH540" s="281"/>
      <c r="AI540" s="282"/>
      <c r="AJ540" s="282"/>
      <c r="AK540" s="282"/>
      <c r="AL540" s="282"/>
      <c r="AM540" s="282"/>
      <c r="AN540" s="282"/>
      <c r="AO540" s="282"/>
      <c r="AP540" s="282"/>
      <c r="AQ540" s="282"/>
      <c r="AR540" s="282"/>
      <c r="AS540" s="282"/>
      <c r="AT540" s="282"/>
      <c r="AU540" s="282"/>
      <c r="AV540" s="282"/>
      <c r="AW540" s="282"/>
      <c r="AX540" s="282"/>
      <c r="AY540" s="282"/>
      <c r="AZ540" s="282"/>
      <c r="BA540" s="282"/>
    </row>
    <row r="541" spans="1:53">
      <c r="A541" s="282"/>
      <c r="B541" s="282"/>
      <c r="C541" s="282"/>
      <c r="D541" s="282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  <c r="AC541" s="282"/>
      <c r="AD541" s="282"/>
      <c r="AE541" s="282"/>
      <c r="AF541" s="282"/>
      <c r="AG541" s="282"/>
      <c r="AH541" s="281"/>
      <c r="AI541" s="282"/>
      <c r="AJ541" s="282"/>
      <c r="AK541" s="282"/>
      <c r="AL541" s="282"/>
      <c r="AM541" s="282"/>
      <c r="AN541" s="282"/>
      <c r="AO541" s="282"/>
      <c r="AP541" s="282"/>
      <c r="AQ541" s="282"/>
      <c r="AR541" s="282"/>
      <c r="AS541" s="282"/>
      <c r="AT541" s="282"/>
      <c r="AU541" s="282"/>
      <c r="AV541" s="282"/>
      <c r="AW541" s="282"/>
      <c r="AX541" s="282"/>
      <c r="AY541" s="282"/>
      <c r="AZ541" s="282"/>
      <c r="BA541" s="282"/>
    </row>
    <row r="542" spans="1:53">
      <c r="A542" s="282"/>
      <c r="B542" s="282"/>
      <c r="C542" s="282"/>
      <c r="D542" s="282"/>
      <c r="E542" s="282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  <c r="AA542" s="282"/>
      <c r="AB542" s="282"/>
      <c r="AC542" s="282"/>
      <c r="AD542" s="282"/>
      <c r="AE542" s="282"/>
      <c r="AF542" s="282"/>
      <c r="AG542" s="282"/>
      <c r="AH542" s="281"/>
      <c r="AI542" s="282"/>
      <c r="AJ542" s="282"/>
      <c r="AK542" s="282"/>
      <c r="AL542" s="282"/>
      <c r="AM542" s="282"/>
      <c r="AN542" s="282"/>
      <c r="AO542" s="282"/>
      <c r="AP542" s="282"/>
      <c r="AQ542" s="282"/>
      <c r="AR542" s="282"/>
      <c r="AS542" s="282"/>
      <c r="AT542" s="282"/>
      <c r="AU542" s="282"/>
      <c r="AV542" s="282"/>
      <c r="AW542" s="282"/>
      <c r="AX542" s="282"/>
      <c r="AY542" s="282"/>
      <c r="AZ542" s="282"/>
      <c r="BA542" s="282"/>
    </row>
    <row r="543" spans="1:53">
      <c r="A543" s="282"/>
      <c r="B543" s="282"/>
      <c r="C543" s="282"/>
      <c r="D543" s="282"/>
      <c r="E543" s="282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  <c r="AA543" s="282"/>
      <c r="AB543" s="282"/>
      <c r="AC543" s="282"/>
      <c r="AD543" s="282"/>
      <c r="AE543" s="282"/>
      <c r="AF543" s="282"/>
      <c r="AG543" s="282"/>
      <c r="AH543" s="281"/>
      <c r="AI543" s="282"/>
      <c r="AJ543" s="282"/>
      <c r="AK543" s="282"/>
      <c r="AL543" s="282"/>
      <c r="AM543" s="282"/>
      <c r="AN543" s="282"/>
      <c r="AO543" s="282"/>
      <c r="AP543" s="282"/>
      <c r="AQ543" s="282"/>
      <c r="AR543" s="282"/>
      <c r="AS543" s="282"/>
      <c r="AT543" s="282"/>
      <c r="AU543" s="282"/>
      <c r="AV543" s="282"/>
      <c r="AW543" s="282"/>
      <c r="AX543" s="282"/>
      <c r="AY543" s="282"/>
      <c r="AZ543" s="282"/>
      <c r="BA543" s="282"/>
    </row>
    <row r="544" spans="1:53">
      <c r="A544" s="282"/>
      <c r="B544" s="282"/>
      <c r="C544" s="282"/>
      <c r="D544" s="282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  <c r="AC544" s="282"/>
      <c r="AD544" s="282"/>
      <c r="AE544" s="282"/>
      <c r="AF544" s="282"/>
      <c r="AG544" s="282"/>
      <c r="AH544" s="281"/>
      <c r="AI544" s="282"/>
      <c r="AJ544" s="282"/>
      <c r="AK544" s="282"/>
      <c r="AL544" s="282"/>
      <c r="AM544" s="282"/>
      <c r="AN544" s="282"/>
      <c r="AO544" s="282"/>
      <c r="AP544" s="282"/>
      <c r="AQ544" s="282"/>
      <c r="AR544" s="282"/>
      <c r="AS544" s="282"/>
      <c r="AT544" s="282"/>
      <c r="AU544" s="282"/>
      <c r="AV544" s="282"/>
      <c r="AW544" s="282"/>
      <c r="AX544" s="282"/>
      <c r="AY544" s="282"/>
      <c r="AZ544" s="282"/>
      <c r="BA544" s="282"/>
    </row>
    <row r="545" spans="1:53">
      <c r="A545" s="282"/>
      <c r="B545" s="282"/>
      <c r="C545" s="282"/>
      <c r="D545" s="282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  <c r="AC545" s="282"/>
      <c r="AD545" s="282"/>
      <c r="AE545" s="282"/>
      <c r="AF545" s="282"/>
      <c r="AG545" s="282"/>
      <c r="AH545" s="281"/>
      <c r="AI545" s="282"/>
      <c r="AJ545" s="282"/>
      <c r="AK545" s="282"/>
      <c r="AL545" s="282"/>
      <c r="AM545" s="282"/>
      <c r="AN545" s="282"/>
      <c r="AO545" s="282"/>
      <c r="AP545" s="282"/>
      <c r="AQ545" s="282"/>
      <c r="AR545" s="282"/>
      <c r="AS545" s="282"/>
      <c r="AT545" s="282"/>
      <c r="AU545" s="282"/>
      <c r="AV545" s="282"/>
      <c r="AW545" s="282"/>
      <c r="AX545" s="282"/>
      <c r="AY545" s="282"/>
      <c r="AZ545" s="282"/>
      <c r="BA545" s="282"/>
    </row>
    <row r="546" spans="1:53">
      <c r="A546" s="282"/>
      <c r="B546" s="282"/>
      <c r="C546" s="282"/>
      <c r="D546" s="282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  <c r="AC546" s="282"/>
      <c r="AD546" s="282"/>
      <c r="AE546" s="282"/>
      <c r="AF546" s="282"/>
      <c r="AG546" s="282"/>
      <c r="AH546" s="281"/>
      <c r="AI546" s="282"/>
      <c r="AJ546" s="282"/>
      <c r="AK546" s="282"/>
      <c r="AL546" s="282"/>
      <c r="AM546" s="282"/>
      <c r="AN546" s="282"/>
      <c r="AO546" s="282"/>
      <c r="AP546" s="282"/>
      <c r="AQ546" s="282"/>
      <c r="AR546" s="282"/>
      <c r="AS546" s="282"/>
      <c r="AT546" s="282"/>
      <c r="AU546" s="282"/>
      <c r="AV546" s="282"/>
      <c r="AW546" s="282"/>
      <c r="AX546" s="282"/>
      <c r="AY546" s="282"/>
      <c r="AZ546" s="282"/>
      <c r="BA546" s="282"/>
    </row>
    <row r="547" spans="1:53">
      <c r="A547" s="282"/>
      <c r="B547" s="282"/>
      <c r="C547" s="282"/>
      <c r="D547" s="282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  <c r="AC547" s="282"/>
      <c r="AD547" s="282"/>
      <c r="AE547" s="282"/>
      <c r="AF547" s="282"/>
      <c r="AG547" s="282"/>
      <c r="AH547" s="281"/>
      <c r="AI547" s="282"/>
      <c r="AJ547" s="282"/>
      <c r="AK547" s="282"/>
      <c r="AL547" s="282"/>
      <c r="AM547" s="282"/>
      <c r="AN547" s="282"/>
      <c r="AO547" s="282"/>
      <c r="AP547" s="282"/>
      <c r="AQ547" s="282"/>
      <c r="AR547" s="282"/>
      <c r="AS547" s="282"/>
      <c r="AT547" s="282"/>
      <c r="AU547" s="282"/>
      <c r="AV547" s="282"/>
      <c r="AW547" s="282"/>
      <c r="AX547" s="282"/>
      <c r="AY547" s="282"/>
      <c r="AZ547" s="282"/>
      <c r="BA547" s="282"/>
    </row>
    <row r="548" spans="1:53">
      <c r="A548" s="282"/>
      <c r="B548" s="282"/>
      <c r="C548" s="282"/>
      <c r="D548" s="282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  <c r="AC548" s="282"/>
      <c r="AD548" s="282"/>
      <c r="AE548" s="282"/>
      <c r="AF548" s="282"/>
      <c r="AG548" s="282"/>
      <c r="AH548" s="281"/>
      <c r="AI548" s="282"/>
      <c r="AJ548" s="282"/>
      <c r="AK548" s="282"/>
      <c r="AL548" s="282"/>
      <c r="AM548" s="282"/>
      <c r="AN548" s="282"/>
      <c r="AO548" s="282"/>
      <c r="AP548" s="282"/>
      <c r="AQ548" s="282"/>
      <c r="AR548" s="282"/>
      <c r="AS548" s="282"/>
      <c r="AT548" s="282"/>
      <c r="AU548" s="282"/>
      <c r="AV548" s="282"/>
      <c r="AW548" s="282"/>
      <c r="AX548" s="282"/>
      <c r="AY548" s="282"/>
      <c r="AZ548" s="282"/>
      <c r="BA548" s="282"/>
    </row>
    <row r="549" spans="1:53">
      <c r="A549" s="282"/>
      <c r="B549" s="282"/>
      <c r="C549" s="282"/>
      <c r="D549" s="282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  <c r="AC549" s="282"/>
      <c r="AD549" s="282"/>
      <c r="AE549" s="282"/>
      <c r="AF549" s="282"/>
      <c r="AG549" s="282"/>
      <c r="AH549" s="281"/>
      <c r="AI549" s="282"/>
      <c r="AJ549" s="282"/>
      <c r="AK549" s="282"/>
      <c r="AL549" s="282"/>
      <c r="AM549" s="282"/>
      <c r="AN549" s="282"/>
      <c r="AO549" s="282"/>
      <c r="AP549" s="282"/>
      <c r="AQ549" s="282"/>
      <c r="AR549" s="282"/>
      <c r="AS549" s="282"/>
      <c r="AT549" s="282"/>
      <c r="AU549" s="282"/>
      <c r="AV549" s="282"/>
      <c r="AW549" s="282"/>
      <c r="AX549" s="282"/>
      <c r="AY549" s="282"/>
      <c r="AZ549" s="282"/>
      <c r="BA549" s="282"/>
    </row>
    <row r="550" spans="1:53">
      <c r="A550" s="282"/>
      <c r="B550" s="282"/>
      <c r="C550" s="282"/>
      <c r="D550" s="282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  <c r="AC550" s="282"/>
      <c r="AD550" s="282"/>
      <c r="AE550" s="282"/>
      <c r="AF550" s="282"/>
      <c r="AG550" s="282"/>
      <c r="AH550" s="281"/>
      <c r="AI550" s="282"/>
      <c r="AJ550" s="282"/>
      <c r="AK550" s="282"/>
      <c r="AL550" s="282"/>
      <c r="AM550" s="282"/>
      <c r="AN550" s="282"/>
      <c r="AO550" s="282"/>
      <c r="AP550" s="282"/>
      <c r="AQ550" s="282"/>
      <c r="AR550" s="282"/>
      <c r="AS550" s="282"/>
      <c r="AT550" s="282"/>
      <c r="AU550" s="282"/>
      <c r="AV550" s="282"/>
      <c r="AW550" s="282"/>
      <c r="AX550" s="282"/>
      <c r="AY550" s="282"/>
      <c r="AZ550" s="282"/>
      <c r="BA550" s="282"/>
    </row>
    <row r="551" spans="1:53">
      <c r="A551" s="282"/>
      <c r="B551" s="282"/>
      <c r="C551" s="282"/>
      <c r="D551" s="282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  <c r="AC551" s="282"/>
      <c r="AD551" s="282"/>
      <c r="AE551" s="282"/>
      <c r="AF551" s="282"/>
      <c r="AG551" s="282"/>
      <c r="AH551" s="281"/>
      <c r="AI551" s="282"/>
      <c r="AJ551" s="282"/>
      <c r="AK551" s="282"/>
      <c r="AL551" s="282"/>
      <c r="AM551" s="282"/>
      <c r="AN551" s="282"/>
      <c r="AO551" s="282"/>
      <c r="AP551" s="282"/>
      <c r="AQ551" s="282"/>
      <c r="AR551" s="282"/>
      <c r="AS551" s="282"/>
      <c r="AT551" s="282"/>
      <c r="AU551" s="282"/>
      <c r="AV551" s="282"/>
      <c r="AW551" s="282"/>
      <c r="AX551" s="282"/>
      <c r="AY551" s="282"/>
      <c r="AZ551" s="282"/>
      <c r="BA551" s="282"/>
    </row>
    <row r="552" spans="1:53">
      <c r="A552" s="282"/>
      <c r="B552" s="282"/>
      <c r="C552" s="282"/>
      <c r="D552" s="282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  <c r="AC552" s="282"/>
      <c r="AD552" s="282"/>
      <c r="AE552" s="282"/>
      <c r="AF552" s="282"/>
      <c r="AG552" s="282"/>
      <c r="AH552" s="281"/>
      <c r="AI552" s="282"/>
      <c r="AJ552" s="282"/>
      <c r="AK552" s="282"/>
      <c r="AL552" s="282"/>
      <c r="AM552" s="282"/>
      <c r="AN552" s="282"/>
      <c r="AO552" s="282"/>
      <c r="AP552" s="282"/>
      <c r="AQ552" s="282"/>
      <c r="AR552" s="282"/>
      <c r="AS552" s="282"/>
      <c r="AT552" s="282"/>
      <c r="AU552" s="282"/>
      <c r="AV552" s="282"/>
      <c r="AW552" s="282"/>
      <c r="AX552" s="282"/>
      <c r="AY552" s="282"/>
      <c r="AZ552" s="282"/>
      <c r="BA552" s="282"/>
    </row>
    <row r="553" spans="1:53">
      <c r="A553" s="282"/>
      <c r="B553" s="282"/>
      <c r="C553" s="282"/>
      <c r="D553" s="282"/>
      <c r="E553" s="282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  <c r="AA553" s="282"/>
      <c r="AB553" s="282"/>
      <c r="AC553" s="282"/>
      <c r="AD553" s="282"/>
      <c r="AE553" s="282"/>
      <c r="AF553" s="282"/>
      <c r="AG553" s="282"/>
      <c r="AH553" s="281"/>
      <c r="AI553" s="282"/>
      <c r="AJ553" s="282"/>
      <c r="AK553" s="282"/>
      <c r="AL553" s="282"/>
      <c r="AM553" s="282"/>
      <c r="AN553" s="282"/>
      <c r="AO553" s="282"/>
      <c r="AP553" s="282"/>
      <c r="AQ553" s="282"/>
      <c r="AR553" s="282"/>
      <c r="AS553" s="282"/>
      <c r="AT553" s="282"/>
      <c r="AU553" s="282"/>
      <c r="AV553" s="282"/>
      <c r="AW553" s="282"/>
      <c r="AX553" s="282"/>
      <c r="AY553" s="282"/>
      <c r="AZ553" s="282"/>
      <c r="BA553" s="282"/>
    </row>
    <row r="554" spans="1:53">
      <c r="A554" s="282"/>
      <c r="B554" s="282"/>
      <c r="C554" s="282"/>
      <c r="D554" s="282"/>
      <c r="E554" s="282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  <c r="AA554" s="282"/>
      <c r="AB554" s="282"/>
      <c r="AC554" s="282"/>
      <c r="AD554" s="282"/>
      <c r="AE554" s="282"/>
      <c r="AF554" s="282"/>
      <c r="AG554" s="282"/>
      <c r="AH554" s="281"/>
      <c r="AI554" s="282"/>
      <c r="AJ554" s="282"/>
      <c r="AK554" s="282"/>
      <c r="AL554" s="282"/>
      <c r="AM554" s="282"/>
      <c r="AN554" s="282"/>
      <c r="AO554" s="282"/>
      <c r="AP554" s="282"/>
      <c r="AQ554" s="282"/>
      <c r="AR554" s="282"/>
      <c r="AS554" s="282"/>
      <c r="AT554" s="282"/>
      <c r="AU554" s="282"/>
      <c r="AV554" s="282"/>
      <c r="AW554" s="282"/>
      <c r="AX554" s="282"/>
      <c r="AY554" s="282"/>
      <c r="AZ554" s="282"/>
      <c r="BA554" s="282"/>
    </row>
    <row r="555" spans="1:53">
      <c r="A555" s="282"/>
      <c r="B555" s="282"/>
      <c r="C555" s="282"/>
      <c r="D555" s="282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  <c r="AC555" s="282"/>
      <c r="AD555" s="282"/>
      <c r="AE555" s="282"/>
      <c r="AF555" s="282"/>
      <c r="AG555" s="282"/>
      <c r="AH555" s="281"/>
      <c r="AI555" s="282"/>
      <c r="AJ555" s="282"/>
      <c r="AK555" s="282"/>
      <c r="AL555" s="282"/>
      <c r="AM555" s="282"/>
      <c r="AN555" s="282"/>
      <c r="AO555" s="282"/>
      <c r="AP555" s="282"/>
      <c r="AQ555" s="282"/>
      <c r="AR555" s="282"/>
      <c r="AS555" s="282"/>
      <c r="AT555" s="282"/>
      <c r="AU555" s="282"/>
      <c r="AV555" s="282"/>
      <c r="AW555" s="282"/>
      <c r="AX555" s="282"/>
      <c r="AY555" s="282"/>
      <c r="AZ555" s="282"/>
      <c r="BA555" s="282"/>
    </row>
    <row r="556" spans="1:53">
      <c r="A556" s="282"/>
      <c r="B556" s="282"/>
      <c r="C556" s="282"/>
      <c r="D556" s="282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  <c r="AC556" s="282"/>
      <c r="AD556" s="282"/>
      <c r="AE556" s="282"/>
      <c r="AF556" s="282"/>
      <c r="AG556" s="282"/>
      <c r="AH556" s="281"/>
      <c r="AI556" s="282"/>
      <c r="AJ556" s="282"/>
      <c r="AK556" s="282"/>
      <c r="AL556" s="282"/>
      <c r="AM556" s="282"/>
      <c r="AN556" s="282"/>
      <c r="AO556" s="282"/>
      <c r="AP556" s="282"/>
      <c r="AQ556" s="282"/>
      <c r="AR556" s="282"/>
      <c r="AS556" s="282"/>
      <c r="AT556" s="282"/>
      <c r="AU556" s="282"/>
      <c r="AV556" s="282"/>
      <c r="AW556" s="282"/>
      <c r="AX556" s="282"/>
      <c r="AY556" s="282"/>
      <c r="AZ556" s="282"/>
      <c r="BA556" s="282"/>
    </row>
    <row r="557" spans="1:53">
      <c r="A557" s="282"/>
      <c r="B557" s="282"/>
      <c r="C557" s="282"/>
      <c r="D557" s="282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  <c r="AC557" s="282"/>
      <c r="AD557" s="282"/>
      <c r="AE557" s="282"/>
      <c r="AF557" s="282"/>
      <c r="AG557" s="282"/>
      <c r="AH557" s="281"/>
      <c r="AI557" s="282"/>
      <c r="AJ557" s="282"/>
      <c r="AK557" s="282"/>
      <c r="AL557" s="282"/>
      <c r="AM557" s="282"/>
      <c r="AN557" s="282"/>
      <c r="AO557" s="282"/>
      <c r="AP557" s="282"/>
      <c r="AQ557" s="282"/>
      <c r="AR557" s="282"/>
      <c r="AS557" s="282"/>
      <c r="AT557" s="282"/>
      <c r="AU557" s="282"/>
      <c r="AV557" s="282"/>
      <c r="AW557" s="282"/>
      <c r="AX557" s="282"/>
      <c r="AY557" s="282"/>
      <c r="AZ557" s="282"/>
      <c r="BA557" s="282"/>
    </row>
    <row r="558" spans="1:53">
      <c r="A558" s="282"/>
      <c r="B558" s="282"/>
      <c r="C558" s="282"/>
      <c r="D558" s="282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  <c r="AC558" s="282"/>
      <c r="AD558" s="282"/>
      <c r="AE558" s="282"/>
      <c r="AF558" s="282"/>
      <c r="AG558" s="282"/>
      <c r="AH558" s="281"/>
      <c r="AI558" s="282"/>
      <c r="AJ558" s="282"/>
      <c r="AK558" s="282"/>
      <c r="AL558" s="282"/>
      <c r="AM558" s="282"/>
      <c r="AN558" s="282"/>
      <c r="AO558" s="282"/>
      <c r="AP558" s="282"/>
      <c r="AQ558" s="282"/>
      <c r="AR558" s="282"/>
      <c r="AS558" s="282"/>
      <c r="AT558" s="282"/>
      <c r="AU558" s="282"/>
      <c r="AV558" s="282"/>
      <c r="AW558" s="282"/>
      <c r="AX558" s="282"/>
      <c r="AY558" s="282"/>
      <c r="AZ558" s="282"/>
      <c r="BA558" s="282"/>
    </row>
    <row r="559" spans="1:53">
      <c r="A559" s="282"/>
      <c r="B559" s="282"/>
      <c r="C559" s="282"/>
      <c r="D559" s="282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  <c r="AC559" s="282"/>
      <c r="AD559" s="282"/>
      <c r="AE559" s="282"/>
      <c r="AF559" s="282"/>
      <c r="AG559" s="282"/>
      <c r="AH559" s="281"/>
      <c r="AI559" s="282"/>
      <c r="AJ559" s="282"/>
      <c r="AK559" s="282"/>
      <c r="AL559" s="282"/>
      <c r="AM559" s="282"/>
      <c r="AN559" s="282"/>
      <c r="AO559" s="282"/>
      <c r="AP559" s="282"/>
      <c r="AQ559" s="282"/>
      <c r="AR559" s="282"/>
      <c r="AS559" s="282"/>
      <c r="AT559" s="282"/>
      <c r="AU559" s="282"/>
      <c r="AV559" s="282"/>
      <c r="AW559" s="282"/>
      <c r="AX559" s="282"/>
      <c r="AY559" s="282"/>
      <c r="AZ559" s="282"/>
      <c r="BA559" s="282"/>
    </row>
    <row r="560" spans="1:53">
      <c r="A560" s="282"/>
      <c r="B560" s="282"/>
      <c r="C560" s="282"/>
      <c r="D560" s="282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  <c r="AC560" s="282"/>
      <c r="AD560" s="282"/>
      <c r="AE560" s="282"/>
      <c r="AF560" s="282"/>
      <c r="AG560" s="282"/>
      <c r="AH560" s="281"/>
      <c r="AI560" s="282"/>
      <c r="AJ560" s="282"/>
      <c r="AK560" s="282"/>
      <c r="AL560" s="282"/>
      <c r="AM560" s="282"/>
      <c r="AN560" s="282"/>
      <c r="AO560" s="282"/>
      <c r="AP560" s="282"/>
      <c r="AQ560" s="282"/>
      <c r="AR560" s="282"/>
      <c r="AS560" s="282"/>
      <c r="AT560" s="282"/>
      <c r="AU560" s="282"/>
      <c r="AV560" s="282"/>
      <c r="AW560" s="282"/>
      <c r="AX560" s="282"/>
      <c r="AY560" s="282"/>
      <c r="AZ560" s="282"/>
      <c r="BA560" s="282"/>
    </row>
    <row r="561" spans="1:53">
      <c r="A561" s="282"/>
      <c r="B561" s="282"/>
      <c r="C561" s="282"/>
      <c r="D561" s="282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  <c r="AC561" s="282"/>
      <c r="AD561" s="282"/>
      <c r="AE561" s="282"/>
      <c r="AF561" s="282"/>
      <c r="AG561" s="282"/>
      <c r="AH561" s="281"/>
      <c r="AI561" s="282"/>
      <c r="AJ561" s="282"/>
      <c r="AK561" s="282"/>
      <c r="AL561" s="282"/>
      <c r="AM561" s="282"/>
      <c r="AN561" s="282"/>
      <c r="AO561" s="282"/>
      <c r="AP561" s="282"/>
      <c r="AQ561" s="282"/>
      <c r="AR561" s="282"/>
      <c r="AS561" s="282"/>
      <c r="AT561" s="282"/>
      <c r="AU561" s="282"/>
      <c r="AV561" s="282"/>
      <c r="AW561" s="282"/>
      <c r="AX561" s="282"/>
      <c r="AY561" s="282"/>
      <c r="AZ561" s="282"/>
      <c r="BA561" s="282"/>
    </row>
    <row r="562" spans="1:53">
      <c r="A562" s="282"/>
      <c r="B562" s="282"/>
      <c r="C562" s="282"/>
      <c r="D562" s="282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  <c r="AC562" s="282"/>
      <c r="AD562" s="282"/>
      <c r="AE562" s="282"/>
      <c r="AF562" s="282"/>
      <c r="AG562" s="282"/>
      <c r="AH562" s="281"/>
      <c r="AI562" s="282"/>
      <c r="AJ562" s="282"/>
      <c r="AK562" s="282"/>
      <c r="AL562" s="282"/>
      <c r="AM562" s="282"/>
      <c r="AN562" s="282"/>
      <c r="AO562" s="282"/>
      <c r="AP562" s="282"/>
      <c r="AQ562" s="282"/>
      <c r="AR562" s="282"/>
      <c r="AS562" s="282"/>
      <c r="AT562" s="282"/>
      <c r="AU562" s="282"/>
      <c r="AV562" s="282"/>
      <c r="AW562" s="282"/>
      <c r="AX562" s="282"/>
      <c r="AY562" s="282"/>
      <c r="AZ562" s="282"/>
      <c r="BA562" s="282"/>
    </row>
    <row r="563" spans="1:53">
      <c r="A563" s="282"/>
      <c r="B563" s="282"/>
      <c r="C563" s="282"/>
      <c r="D563" s="282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  <c r="AC563" s="282"/>
      <c r="AD563" s="282"/>
      <c r="AE563" s="282"/>
      <c r="AF563" s="282"/>
      <c r="AG563" s="282"/>
      <c r="AH563" s="281"/>
      <c r="AI563" s="282"/>
      <c r="AJ563" s="282"/>
      <c r="AK563" s="282"/>
      <c r="AL563" s="282"/>
      <c r="AM563" s="282"/>
      <c r="AN563" s="282"/>
      <c r="AO563" s="282"/>
      <c r="AP563" s="282"/>
      <c r="AQ563" s="282"/>
      <c r="AR563" s="282"/>
      <c r="AS563" s="282"/>
      <c r="AT563" s="282"/>
      <c r="AU563" s="282"/>
      <c r="AV563" s="282"/>
      <c r="AW563" s="282"/>
      <c r="AX563" s="282"/>
      <c r="AY563" s="282"/>
      <c r="AZ563" s="282"/>
      <c r="BA563" s="282"/>
    </row>
    <row r="564" spans="1:53">
      <c r="A564" s="282"/>
      <c r="B564" s="282"/>
      <c r="C564" s="282"/>
      <c r="D564" s="282"/>
      <c r="E564" s="282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  <c r="AA564" s="282"/>
      <c r="AB564" s="282"/>
      <c r="AC564" s="282"/>
      <c r="AD564" s="282"/>
      <c r="AE564" s="282"/>
      <c r="AF564" s="282"/>
      <c r="AG564" s="282"/>
      <c r="AH564" s="281"/>
      <c r="AI564" s="282"/>
      <c r="AJ564" s="282"/>
      <c r="AK564" s="282"/>
      <c r="AL564" s="282"/>
      <c r="AM564" s="282"/>
      <c r="AN564" s="282"/>
      <c r="AO564" s="282"/>
      <c r="AP564" s="282"/>
      <c r="AQ564" s="282"/>
      <c r="AR564" s="282"/>
      <c r="AS564" s="282"/>
      <c r="AT564" s="282"/>
      <c r="AU564" s="282"/>
      <c r="AV564" s="282"/>
      <c r="AW564" s="282"/>
      <c r="AX564" s="282"/>
      <c r="AY564" s="282"/>
      <c r="AZ564" s="282"/>
      <c r="BA564" s="282"/>
    </row>
    <row r="565" spans="1:53">
      <c r="A565" s="282"/>
      <c r="B565" s="282"/>
      <c r="C565" s="282"/>
      <c r="D565" s="282"/>
      <c r="E565" s="282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  <c r="AA565" s="282"/>
      <c r="AB565" s="282"/>
      <c r="AC565" s="282"/>
      <c r="AD565" s="282"/>
      <c r="AE565" s="282"/>
      <c r="AF565" s="282"/>
      <c r="AG565" s="282"/>
      <c r="AH565" s="281"/>
      <c r="AI565" s="282"/>
      <c r="AJ565" s="282"/>
      <c r="AK565" s="282"/>
      <c r="AL565" s="282"/>
      <c r="AM565" s="282"/>
      <c r="AN565" s="282"/>
      <c r="AO565" s="282"/>
      <c r="AP565" s="282"/>
      <c r="AQ565" s="282"/>
      <c r="AR565" s="282"/>
      <c r="AS565" s="282"/>
      <c r="AT565" s="282"/>
      <c r="AU565" s="282"/>
      <c r="AV565" s="282"/>
      <c r="AW565" s="282"/>
      <c r="AX565" s="282"/>
      <c r="AY565" s="282"/>
      <c r="AZ565" s="282"/>
      <c r="BA565" s="282"/>
    </row>
    <row r="566" spans="1:53">
      <c r="A566" s="282"/>
      <c r="B566" s="282"/>
      <c r="C566" s="282"/>
      <c r="D566" s="282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  <c r="AC566" s="282"/>
      <c r="AD566" s="282"/>
      <c r="AE566" s="282"/>
      <c r="AF566" s="282"/>
      <c r="AG566" s="282"/>
      <c r="AH566" s="281"/>
      <c r="AI566" s="282"/>
      <c r="AJ566" s="282"/>
      <c r="AK566" s="282"/>
      <c r="AL566" s="282"/>
      <c r="AM566" s="282"/>
      <c r="AN566" s="282"/>
      <c r="AO566" s="282"/>
      <c r="AP566" s="282"/>
      <c r="AQ566" s="282"/>
      <c r="AR566" s="282"/>
      <c r="AS566" s="282"/>
      <c r="AT566" s="282"/>
      <c r="AU566" s="282"/>
      <c r="AV566" s="282"/>
      <c r="AW566" s="282"/>
      <c r="AX566" s="282"/>
      <c r="AY566" s="282"/>
      <c r="AZ566" s="282"/>
      <c r="BA566" s="282"/>
    </row>
    <row r="567" spans="1:53">
      <c r="A567" s="282"/>
      <c r="B567" s="282"/>
      <c r="C567" s="282"/>
      <c r="D567" s="282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  <c r="AC567" s="282"/>
      <c r="AD567" s="282"/>
      <c r="AE567" s="282"/>
      <c r="AF567" s="282"/>
      <c r="AG567" s="282"/>
      <c r="AH567" s="281"/>
      <c r="AI567" s="282"/>
      <c r="AJ567" s="282"/>
      <c r="AK567" s="282"/>
      <c r="AL567" s="282"/>
      <c r="AM567" s="282"/>
      <c r="AN567" s="282"/>
      <c r="AO567" s="282"/>
      <c r="AP567" s="282"/>
      <c r="AQ567" s="282"/>
      <c r="AR567" s="282"/>
      <c r="AS567" s="282"/>
      <c r="AT567" s="282"/>
      <c r="AU567" s="282"/>
      <c r="AV567" s="282"/>
      <c r="AW567" s="282"/>
      <c r="AX567" s="282"/>
      <c r="AY567" s="282"/>
      <c r="AZ567" s="282"/>
      <c r="BA567" s="282"/>
    </row>
    <row r="568" spans="1:53">
      <c r="A568" s="282"/>
      <c r="B568" s="282"/>
      <c r="C568" s="282"/>
      <c r="D568" s="282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  <c r="AC568" s="282"/>
      <c r="AD568" s="282"/>
      <c r="AE568" s="282"/>
      <c r="AF568" s="282"/>
      <c r="AG568" s="282"/>
      <c r="AH568" s="281"/>
      <c r="AI568" s="282"/>
      <c r="AJ568" s="282"/>
      <c r="AK568" s="282"/>
      <c r="AL568" s="282"/>
      <c r="AM568" s="282"/>
      <c r="AN568" s="282"/>
      <c r="AO568" s="282"/>
      <c r="AP568" s="282"/>
      <c r="AQ568" s="282"/>
      <c r="AR568" s="282"/>
      <c r="AS568" s="282"/>
      <c r="AT568" s="282"/>
      <c r="AU568" s="282"/>
      <c r="AV568" s="282"/>
      <c r="AW568" s="282"/>
      <c r="AX568" s="282"/>
      <c r="AY568" s="282"/>
      <c r="AZ568" s="282"/>
      <c r="BA568" s="282"/>
    </row>
    <row r="569" spans="1:53">
      <c r="A569" s="282"/>
      <c r="B569" s="282"/>
      <c r="C569" s="282"/>
      <c r="D569" s="282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  <c r="AC569" s="282"/>
      <c r="AD569" s="282"/>
      <c r="AE569" s="282"/>
      <c r="AF569" s="282"/>
      <c r="AG569" s="282"/>
      <c r="AH569" s="281"/>
      <c r="AI569" s="282"/>
      <c r="AJ569" s="282"/>
      <c r="AK569" s="282"/>
      <c r="AL569" s="282"/>
      <c r="AM569" s="282"/>
      <c r="AN569" s="282"/>
      <c r="AO569" s="282"/>
      <c r="AP569" s="282"/>
      <c r="AQ569" s="282"/>
      <c r="AR569" s="282"/>
      <c r="AS569" s="282"/>
      <c r="AT569" s="282"/>
      <c r="AU569" s="282"/>
      <c r="AV569" s="282"/>
      <c r="AW569" s="282"/>
      <c r="AX569" s="282"/>
      <c r="AY569" s="282"/>
      <c r="AZ569" s="282"/>
      <c r="BA569" s="282"/>
    </row>
    <row r="570" spans="1:53">
      <c r="A570" s="282"/>
      <c r="B570" s="282"/>
      <c r="C570" s="282"/>
      <c r="D570" s="282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  <c r="AC570" s="282"/>
      <c r="AD570" s="282"/>
      <c r="AE570" s="282"/>
      <c r="AF570" s="282"/>
      <c r="AG570" s="282"/>
      <c r="AH570" s="281"/>
      <c r="AI570" s="282"/>
      <c r="AJ570" s="282"/>
      <c r="AK570" s="282"/>
      <c r="AL570" s="282"/>
      <c r="AM570" s="282"/>
      <c r="AN570" s="282"/>
      <c r="AO570" s="282"/>
      <c r="AP570" s="282"/>
      <c r="AQ570" s="282"/>
      <c r="AR570" s="282"/>
      <c r="AS570" s="282"/>
      <c r="AT570" s="282"/>
      <c r="AU570" s="282"/>
      <c r="AV570" s="282"/>
      <c r="AW570" s="282"/>
      <c r="AX570" s="282"/>
      <c r="AY570" s="282"/>
      <c r="AZ570" s="282"/>
      <c r="BA570" s="282"/>
    </row>
    <row r="571" spans="1:53">
      <c r="A571" s="282"/>
      <c r="B571" s="282"/>
      <c r="C571" s="282"/>
      <c r="D571" s="282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  <c r="AC571" s="282"/>
      <c r="AD571" s="282"/>
      <c r="AE571" s="282"/>
      <c r="AF571" s="282"/>
      <c r="AG571" s="282"/>
      <c r="AH571" s="281"/>
      <c r="AI571" s="282"/>
      <c r="AJ571" s="282"/>
      <c r="AK571" s="282"/>
      <c r="AL571" s="282"/>
      <c r="AM571" s="282"/>
      <c r="AN571" s="282"/>
      <c r="AO571" s="282"/>
      <c r="AP571" s="282"/>
      <c r="AQ571" s="282"/>
      <c r="AR571" s="282"/>
      <c r="AS571" s="282"/>
      <c r="AT571" s="282"/>
      <c r="AU571" s="282"/>
      <c r="AV571" s="282"/>
      <c r="AW571" s="282"/>
      <c r="AX571" s="282"/>
      <c r="AY571" s="282"/>
      <c r="AZ571" s="282"/>
      <c r="BA571" s="282"/>
    </row>
    <row r="572" spans="1:53">
      <c r="A572" s="282"/>
      <c r="B572" s="282"/>
      <c r="C572" s="282"/>
      <c r="D572" s="282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  <c r="AC572" s="282"/>
      <c r="AD572" s="282"/>
      <c r="AE572" s="282"/>
      <c r="AF572" s="282"/>
      <c r="AG572" s="282"/>
      <c r="AH572" s="281"/>
      <c r="AI572" s="282"/>
      <c r="AJ572" s="282"/>
      <c r="AK572" s="282"/>
      <c r="AL572" s="282"/>
      <c r="AM572" s="282"/>
      <c r="AN572" s="282"/>
      <c r="AO572" s="282"/>
      <c r="AP572" s="282"/>
      <c r="AQ572" s="282"/>
      <c r="AR572" s="282"/>
      <c r="AS572" s="282"/>
      <c r="AT572" s="282"/>
      <c r="AU572" s="282"/>
      <c r="AV572" s="282"/>
      <c r="AW572" s="282"/>
      <c r="AX572" s="282"/>
      <c r="AY572" s="282"/>
      <c r="AZ572" s="282"/>
      <c r="BA572" s="282"/>
    </row>
    <row r="573" spans="1:53">
      <c r="A573" s="282"/>
      <c r="B573" s="282"/>
      <c r="C573" s="282"/>
      <c r="D573" s="282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  <c r="AC573" s="282"/>
      <c r="AD573" s="282"/>
      <c r="AE573" s="282"/>
      <c r="AF573" s="282"/>
      <c r="AG573" s="282"/>
      <c r="AH573" s="281"/>
      <c r="AI573" s="282"/>
      <c r="AJ573" s="282"/>
      <c r="AK573" s="282"/>
      <c r="AL573" s="282"/>
      <c r="AM573" s="282"/>
      <c r="AN573" s="282"/>
      <c r="AO573" s="282"/>
      <c r="AP573" s="282"/>
      <c r="AQ573" s="282"/>
      <c r="AR573" s="282"/>
      <c r="AS573" s="282"/>
      <c r="AT573" s="282"/>
      <c r="AU573" s="282"/>
      <c r="AV573" s="282"/>
      <c r="AW573" s="282"/>
      <c r="AX573" s="282"/>
      <c r="AY573" s="282"/>
      <c r="AZ573" s="282"/>
      <c r="BA573" s="282"/>
    </row>
    <row r="574" spans="1:53">
      <c r="A574" s="282"/>
      <c r="B574" s="282"/>
      <c r="C574" s="282"/>
      <c r="D574" s="282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  <c r="AC574" s="282"/>
      <c r="AD574" s="282"/>
      <c r="AE574" s="282"/>
      <c r="AF574" s="282"/>
      <c r="AG574" s="282"/>
      <c r="AH574" s="281"/>
      <c r="AI574" s="282"/>
      <c r="AJ574" s="282"/>
      <c r="AK574" s="282"/>
      <c r="AL574" s="282"/>
      <c r="AM574" s="282"/>
      <c r="AN574" s="282"/>
      <c r="AO574" s="282"/>
      <c r="AP574" s="282"/>
      <c r="AQ574" s="282"/>
      <c r="AR574" s="282"/>
      <c r="AS574" s="282"/>
      <c r="AT574" s="282"/>
      <c r="AU574" s="282"/>
      <c r="AV574" s="282"/>
      <c r="AW574" s="282"/>
      <c r="AX574" s="282"/>
      <c r="AY574" s="282"/>
      <c r="AZ574" s="282"/>
      <c r="BA574" s="282"/>
    </row>
    <row r="575" spans="1:53">
      <c r="A575" s="282"/>
      <c r="B575" s="282"/>
      <c r="C575" s="282"/>
      <c r="D575" s="282"/>
      <c r="E575" s="282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  <c r="AA575" s="282"/>
      <c r="AB575" s="282"/>
      <c r="AC575" s="282"/>
      <c r="AD575" s="282"/>
      <c r="AE575" s="282"/>
      <c r="AF575" s="282"/>
      <c r="AG575" s="282"/>
      <c r="AH575" s="281"/>
      <c r="AI575" s="282"/>
      <c r="AJ575" s="282"/>
      <c r="AK575" s="282"/>
      <c r="AL575" s="282"/>
      <c r="AM575" s="282"/>
      <c r="AN575" s="282"/>
      <c r="AO575" s="282"/>
      <c r="AP575" s="282"/>
      <c r="AQ575" s="282"/>
      <c r="AR575" s="282"/>
      <c r="AS575" s="282"/>
      <c r="AT575" s="282"/>
      <c r="AU575" s="282"/>
      <c r="AV575" s="282"/>
      <c r="AW575" s="282"/>
      <c r="AX575" s="282"/>
      <c r="AY575" s="282"/>
      <c r="AZ575" s="282"/>
      <c r="BA575" s="282"/>
    </row>
    <row r="576" spans="1:53">
      <c r="A576" s="282"/>
      <c r="B576" s="282"/>
      <c r="C576" s="282"/>
      <c r="D576" s="282"/>
      <c r="E576" s="282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  <c r="AA576" s="282"/>
      <c r="AB576" s="282"/>
      <c r="AC576" s="282"/>
      <c r="AD576" s="282"/>
      <c r="AE576" s="282"/>
      <c r="AF576" s="282"/>
      <c r="AG576" s="282"/>
      <c r="AH576" s="281"/>
      <c r="AI576" s="282"/>
      <c r="AJ576" s="282"/>
      <c r="AK576" s="282"/>
      <c r="AL576" s="282"/>
      <c r="AM576" s="282"/>
      <c r="AN576" s="282"/>
      <c r="AO576" s="282"/>
      <c r="AP576" s="282"/>
      <c r="AQ576" s="282"/>
      <c r="AR576" s="282"/>
      <c r="AS576" s="282"/>
      <c r="AT576" s="282"/>
      <c r="AU576" s="282"/>
      <c r="AV576" s="282"/>
      <c r="AW576" s="282"/>
      <c r="AX576" s="282"/>
      <c r="AY576" s="282"/>
      <c r="AZ576" s="282"/>
      <c r="BA576" s="282"/>
    </row>
    <row r="577" spans="1:53">
      <c r="A577" s="282"/>
      <c r="B577" s="282"/>
      <c r="C577" s="282"/>
      <c r="D577" s="282"/>
      <c r="E577" s="282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  <c r="AA577" s="282"/>
      <c r="AB577" s="282"/>
      <c r="AC577" s="282"/>
      <c r="AD577" s="282"/>
      <c r="AE577" s="282"/>
      <c r="AF577" s="282"/>
      <c r="AG577" s="282"/>
      <c r="AH577" s="281"/>
      <c r="AI577" s="282"/>
      <c r="AJ577" s="282"/>
      <c r="AK577" s="282"/>
      <c r="AL577" s="282"/>
      <c r="AM577" s="282"/>
      <c r="AN577" s="282"/>
      <c r="AO577" s="282"/>
      <c r="AP577" s="282"/>
      <c r="AQ577" s="282"/>
      <c r="AR577" s="282"/>
      <c r="AS577" s="282"/>
      <c r="AT577" s="282"/>
      <c r="AU577" s="282"/>
      <c r="AV577" s="282"/>
      <c r="AW577" s="282"/>
      <c r="AX577" s="282"/>
      <c r="AY577" s="282"/>
      <c r="AZ577" s="282"/>
      <c r="BA577" s="282"/>
    </row>
    <row r="578" spans="1:53">
      <c r="A578" s="282"/>
      <c r="B578" s="282"/>
      <c r="C578" s="282"/>
      <c r="D578" s="282"/>
      <c r="E578" s="282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  <c r="AC578" s="282"/>
      <c r="AD578" s="282"/>
      <c r="AE578" s="282"/>
      <c r="AF578" s="282"/>
      <c r="AG578" s="282"/>
      <c r="AH578" s="281"/>
      <c r="AI578" s="282"/>
      <c r="AJ578" s="282"/>
      <c r="AK578" s="282"/>
      <c r="AL578" s="282"/>
      <c r="AM578" s="282"/>
      <c r="AN578" s="282"/>
      <c r="AO578" s="282"/>
      <c r="AP578" s="282"/>
      <c r="AQ578" s="282"/>
      <c r="AR578" s="282"/>
      <c r="AS578" s="282"/>
      <c r="AT578" s="282"/>
      <c r="AU578" s="282"/>
      <c r="AV578" s="282"/>
      <c r="AW578" s="282"/>
      <c r="AX578" s="282"/>
      <c r="AY578" s="282"/>
      <c r="AZ578" s="282"/>
      <c r="BA578" s="282"/>
    </row>
    <row r="579" spans="1:53">
      <c r="A579" s="282"/>
      <c r="B579" s="282"/>
      <c r="C579" s="282"/>
      <c r="D579" s="282"/>
      <c r="E579" s="282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  <c r="AA579" s="282"/>
      <c r="AB579" s="282"/>
      <c r="AC579" s="282"/>
      <c r="AD579" s="282"/>
      <c r="AE579" s="282"/>
      <c r="AF579" s="282"/>
      <c r="AG579" s="282"/>
      <c r="AH579" s="281"/>
      <c r="AI579" s="282"/>
      <c r="AJ579" s="282"/>
      <c r="AK579" s="282"/>
      <c r="AL579" s="282"/>
      <c r="AM579" s="282"/>
      <c r="AN579" s="282"/>
      <c r="AO579" s="282"/>
      <c r="AP579" s="282"/>
      <c r="AQ579" s="282"/>
      <c r="AR579" s="282"/>
      <c r="AS579" s="282"/>
      <c r="AT579" s="282"/>
      <c r="AU579" s="282"/>
      <c r="AV579" s="282"/>
      <c r="AW579" s="282"/>
      <c r="AX579" s="282"/>
      <c r="AY579" s="282"/>
      <c r="AZ579" s="282"/>
      <c r="BA579" s="282"/>
    </row>
    <row r="580" spans="1:53">
      <c r="A580" s="282"/>
      <c r="B580" s="282"/>
      <c r="C580" s="282"/>
      <c r="D580" s="282"/>
      <c r="E580" s="282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  <c r="AA580" s="282"/>
      <c r="AB580" s="282"/>
      <c r="AC580" s="282"/>
      <c r="AD580" s="282"/>
      <c r="AE580" s="282"/>
      <c r="AF580" s="282"/>
      <c r="AG580" s="282"/>
      <c r="AH580" s="281"/>
      <c r="AI580" s="282"/>
      <c r="AJ580" s="282"/>
      <c r="AK580" s="282"/>
      <c r="AL580" s="282"/>
      <c r="AM580" s="282"/>
      <c r="AN580" s="282"/>
      <c r="AO580" s="282"/>
      <c r="AP580" s="282"/>
      <c r="AQ580" s="282"/>
      <c r="AR580" s="282"/>
      <c r="AS580" s="282"/>
      <c r="AT580" s="282"/>
      <c r="AU580" s="282"/>
      <c r="AV580" s="282"/>
      <c r="AW580" s="282"/>
      <c r="AX580" s="282"/>
      <c r="AY580" s="282"/>
      <c r="AZ580" s="282"/>
      <c r="BA580" s="282"/>
    </row>
    <row r="581" spans="1:53">
      <c r="A581" s="282"/>
      <c r="B581" s="282"/>
      <c r="C581" s="282"/>
      <c r="D581" s="282"/>
      <c r="E581" s="282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  <c r="AA581" s="282"/>
      <c r="AB581" s="282"/>
      <c r="AC581" s="282"/>
      <c r="AD581" s="282"/>
      <c r="AE581" s="282"/>
      <c r="AF581" s="282"/>
      <c r="AG581" s="282"/>
      <c r="AH581" s="281"/>
      <c r="AI581" s="282"/>
      <c r="AJ581" s="282"/>
      <c r="AK581" s="282"/>
      <c r="AL581" s="282"/>
      <c r="AM581" s="282"/>
      <c r="AN581" s="282"/>
      <c r="AO581" s="282"/>
      <c r="AP581" s="282"/>
      <c r="AQ581" s="282"/>
      <c r="AR581" s="282"/>
      <c r="AS581" s="282"/>
      <c r="AT581" s="282"/>
      <c r="AU581" s="282"/>
      <c r="AV581" s="282"/>
      <c r="AW581" s="282"/>
      <c r="AX581" s="282"/>
      <c r="AY581" s="282"/>
      <c r="AZ581" s="282"/>
      <c r="BA581" s="282"/>
    </row>
    <row r="582" spans="1:53">
      <c r="A582" s="282"/>
      <c r="B582" s="282"/>
      <c r="C582" s="282"/>
      <c r="D582" s="282"/>
      <c r="E582" s="282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  <c r="AA582" s="282"/>
      <c r="AB582" s="282"/>
      <c r="AC582" s="282"/>
      <c r="AD582" s="282"/>
      <c r="AE582" s="282"/>
      <c r="AF582" s="282"/>
      <c r="AG582" s="282"/>
      <c r="AH582" s="281"/>
      <c r="AI582" s="282"/>
      <c r="AJ582" s="282"/>
      <c r="AK582" s="282"/>
      <c r="AL582" s="282"/>
      <c r="AM582" s="282"/>
      <c r="AN582" s="282"/>
      <c r="AO582" s="282"/>
      <c r="AP582" s="282"/>
      <c r="AQ582" s="282"/>
      <c r="AR582" s="282"/>
      <c r="AS582" s="282"/>
      <c r="AT582" s="282"/>
      <c r="AU582" s="282"/>
      <c r="AV582" s="282"/>
      <c r="AW582" s="282"/>
      <c r="AX582" s="282"/>
      <c r="AY582" s="282"/>
      <c r="AZ582" s="282"/>
      <c r="BA582" s="282"/>
    </row>
    <row r="583" spans="1:53">
      <c r="A583" s="282"/>
      <c r="B583" s="282"/>
      <c r="C583" s="282"/>
      <c r="D583" s="282"/>
      <c r="E583" s="282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  <c r="AA583" s="282"/>
      <c r="AB583" s="282"/>
      <c r="AC583" s="282"/>
      <c r="AD583" s="282"/>
      <c r="AE583" s="282"/>
      <c r="AF583" s="282"/>
      <c r="AG583" s="282"/>
      <c r="AH583" s="281"/>
      <c r="AI583" s="282"/>
      <c r="AJ583" s="282"/>
      <c r="AK583" s="282"/>
      <c r="AL583" s="282"/>
      <c r="AM583" s="282"/>
      <c r="AN583" s="282"/>
      <c r="AO583" s="282"/>
      <c r="AP583" s="282"/>
      <c r="AQ583" s="282"/>
      <c r="AR583" s="282"/>
      <c r="AS583" s="282"/>
      <c r="AT583" s="282"/>
      <c r="AU583" s="282"/>
      <c r="AV583" s="282"/>
      <c r="AW583" s="282"/>
      <c r="AX583" s="282"/>
      <c r="AY583" s="282"/>
      <c r="AZ583" s="282"/>
      <c r="BA583" s="282"/>
    </row>
    <row r="584" spans="1:53">
      <c r="A584" s="282"/>
      <c r="B584" s="282"/>
      <c r="C584" s="282"/>
      <c r="D584" s="282"/>
      <c r="E584" s="282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  <c r="AC584" s="282"/>
      <c r="AD584" s="282"/>
      <c r="AE584" s="282"/>
      <c r="AF584" s="282"/>
      <c r="AG584" s="282"/>
      <c r="AH584" s="281"/>
      <c r="AI584" s="282"/>
      <c r="AJ584" s="282"/>
      <c r="AK584" s="282"/>
      <c r="AL584" s="282"/>
      <c r="AM584" s="282"/>
      <c r="AN584" s="282"/>
      <c r="AO584" s="282"/>
      <c r="AP584" s="282"/>
      <c r="AQ584" s="282"/>
      <c r="AR584" s="282"/>
      <c r="AS584" s="282"/>
      <c r="AT584" s="282"/>
      <c r="AU584" s="282"/>
      <c r="AV584" s="282"/>
      <c r="AW584" s="282"/>
      <c r="AX584" s="282"/>
      <c r="AY584" s="282"/>
      <c r="AZ584" s="282"/>
      <c r="BA584" s="282"/>
    </row>
    <row r="585" spans="1:53">
      <c r="A585" s="282"/>
      <c r="B585" s="282"/>
      <c r="C585" s="282"/>
      <c r="D585" s="282"/>
      <c r="E585" s="282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  <c r="AA585" s="282"/>
      <c r="AB585" s="282"/>
      <c r="AC585" s="282"/>
      <c r="AD585" s="282"/>
      <c r="AE585" s="282"/>
      <c r="AF585" s="282"/>
      <c r="AG585" s="282"/>
      <c r="AH585" s="281"/>
      <c r="AI585" s="282"/>
      <c r="AJ585" s="282"/>
      <c r="AK585" s="282"/>
      <c r="AL585" s="282"/>
      <c r="AM585" s="282"/>
      <c r="AN585" s="282"/>
      <c r="AO585" s="282"/>
      <c r="AP585" s="282"/>
      <c r="AQ585" s="282"/>
      <c r="AR585" s="282"/>
      <c r="AS585" s="282"/>
      <c r="AT585" s="282"/>
      <c r="AU585" s="282"/>
      <c r="AV585" s="282"/>
      <c r="AW585" s="282"/>
      <c r="AX585" s="282"/>
      <c r="AY585" s="282"/>
      <c r="AZ585" s="282"/>
      <c r="BA585" s="282"/>
    </row>
    <row r="586" spans="1:53">
      <c r="A586" s="282"/>
      <c r="B586" s="282"/>
      <c r="C586" s="282"/>
      <c r="D586" s="282"/>
      <c r="E586" s="282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  <c r="AA586" s="282"/>
      <c r="AB586" s="282"/>
      <c r="AC586" s="282"/>
      <c r="AD586" s="282"/>
      <c r="AE586" s="282"/>
      <c r="AF586" s="282"/>
      <c r="AG586" s="282"/>
      <c r="AH586" s="281"/>
      <c r="AI586" s="282"/>
      <c r="AJ586" s="282"/>
      <c r="AK586" s="282"/>
      <c r="AL586" s="282"/>
      <c r="AM586" s="282"/>
      <c r="AN586" s="282"/>
      <c r="AO586" s="282"/>
      <c r="AP586" s="282"/>
      <c r="AQ586" s="282"/>
      <c r="AR586" s="282"/>
      <c r="AS586" s="282"/>
      <c r="AT586" s="282"/>
      <c r="AU586" s="282"/>
      <c r="AV586" s="282"/>
      <c r="AW586" s="282"/>
      <c r="AX586" s="282"/>
      <c r="AY586" s="282"/>
      <c r="AZ586" s="282"/>
      <c r="BA586" s="282"/>
    </row>
    <row r="587" spans="1:53">
      <c r="A587" s="282"/>
      <c r="B587" s="282"/>
      <c r="C587" s="282"/>
      <c r="D587" s="282"/>
      <c r="E587" s="282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  <c r="AA587" s="282"/>
      <c r="AB587" s="282"/>
      <c r="AC587" s="282"/>
      <c r="AD587" s="282"/>
      <c r="AE587" s="282"/>
      <c r="AF587" s="282"/>
      <c r="AG587" s="282"/>
      <c r="AH587" s="281"/>
      <c r="AI587" s="282"/>
      <c r="AJ587" s="282"/>
      <c r="AK587" s="282"/>
      <c r="AL587" s="282"/>
      <c r="AM587" s="282"/>
      <c r="AN587" s="282"/>
      <c r="AO587" s="282"/>
      <c r="AP587" s="282"/>
      <c r="AQ587" s="282"/>
      <c r="AR587" s="282"/>
      <c r="AS587" s="282"/>
      <c r="AT587" s="282"/>
      <c r="AU587" s="282"/>
      <c r="AV587" s="282"/>
      <c r="AW587" s="282"/>
      <c r="AX587" s="282"/>
      <c r="AY587" s="282"/>
      <c r="AZ587" s="282"/>
      <c r="BA587" s="282"/>
    </row>
    <row r="588" spans="1:53">
      <c r="A588" s="282"/>
      <c r="B588" s="282"/>
      <c r="C588" s="282"/>
      <c r="D588" s="282"/>
      <c r="E588" s="282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  <c r="AA588" s="282"/>
      <c r="AB588" s="282"/>
      <c r="AC588" s="282"/>
      <c r="AD588" s="282"/>
      <c r="AE588" s="282"/>
      <c r="AF588" s="282"/>
      <c r="AG588" s="282"/>
      <c r="AH588" s="281"/>
      <c r="AI588" s="282"/>
      <c r="AJ588" s="282"/>
      <c r="AK588" s="282"/>
      <c r="AL588" s="282"/>
      <c r="AM588" s="282"/>
      <c r="AN588" s="282"/>
      <c r="AO588" s="282"/>
      <c r="AP588" s="282"/>
      <c r="AQ588" s="282"/>
      <c r="AR588" s="282"/>
      <c r="AS588" s="282"/>
      <c r="AT588" s="282"/>
      <c r="AU588" s="282"/>
      <c r="AV588" s="282"/>
      <c r="AW588" s="282"/>
      <c r="AX588" s="282"/>
      <c r="AY588" s="282"/>
      <c r="AZ588" s="282"/>
      <c r="BA588" s="282"/>
    </row>
    <row r="589" spans="1:53">
      <c r="A589" s="282"/>
      <c r="B589" s="282"/>
      <c r="C589" s="282"/>
      <c r="D589" s="282"/>
      <c r="E589" s="282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  <c r="AA589" s="282"/>
      <c r="AB589" s="282"/>
      <c r="AC589" s="282"/>
      <c r="AD589" s="282"/>
      <c r="AE589" s="282"/>
      <c r="AF589" s="282"/>
      <c r="AG589" s="282"/>
      <c r="AH589" s="281"/>
      <c r="AI589" s="282"/>
      <c r="AJ589" s="282"/>
      <c r="AK589" s="282"/>
      <c r="AL589" s="282"/>
      <c r="AM589" s="282"/>
      <c r="AN589" s="282"/>
      <c r="AO589" s="282"/>
      <c r="AP589" s="282"/>
      <c r="AQ589" s="282"/>
      <c r="AR589" s="282"/>
      <c r="AS589" s="282"/>
      <c r="AT589" s="282"/>
      <c r="AU589" s="282"/>
      <c r="AV589" s="282"/>
      <c r="AW589" s="282"/>
      <c r="AX589" s="282"/>
      <c r="AY589" s="282"/>
      <c r="AZ589" s="282"/>
      <c r="BA589" s="282"/>
    </row>
    <row r="590" spans="1:53">
      <c r="A590" s="282"/>
      <c r="B590" s="282"/>
      <c r="C590" s="282"/>
      <c r="D590" s="282"/>
      <c r="E590" s="282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  <c r="AA590" s="282"/>
      <c r="AB590" s="282"/>
      <c r="AC590" s="282"/>
      <c r="AD590" s="282"/>
      <c r="AE590" s="282"/>
      <c r="AF590" s="282"/>
      <c r="AG590" s="282"/>
      <c r="AH590" s="281"/>
      <c r="AI590" s="282"/>
      <c r="AJ590" s="282"/>
      <c r="AK590" s="282"/>
      <c r="AL590" s="282"/>
      <c r="AM590" s="282"/>
      <c r="AN590" s="282"/>
      <c r="AO590" s="282"/>
      <c r="AP590" s="282"/>
      <c r="AQ590" s="282"/>
      <c r="AR590" s="282"/>
      <c r="AS590" s="282"/>
      <c r="AT590" s="282"/>
      <c r="AU590" s="282"/>
      <c r="AV590" s="282"/>
      <c r="AW590" s="282"/>
      <c r="AX590" s="282"/>
      <c r="AY590" s="282"/>
      <c r="AZ590" s="282"/>
      <c r="BA590" s="282"/>
    </row>
    <row r="591" spans="1:53">
      <c r="A591" s="282"/>
      <c r="B591" s="282"/>
      <c r="C591" s="282"/>
      <c r="D591" s="282"/>
      <c r="E591" s="282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  <c r="AA591" s="282"/>
      <c r="AB591" s="282"/>
      <c r="AC591" s="282"/>
      <c r="AD591" s="282"/>
      <c r="AE591" s="282"/>
      <c r="AF591" s="282"/>
      <c r="AG591" s="282"/>
      <c r="AH591" s="281"/>
      <c r="AI591" s="282"/>
      <c r="AJ591" s="282"/>
      <c r="AK591" s="282"/>
      <c r="AL591" s="282"/>
      <c r="AM591" s="282"/>
      <c r="AN591" s="282"/>
      <c r="AO591" s="282"/>
      <c r="AP591" s="282"/>
      <c r="AQ591" s="282"/>
      <c r="AR591" s="282"/>
      <c r="AS591" s="282"/>
      <c r="AT591" s="282"/>
      <c r="AU591" s="282"/>
      <c r="AV591" s="282"/>
      <c r="AW591" s="282"/>
      <c r="AX591" s="282"/>
      <c r="AY591" s="282"/>
      <c r="AZ591" s="282"/>
      <c r="BA591" s="282"/>
    </row>
    <row r="592" spans="1:53">
      <c r="A592" s="282"/>
      <c r="B592" s="282"/>
      <c r="C592" s="282"/>
      <c r="D592" s="282"/>
      <c r="E592" s="282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  <c r="AA592" s="282"/>
      <c r="AB592" s="282"/>
      <c r="AC592" s="282"/>
      <c r="AD592" s="282"/>
      <c r="AE592" s="282"/>
      <c r="AF592" s="282"/>
      <c r="AG592" s="282"/>
      <c r="AH592" s="281"/>
      <c r="AI592" s="282"/>
      <c r="AJ592" s="282"/>
      <c r="AK592" s="282"/>
      <c r="AL592" s="282"/>
      <c r="AM592" s="282"/>
      <c r="AN592" s="282"/>
      <c r="AO592" s="282"/>
      <c r="AP592" s="282"/>
      <c r="AQ592" s="282"/>
      <c r="AR592" s="282"/>
      <c r="AS592" s="282"/>
      <c r="AT592" s="282"/>
      <c r="AU592" s="282"/>
      <c r="AV592" s="282"/>
      <c r="AW592" s="282"/>
      <c r="AX592" s="282"/>
      <c r="AY592" s="282"/>
      <c r="AZ592" s="282"/>
      <c r="BA592" s="282"/>
    </row>
    <row r="593" spans="1:53">
      <c r="A593" s="282"/>
      <c r="B593" s="282"/>
      <c r="C593" s="282"/>
      <c r="D593" s="282"/>
      <c r="E593" s="282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  <c r="AC593" s="282"/>
      <c r="AD593" s="282"/>
      <c r="AE593" s="282"/>
      <c r="AF593" s="282"/>
      <c r="AG593" s="282"/>
      <c r="AH593" s="281"/>
      <c r="AI593" s="282"/>
      <c r="AJ593" s="282"/>
      <c r="AK593" s="282"/>
      <c r="AL593" s="282"/>
      <c r="AM593" s="282"/>
      <c r="AN593" s="282"/>
      <c r="AO593" s="282"/>
      <c r="AP593" s="282"/>
      <c r="AQ593" s="282"/>
      <c r="AR593" s="282"/>
      <c r="AS593" s="282"/>
      <c r="AT593" s="282"/>
      <c r="AU593" s="282"/>
      <c r="AV593" s="282"/>
      <c r="AW593" s="282"/>
      <c r="AX593" s="282"/>
      <c r="AY593" s="282"/>
      <c r="AZ593" s="282"/>
      <c r="BA593" s="282"/>
    </row>
    <row r="594" spans="1:53">
      <c r="A594" s="282"/>
      <c r="B594" s="282"/>
      <c r="C594" s="282"/>
      <c r="D594" s="282"/>
      <c r="E594" s="282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  <c r="AA594" s="282"/>
      <c r="AB594" s="282"/>
      <c r="AC594" s="282"/>
      <c r="AD594" s="282"/>
      <c r="AE594" s="282"/>
      <c r="AF594" s="282"/>
      <c r="AG594" s="282"/>
      <c r="AH594" s="281"/>
      <c r="AI594" s="282"/>
      <c r="AJ594" s="282"/>
      <c r="AK594" s="282"/>
      <c r="AL594" s="282"/>
      <c r="AM594" s="282"/>
      <c r="AN594" s="282"/>
      <c r="AO594" s="282"/>
      <c r="AP594" s="282"/>
      <c r="AQ594" s="282"/>
      <c r="AR594" s="282"/>
      <c r="AS594" s="282"/>
      <c r="AT594" s="282"/>
      <c r="AU594" s="282"/>
      <c r="AV594" s="282"/>
      <c r="AW594" s="282"/>
      <c r="AX594" s="282"/>
      <c r="AY594" s="282"/>
      <c r="AZ594" s="282"/>
      <c r="BA594" s="282"/>
    </row>
    <row r="595" spans="1:53">
      <c r="A595" s="282"/>
      <c r="B595" s="282"/>
      <c r="C595" s="282"/>
      <c r="D595" s="282"/>
      <c r="E595" s="282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  <c r="AA595" s="282"/>
      <c r="AB595" s="282"/>
      <c r="AC595" s="282"/>
      <c r="AD595" s="282"/>
      <c r="AE595" s="282"/>
      <c r="AF595" s="282"/>
      <c r="AG595" s="282"/>
      <c r="AH595" s="281"/>
      <c r="AI595" s="282"/>
      <c r="AJ595" s="282"/>
      <c r="AK595" s="282"/>
      <c r="AL595" s="282"/>
      <c r="AM595" s="282"/>
      <c r="AN595" s="282"/>
      <c r="AO595" s="282"/>
      <c r="AP595" s="282"/>
      <c r="AQ595" s="282"/>
      <c r="AR595" s="282"/>
      <c r="AS595" s="282"/>
      <c r="AT595" s="282"/>
      <c r="AU595" s="282"/>
      <c r="AV595" s="282"/>
      <c r="AW595" s="282"/>
      <c r="AX595" s="282"/>
      <c r="AY595" s="282"/>
      <c r="AZ595" s="282"/>
      <c r="BA595" s="282"/>
    </row>
    <row r="596" spans="1:53">
      <c r="A596" s="282"/>
      <c r="B596" s="282"/>
      <c r="C596" s="282"/>
      <c r="D596" s="282"/>
      <c r="E596" s="282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  <c r="AA596" s="282"/>
      <c r="AB596" s="282"/>
      <c r="AC596" s="282"/>
      <c r="AD596" s="282"/>
      <c r="AE596" s="282"/>
      <c r="AF596" s="282"/>
      <c r="AG596" s="282"/>
      <c r="AH596" s="281"/>
      <c r="AI596" s="282"/>
      <c r="AJ596" s="282"/>
      <c r="AK596" s="282"/>
      <c r="AL596" s="282"/>
      <c r="AM596" s="282"/>
      <c r="AN596" s="282"/>
      <c r="AO596" s="282"/>
      <c r="AP596" s="282"/>
      <c r="AQ596" s="282"/>
      <c r="AR596" s="282"/>
      <c r="AS596" s="282"/>
      <c r="AT596" s="282"/>
      <c r="AU596" s="282"/>
      <c r="AV596" s="282"/>
      <c r="AW596" s="282"/>
      <c r="AX596" s="282"/>
      <c r="AY596" s="282"/>
      <c r="AZ596" s="282"/>
      <c r="BA596" s="282"/>
    </row>
    <row r="597" spans="1:53">
      <c r="A597" s="282"/>
      <c r="B597" s="282"/>
      <c r="C597" s="282"/>
      <c r="D597" s="282"/>
      <c r="E597" s="282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  <c r="AA597" s="282"/>
      <c r="AB597" s="282"/>
      <c r="AC597" s="282"/>
      <c r="AD597" s="282"/>
      <c r="AE597" s="282"/>
      <c r="AF597" s="282"/>
      <c r="AG597" s="282"/>
      <c r="AH597" s="281"/>
      <c r="AI597" s="282"/>
      <c r="AJ597" s="282"/>
      <c r="AK597" s="282"/>
      <c r="AL597" s="282"/>
      <c r="AM597" s="282"/>
      <c r="AN597" s="282"/>
      <c r="AO597" s="282"/>
      <c r="AP597" s="282"/>
      <c r="AQ597" s="282"/>
      <c r="AR597" s="282"/>
      <c r="AS597" s="282"/>
      <c r="AT597" s="282"/>
      <c r="AU597" s="282"/>
      <c r="AV597" s="282"/>
      <c r="AW597" s="282"/>
      <c r="AX597" s="282"/>
      <c r="AY597" s="282"/>
      <c r="AZ597" s="282"/>
      <c r="BA597" s="282"/>
    </row>
    <row r="598" spans="1:53">
      <c r="A598" s="282"/>
      <c r="B598" s="282"/>
      <c r="C598" s="282"/>
      <c r="D598" s="282"/>
      <c r="E598" s="282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  <c r="AA598" s="282"/>
      <c r="AB598" s="282"/>
      <c r="AC598" s="282"/>
      <c r="AD598" s="282"/>
      <c r="AE598" s="282"/>
      <c r="AF598" s="282"/>
      <c r="AG598" s="282"/>
      <c r="AH598" s="281"/>
      <c r="AI598" s="282"/>
      <c r="AJ598" s="282"/>
      <c r="AK598" s="282"/>
      <c r="AL598" s="282"/>
      <c r="AM598" s="282"/>
      <c r="AN598" s="282"/>
      <c r="AO598" s="282"/>
      <c r="AP598" s="282"/>
      <c r="AQ598" s="282"/>
      <c r="AR598" s="282"/>
      <c r="AS598" s="282"/>
      <c r="AT598" s="282"/>
      <c r="AU598" s="282"/>
      <c r="AV598" s="282"/>
      <c r="AW598" s="282"/>
      <c r="AX598" s="282"/>
      <c r="AY598" s="282"/>
      <c r="AZ598" s="282"/>
      <c r="BA598" s="282"/>
    </row>
    <row r="599" spans="1:53">
      <c r="A599" s="282"/>
      <c r="B599" s="282"/>
      <c r="C599" s="282"/>
      <c r="D599" s="282"/>
      <c r="E599" s="282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  <c r="AA599" s="282"/>
      <c r="AB599" s="282"/>
      <c r="AC599" s="282"/>
      <c r="AD599" s="282"/>
      <c r="AE599" s="282"/>
      <c r="AF599" s="282"/>
      <c r="AG599" s="282"/>
      <c r="AH599" s="281"/>
      <c r="AI599" s="282"/>
      <c r="AJ599" s="282"/>
      <c r="AK599" s="282"/>
      <c r="AL599" s="282"/>
      <c r="AM599" s="282"/>
      <c r="AN599" s="282"/>
      <c r="AO599" s="282"/>
      <c r="AP599" s="282"/>
      <c r="AQ599" s="282"/>
      <c r="AR599" s="282"/>
      <c r="AS599" s="282"/>
      <c r="AT599" s="282"/>
      <c r="AU599" s="282"/>
      <c r="AV599" s="282"/>
      <c r="AW599" s="282"/>
      <c r="AX599" s="282"/>
      <c r="AY599" s="282"/>
      <c r="AZ599" s="282"/>
      <c r="BA599" s="282"/>
    </row>
    <row r="600" spans="1:53">
      <c r="A600" s="282"/>
      <c r="B600" s="282"/>
      <c r="C600" s="282"/>
      <c r="D600" s="282"/>
      <c r="E600" s="282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  <c r="AA600" s="282"/>
      <c r="AB600" s="282"/>
      <c r="AC600" s="282"/>
      <c r="AD600" s="282"/>
      <c r="AE600" s="282"/>
      <c r="AF600" s="282"/>
      <c r="AG600" s="282"/>
      <c r="AH600" s="281"/>
      <c r="AI600" s="282"/>
      <c r="AJ600" s="282"/>
      <c r="AK600" s="282"/>
      <c r="AL600" s="282"/>
      <c r="AM600" s="282"/>
      <c r="AN600" s="282"/>
      <c r="AO600" s="282"/>
      <c r="AP600" s="282"/>
      <c r="AQ600" s="282"/>
      <c r="AR600" s="282"/>
      <c r="AS600" s="282"/>
      <c r="AT600" s="282"/>
      <c r="AU600" s="282"/>
      <c r="AV600" s="282"/>
      <c r="AW600" s="282"/>
      <c r="AX600" s="282"/>
      <c r="AY600" s="282"/>
      <c r="AZ600" s="282"/>
      <c r="BA600" s="282"/>
    </row>
    <row r="601" spans="1:53">
      <c r="A601" s="282"/>
      <c r="B601" s="282"/>
      <c r="C601" s="282"/>
      <c r="D601" s="282"/>
      <c r="E601" s="282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  <c r="AA601" s="282"/>
      <c r="AB601" s="282"/>
      <c r="AC601" s="282"/>
      <c r="AD601" s="282"/>
      <c r="AE601" s="282"/>
      <c r="AF601" s="282"/>
      <c r="AG601" s="282"/>
      <c r="AH601" s="281"/>
      <c r="AI601" s="282"/>
      <c r="AJ601" s="282"/>
      <c r="AK601" s="282"/>
      <c r="AL601" s="282"/>
      <c r="AM601" s="282"/>
      <c r="AN601" s="282"/>
      <c r="AO601" s="282"/>
      <c r="AP601" s="282"/>
      <c r="AQ601" s="282"/>
      <c r="AR601" s="282"/>
      <c r="AS601" s="282"/>
      <c r="AT601" s="282"/>
      <c r="AU601" s="282"/>
      <c r="AV601" s="282"/>
      <c r="AW601" s="282"/>
      <c r="AX601" s="282"/>
      <c r="AY601" s="282"/>
      <c r="AZ601" s="282"/>
      <c r="BA601" s="282"/>
    </row>
    <row r="602" spans="1:53">
      <c r="A602" s="282"/>
      <c r="B602" s="282"/>
      <c r="C602" s="282"/>
      <c r="D602" s="282"/>
      <c r="E602" s="282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  <c r="AA602" s="282"/>
      <c r="AB602" s="282"/>
      <c r="AC602" s="282"/>
      <c r="AD602" s="282"/>
      <c r="AE602" s="282"/>
      <c r="AF602" s="282"/>
      <c r="AG602" s="282"/>
      <c r="AH602" s="281"/>
      <c r="AI602" s="282"/>
      <c r="AJ602" s="282"/>
      <c r="AK602" s="282"/>
      <c r="AL602" s="282"/>
      <c r="AM602" s="282"/>
      <c r="AN602" s="282"/>
      <c r="AO602" s="282"/>
      <c r="AP602" s="282"/>
      <c r="AQ602" s="282"/>
      <c r="AR602" s="282"/>
      <c r="AS602" s="282"/>
      <c r="AT602" s="282"/>
      <c r="AU602" s="282"/>
      <c r="AV602" s="282"/>
      <c r="AW602" s="282"/>
      <c r="AX602" s="282"/>
      <c r="AY602" s="282"/>
      <c r="AZ602" s="282"/>
      <c r="BA602" s="282"/>
    </row>
    <row r="603" spans="1:53">
      <c r="A603" s="282"/>
      <c r="B603" s="282"/>
      <c r="C603" s="282"/>
      <c r="D603" s="282"/>
      <c r="E603" s="282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  <c r="AA603" s="282"/>
      <c r="AB603" s="282"/>
      <c r="AC603" s="282"/>
      <c r="AD603" s="282"/>
      <c r="AE603" s="282"/>
      <c r="AF603" s="282"/>
      <c r="AG603" s="282"/>
      <c r="AH603" s="281"/>
      <c r="AI603" s="282"/>
      <c r="AJ603" s="282"/>
      <c r="AK603" s="282"/>
      <c r="AL603" s="282"/>
      <c r="AM603" s="282"/>
      <c r="AN603" s="282"/>
      <c r="AO603" s="282"/>
      <c r="AP603" s="282"/>
      <c r="AQ603" s="282"/>
      <c r="AR603" s="282"/>
      <c r="AS603" s="282"/>
      <c r="AT603" s="282"/>
      <c r="AU603" s="282"/>
      <c r="AV603" s="282"/>
      <c r="AW603" s="282"/>
      <c r="AX603" s="282"/>
      <c r="AY603" s="282"/>
      <c r="AZ603" s="282"/>
      <c r="BA603" s="282"/>
    </row>
    <row r="604" spans="1:53">
      <c r="A604" s="282"/>
      <c r="B604" s="282"/>
      <c r="C604" s="282"/>
      <c r="D604" s="282"/>
      <c r="E604" s="282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  <c r="AA604" s="282"/>
      <c r="AB604" s="282"/>
      <c r="AC604" s="282"/>
      <c r="AD604" s="282"/>
      <c r="AE604" s="282"/>
      <c r="AF604" s="282"/>
      <c r="AG604" s="282"/>
      <c r="AH604" s="281"/>
      <c r="AI604" s="282"/>
      <c r="AJ604" s="282"/>
      <c r="AK604" s="282"/>
      <c r="AL604" s="282"/>
      <c r="AM604" s="282"/>
      <c r="AN604" s="282"/>
      <c r="AO604" s="282"/>
      <c r="AP604" s="282"/>
      <c r="AQ604" s="282"/>
      <c r="AR604" s="282"/>
      <c r="AS604" s="282"/>
      <c r="AT604" s="282"/>
      <c r="AU604" s="282"/>
      <c r="AV604" s="282"/>
      <c r="AW604" s="282"/>
      <c r="AX604" s="282"/>
      <c r="AY604" s="282"/>
      <c r="AZ604" s="282"/>
      <c r="BA604" s="282"/>
    </row>
    <row r="605" spans="1:53">
      <c r="A605" s="282"/>
      <c r="B605" s="282"/>
      <c r="C605" s="282"/>
      <c r="D605" s="282"/>
      <c r="E605" s="282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  <c r="AA605" s="282"/>
      <c r="AB605" s="282"/>
      <c r="AC605" s="282"/>
      <c r="AD605" s="282"/>
      <c r="AE605" s="282"/>
      <c r="AF605" s="282"/>
      <c r="AG605" s="282"/>
      <c r="AH605" s="281"/>
      <c r="AI605" s="282"/>
      <c r="AJ605" s="282"/>
      <c r="AK605" s="282"/>
      <c r="AL605" s="282"/>
      <c r="AM605" s="282"/>
      <c r="AN605" s="282"/>
      <c r="AO605" s="282"/>
      <c r="AP605" s="282"/>
      <c r="AQ605" s="282"/>
      <c r="AR605" s="282"/>
      <c r="AS605" s="282"/>
      <c r="AT605" s="282"/>
      <c r="AU605" s="282"/>
      <c r="AV605" s="282"/>
      <c r="AW605" s="282"/>
      <c r="AX605" s="282"/>
      <c r="AY605" s="282"/>
      <c r="AZ605" s="282"/>
      <c r="BA605" s="282"/>
    </row>
    <row r="606" spans="1:53">
      <c r="A606" s="282"/>
      <c r="B606" s="282"/>
      <c r="C606" s="282"/>
      <c r="D606" s="282"/>
      <c r="E606" s="282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  <c r="AC606" s="282"/>
      <c r="AD606" s="282"/>
      <c r="AE606" s="282"/>
      <c r="AF606" s="282"/>
      <c r="AG606" s="282"/>
      <c r="AH606" s="281"/>
      <c r="AI606" s="282"/>
      <c r="AJ606" s="282"/>
      <c r="AK606" s="282"/>
      <c r="AL606" s="282"/>
      <c r="AM606" s="282"/>
      <c r="AN606" s="282"/>
      <c r="AO606" s="282"/>
      <c r="AP606" s="282"/>
      <c r="AQ606" s="282"/>
      <c r="AR606" s="282"/>
      <c r="AS606" s="282"/>
      <c r="AT606" s="282"/>
      <c r="AU606" s="282"/>
      <c r="AV606" s="282"/>
      <c r="AW606" s="282"/>
      <c r="AX606" s="282"/>
      <c r="AY606" s="282"/>
      <c r="AZ606" s="282"/>
      <c r="BA606" s="282"/>
    </row>
    <row r="607" spans="1:53">
      <c r="A607" s="282"/>
      <c r="B607" s="282"/>
      <c r="C607" s="282"/>
      <c r="D607" s="282"/>
      <c r="E607" s="282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  <c r="AC607" s="282"/>
      <c r="AD607" s="282"/>
      <c r="AE607" s="282"/>
      <c r="AF607" s="282"/>
      <c r="AG607" s="282"/>
      <c r="AH607" s="281"/>
      <c r="AI607" s="282"/>
      <c r="AJ607" s="282"/>
      <c r="AK607" s="282"/>
      <c r="AL607" s="282"/>
      <c r="AM607" s="282"/>
      <c r="AN607" s="282"/>
      <c r="AO607" s="282"/>
      <c r="AP607" s="282"/>
      <c r="AQ607" s="282"/>
      <c r="AR607" s="282"/>
      <c r="AS607" s="282"/>
      <c r="AT607" s="282"/>
      <c r="AU607" s="282"/>
      <c r="AV607" s="282"/>
      <c r="AW607" s="282"/>
      <c r="AX607" s="282"/>
      <c r="AY607" s="282"/>
      <c r="AZ607" s="282"/>
      <c r="BA607" s="282"/>
    </row>
    <row r="608" spans="1:53">
      <c r="A608" s="282"/>
      <c r="B608" s="282"/>
      <c r="C608" s="282"/>
      <c r="D608" s="282"/>
      <c r="E608" s="282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  <c r="AC608" s="282"/>
      <c r="AD608" s="282"/>
      <c r="AE608" s="282"/>
      <c r="AF608" s="282"/>
      <c r="AG608" s="282"/>
      <c r="AH608" s="281"/>
      <c r="AI608" s="282"/>
      <c r="AJ608" s="282"/>
      <c r="AK608" s="282"/>
      <c r="AL608" s="282"/>
      <c r="AM608" s="282"/>
      <c r="AN608" s="282"/>
      <c r="AO608" s="282"/>
      <c r="AP608" s="282"/>
      <c r="AQ608" s="282"/>
      <c r="AR608" s="282"/>
      <c r="AS608" s="282"/>
      <c r="AT608" s="282"/>
      <c r="AU608" s="282"/>
      <c r="AV608" s="282"/>
      <c r="AW608" s="282"/>
      <c r="AX608" s="282"/>
      <c r="AY608" s="282"/>
      <c r="AZ608" s="282"/>
      <c r="BA608" s="282"/>
    </row>
    <row r="609" spans="1:53">
      <c r="A609" s="282"/>
      <c r="B609" s="282"/>
      <c r="C609" s="282"/>
      <c r="D609" s="282"/>
      <c r="E609" s="282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  <c r="AC609" s="282"/>
      <c r="AD609" s="282"/>
      <c r="AE609" s="282"/>
      <c r="AF609" s="282"/>
      <c r="AG609" s="282"/>
      <c r="AH609" s="281"/>
      <c r="AI609" s="282"/>
      <c r="AJ609" s="282"/>
      <c r="AK609" s="282"/>
      <c r="AL609" s="282"/>
      <c r="AM609" s="282"/>
      <c r="AN609" s="282"/>
      <c r="AO609" s="282"/>
      <c r="AP609" s="282"/>
      <c r="AQ609" s="282"/>
      <c r="AR609" s="282"/>
      <c r="AS609" s="282"/>
      <c r="AT609" s="282"/>
      <c r="AU609" s="282"/>
      <c r="AV609" s="282"/>
      <c r="AW609" s="282"/>
      <c r="AX609" s="282"/>
      <c r="AY609" s="282"/>
      <c r="AZ609" s="282"/>
      <c r="BA609" s="282"/>
    </row>
    <row r="610" spans="1:53">
      <c r="A610" s="282"/>
      <c r="B610" s="282"/>
      <c r="C610" s="282"/>
      <c r="D610" s="282"/>
      <c r="E610" s="282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  <c r="AC610" s="282"/>
      <c r="AD610" s="282"/>
      <c r="AE610" s="282"/>
      <c r="AF610" s="282"/>
      <c r="AG610" s="282"/>
      <c r="AH610" s="281"/>
      <c r="AI610" s="282"/>
      <c r="AJ610" s="282"/>
      <c r="AK610" s="282"/>
      <c r="AL610" s="282"/>
      <c r="AM610" s="282"/>
      <c r="AN610" s="282"/>
      <c r="AO610" s="282"/>
      <c r="AP610" s="282"/>
      <c r="AQ610" s="282"/>
      <c r="AR610" s="282"/>
      <c r="AS610" s="282"/>
      <c r="AT610" s="282"/>
      <c r="AU610" s="282"/>
      <c r="AV610" s="282"/>
      <c r="AW610" s="282"/>
      <c r="AX610" s="282"/>
      <c r="AY610" s="282"/>
      <c r="AZ610" s="282"/>
      <c r="BA610" s="282"/>
    </row>
    <row r="611" spans="1:53">
      <c r="A611" s="282"/>
      <c r="B611" s="282"/>
      <c r="C611" s="282"/>
      <c r="D611" s="282"/>
      <c r="E611" s="282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  <c r="AC611" s="282"/>
      <c r="AD611" s="282"/>
      <c r="AE611" s="282"/>
      <c r="AF611" s="282"/>
      <c r="AG611" s="282"/>
      <c r="AH611" s="281"/>
      <c r="AI611" s="282"/>
      <c r="AJ611" s="282"/>
      <c r="AK611" s="282"/>
      <c r="AL611" s="282"/>
      <c r="AM611" s="282"/>
      <c r="AN611" s="282"/>
      <c r="AO611" s="282"/>
      <c r="AP611" s="282"/>
      <c r="AQ611" s="282"/>
      <c r="AR611" s="282"/>
      <c r="AS611" s="282"/>
      <c r="AT611" s="282"/>
      <c r="AU611" s="282"/>
      <c r="AV611" s="282"/>
      <c r="AW611" s="282"/>
      <c r="AX611" s="282"/>
      <c r="AY611" s="282"/>
      <c r="AZ611" s="282"/>
      <c r="BA611" s="282"/>
    </row>
    <row r="612" spans="1:53">
      <c r="A612" s="282"/>
      <c r="B612" s="282"/>
      <c r="C612" s="282"/>
      <c r="D612" s="282"/>
      <c r="E612" s="282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  <c r="AC612" s="282"/>
      <c r="AD612" s="282"/>
      <c r="AE612" s="282"/>
      <c r="AF612" s="282"/>
      <c r="AG612" s="282"/>
      <c r="AH612" s="281"/>
      <c r="AI612" s="282"/>
      <c r="AJ612" s="282"/>
      <c r="AK612" s="282"/>
      <c r="AL612" s="282"/>
      <c r="AM612" s="282"/>
      <c r="AN612" s="282"/>
      <c r="AO612" s="282"/>
      <c r="AP612" s="282"/>
      <c r="AQ612" s="282"/>
      <c r="AR612" s="282"/>
      <c r="AS612" s="282"/>
      <c r="AT612" s="282"/>
      <c r="AU612" s="282"/>
      <c r="AV612" s="282"/>
      <c r="AW612" s="282"/>
      <c r="AX612" s="282"/>
      <c r="AY612" s="282"/>
      <c r="AZ612" s="282"/>
      <c r="BA612" s="282"/>
    </row>
    <row r="613" spans="1:53">
      <c r="A613" s="282"/>
      <c r="B613" s="282"/>
      <c r="C613" s="282"/>
      <c r="D613" s="282"/>
      <c r="E613" s="282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  <c r="AC613" s="282"/>
      <c r="AD613" s="282"/>
      <c r="AE613" s="282"/>
      <c r="AF613" s="282"/>
      <c r="AG613" s="282"/>
      <c r="AH613" s="281"/>
      <c r="AI613" s="282"/>
      <c r="AJ613" s="282"/>
      <c r="AK613" s="282"/>
      <c r="AL613" s="282"/>
      <c r="AM613" s="282"/>
      <c r="AN613" s="282"/>
      <c r="AO613" s="282"/>
      <c r="AP613" s="282"/>
      <c r="AQ613" s="282"/>
      <c r="AR613" s="282"/>
      <c r="AS613" s="282"/>
      <c r="AT613" s="282"/>
      <c r="AU613" s="282"/>
      <c r="AV613" s="282"/>
      <c r="AW613" s="282"/>
      <c r="AX613" s="282"/>
      <c r="AY613" s="282"/>
      <c r="AZ613" s="282"/>
      <c r="BA613" s="282"/>
    </row>
    <row r="614" spans="1:53">
      <c r="A614" s="282"/>
      <c r="B614" s="282"/>
      <c r="C614" s="282"/>
      <c r="D614" s="282"/>
      <c r="E614" s="282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  <c r="AA614" s="282"/>
      <c r="AB614" s="282"/>
      <c r="AC614" s="282"/>
      <c r="AD614" s="282"/>
      <c r="AE614" s="282"/>
      <c r="AF614" s="282"/>
      <c r="AG614" s="282"/>
      <c r="AH614" s="281"/>
      <c r="AI614" s="282"/>
      <c r="AJ614" s="282"/>
      <c r="AK614" s="282"/>
      <c r="AL614" s="282"/>
      <c r="AM614" s="282"/>
      <c r="AN614" s="282"/>
      <c r="AO614" s="282"/>
      <c r="AP614" s="282"/>
      <c r="AQ614" s="282"/>
      <c r="AR614" s="282"/>
      <c r="AS614" s="282"/>
      <c r="AT614" s="282"/>
      <c r="AU614" s="282"/>
      <c r="AV614" s="282"/>
      <c r="AW614" s="282"/>
      <c r="AX614" s="282"/>
      <c r="AY614" s="282"/>
      <c r="AZ614" s="282"/>
      <c r="BA614" s="282"/>
    </row>
    <row r="615" spans="1:53">
      <c r="A615" s="282"/>
      <c r="B615" s="282"/>
      <c r="C615" s="282"/>
      <c r="D615" s="282"/>
      <c r="E615" s="282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  <c r="AA615" s="282"/>
      <c r="AB615" s="282"/>
      <c r="AC615" s="282"/>
      <c r="AD615" s="282"/>
      <c r="AE615" s="282"/>
      <c r="AF615" s="282"/>
      <c r="AG615" s="282"/>
      <c r="AH615" s="281"/>
      <c r="AI615" s="282"/>
      <c r="AJ615" s="282"/>
      <c r="AK615" s="282"/>
      <c r="AL615" s="282"/>
      <c r="AM615" s="282"/>
      <c r="AN615" s="282"/>
      <c r="AO615" s="282"/>
      <c r="AP615" s="282"/>
      <c r="AQ615" s="282"/>
      <c r="AR615" s="282"/>
      <c r="AS615" s="282"/>
      <c r="AT615" s="282"/>
      <c r="AU615" s="282"/>
      <c r="AV615" s="282"/>
      <c r="AW615" s="282"/>
      <c r="AX615" s="282"/>
      <c r="AY615" s="282"/>
      <c r="AZ615" s="282"/>
      <c r="BA615" s="282"/>
    </row>
    <row r="616" spans="1:53">
      <c r="A616" s="282"/>
      <c r="B616" s="282"/>
      <c r="C616" s="282"/>
      <c r="D616" s="282"/>
      <c r="E616" s="282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  <c r="AA616" s="282"/>
      <c r="AB616" s="282"/>
      <c r="AC616" s="282"/>
      <c r="AD616" s="282"/>
      <c r="AE616" s="282"/>
      <c r="AF616" s="282"/>
      <c r="AG616" s="282"/>
      <c r="AH616" s="281"/>
      <c r="AI616" s="282"/>
      <c r="AJ616" s="282"/>
      <c r="AK616" s="282"/>
      <c r="AL616" s="282"/>
      <c r="AM616" s="282"/>
      <c r="AN616" s="282"/>
      <c r="AO616" s="282"/>
      <c r="AP616" s="282"/>
      <c r="AQ616" s="282"/>
      <c r="AR616" s="282"/>
      <c r="AS616" s="282"/>
      <c r="AT616" s="282"/>
      <c r="AU616" s="282"/>
      <c r="AV616" s="282"/>
      <c r="AW616" s="282"/>
      <c r="AX616" s="282"/>
      <c r="AY616" s="282"/>
      <c r="AZ616" s="282"/>
      <c r="BA616" s="282"/>
    </row>
    <row r="617" spans="1:53">
      <c r="A617" s="282"/>
      <c r="B617" s="282"/>
      <c r="C617" s="282"/>
      <c r="D617" s="282"/>
      <c r="E617" s="282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  <c r="AA617" s="282"/>
      <c r="AB617" s="282"/>
      <c r="AC617" s="282"/>
      <c r="AD617" s="282"/>
      <c r="AE617" s="282"/>
      <c r="AF617" s="282"/>
      <c r="AG617" s="282"/>
      <c r="AH617" s="281"/>
      <c r="AI617" s="282"/>
      <c r="AJ617" s="282"/>
      <c r="AK617" s="282"/>
      <c r="AL617" s="282"/>
      <c r="AM617" s="282"/>
      <c r="AN617" s="282"/>
      <c r="AO617" s="282"/>
      <c r="AP617" s="282"/>
      <c r="AQ617" s="282"/>
      <c r="AR617" s="282"/>
      <c r="AS617" s="282"/>
      <c r="AT617" s="282"/>
      <c r="AU617" s="282"/>
      <c r="AV617" s="282"/>
      <c r="AW617" s="282"/>
      <c r="AX617" s="282"/>
      <c r="AY617" s="282"/>
      <c r="AZ617" s="282"/>
      <c r="BA617" s="282"/>
    </row>
    <row r="618" spans="1:53">
      <c r="A618" s="282"/>
      <c r="B618" s="282"/>
      <c r="C618" s="282"/>
      <c r="D618" s="282"/>
      <c r="E618" s="282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  <c r="AC618" s="282"/>
      <c r="AD618" s="282"/>
      <c r="AE618" s="282"/>
      <c r="AF618" s="282"/>
      <c r="AG618" s="282"/>
      <c r="AH618" s="281"/>
      <c r="AI618" s="282"/>
      <c r="AJ618" s="282"/>
      <c r="AK618" s="282"/>
      <c r="AL618" s="282"/>
      <c r="AM618" s="282"/>
      <c r="AN618" s="282"/>
      <c r="AO618" s="282"/>
      <c r="AP618" s="282"/>
      <c r="AQ618" s="282"/>
      <c r="AR618" s="282"/>
      <c r="AS618" s="282"/>
      <c r="AT618" s="282"/>
      <c r="AU618" s="282"/>
      <c r="AV618" s="282"/>
      <c r="AW618" s="282"/>
      <c r="AX618" s="282"/>
      <c r="AY618" s="282"/>
      <c r="AZ618" s="282"/>
      <c r="BA618" s="282"/>
    </row>
    <row r="619" spans="1:53">
      <c r="A619" s="282"/>
      <c r="B619" s="282"/>
      <c r="C619" s="282"/>
      <c r="D619" s="282"/>
      <c r="E619" s="282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  <c r="AC619" s="282"/>
      <c r="AD619" s="282"/>
      <c r="AE619" s="282"/>
      <c r="AF619" s="282"/>
      <c r="AG619" s="282"/>
      <c r="AH619" s="281"/>
      <c r="AI619" s="282"/>
      <c r="AJ619" s="282"/>
      <c r="AK619" s="282"/>
      <c r="AL619" s="282"/>
      <c r="AM619" s="282"/>
      <c r="AN619" s="282"/>
      <c r="AO619" s="282"/>
      <c r="AP619" s="282"/>
      <c r="AQ619" s="282"/>
      <c r="AR619" s="282"/>
      <c r="AS619" s="282"/>
      <c r="AT619" s="282"/>
      <c r="AU619" s="282"/>
      <c r="AV619" s="282"/>
      <c r="AW619" s="282"/>
      <c r="AX619" s="282"/>
      <c r="AY619" s="282"/>
      <c r="AZ619" s="282"/>
      <c r="BA619" s="282"/>
    </row>
    <row r="620" spans="1:53">
      <c r="A620" s="282"/>
      <c r="B620" s="282"/>
      <c r="C620" s="282"/>
      <c r="D620" s="282"/>
      <c r="E620" s="282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  <c r="AC620" s="282"/>
      <c r="AD620" s="282"/>
      <c r="AE620" s="282"/>
      <c r="AF620" s="282"/>
      <c r="AG620" s="282"/>
      <c r="AH620" s="281"/>
      <c r="AI620" s="282"/>
      <c r="AJ620" s="282"/>
      <c r="AK620" s="282"/>
      <c r="AL620" s="282"/>
      <c r="AM620" s="282"/>
      <c r="AN620" s="282"/>
      <c r="AO620" s="282"/>
      <c r="AP620" s="282"/>
      <c r="AQ620" s="282"/>
      <c r="AR620" s="282"/>
      <c r="AS620" s="282"/>
      <c r="AT620" s="282"/>
      <c r="AU620" s="282"/>
      <c r="AV620" s="282"/>
      <c r="AW620" s="282"/>
      <c r="AX620" s="282"/>
      <c r="AY620" s="282"/>
      <c r="AZ620" s="282"/>
      <c r="BA620" s="282"/>
    </row>
    <row r="621" spans="1:53">
      <c r="A621" s="282"/>
      <c r="B621" s="282"/>
      <c r="C621" s="282"/>
      <c r="D621" s="282"/>
      <c r="E621" s="282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  <c r="AC621" s="282"/>
      <c r="AD621" s="282"/>
      <c r="AE621" s="282"/>
      <c r="AF621" s="282"/>
      <c r="AG621" s="282"/>
      <c r="AH621" s="281"/>
      <c r="AI621" s="282"/>
      <c r="AJ621" s="282"/>
      <c r="AK621" s="282"/>
      <c r="AL621" s="282"/>
      <c r="AM621" s="282"/>
      <c r="AN621" s="282"/>
      <c r="AO621" s="282"/>
      <c r="AP621" s="282"/>
      <c r="AQ621" s="282"/>
      <c r="AR621" s="282"/>
      <c r="AS621" s="282"/>
      <c r="AT621" s="282"/>
      <c r="AU621" s="282"/>
      <c r="AV621" s="282"/>
      <c r="AW621" s="282"/>
      <c r="AX621" s="282"/>
      <c r="AY621" s="282"/>
      <c r="AZ621" s="282"/>
      <c r="BA621" s="282"/>
    </row>
    <row r="622" spans="1:53">
      <c r="A622" s="282"/>
      <c r="B622" s="282"/>
      <c r="C622" s="282"/>
      <c r="D622" s="282"/>
      <c r="E622" s="282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  <c r="AC622" s="282"/>
      <c r="AD622" s="282"/>
      <c r="AE622" s="282"/>
      <c r="AF622" s="282"/>
      <c r="AG622" s="282"/>
      <c r="AH622" s="281"/>
      <c r="AI622" s="282"/>
      <c r="AJ622" s="282"/>
      <c r="AK622" s="282"/>
      <c r="AL622" s="282"/>
      <c r="AM622" s="282"/>
      <c r="AN622" s="282"/>
      <c r="AO622" s="282"/>
      <c r="AP622" s="282"/>
      <c r="AQ622" s="282"/>
      <c r="AR622" s="282"/>
      <c r="AS622" s="282"/>
      <c r="AT622" s="282"/>
      <c r="AU622" s="282"/>
      <c r="AV622" s="282"/>
      <c r="AW622" s="282"/>
      <c r="AX622" s="282"/>
      <c r="AY622" s="282"/>
      <c r="AZ622" s="282"/>
      <c r="BA622" s="282"/>
    </row>
    <row r="623" spans="1:53">
      <c r="A623" s="282"/>
      <c r="B623" s="282"/>
      <c r="C623" s="282"/>
      <c r="D623" s="282"/>
      <c r="E623" s="282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  <c r="AC623" s="282"/>
      <c r="AD623" s="282"/>
      <c r="AE623" s="282"/>
      <c r="AF623" s="282"/>
      <c r="AG623" s="282"/>
      <c r="AH623" s="281"/>
      <c r="AI623" s="282"/>
      <c r="AJ623" s="282"/>
      <c r="AK623" s="282"/>
      <c r="AL623" s="282"/>
      <c r="AM623" s="282"/>
      <c r="AN623" s="282"/>
      <c r="AO623" s="282"/>
      <c r="AP623" s="282"/>
      <c r="AQ623" s="282"/>
      <c r="AR623" s="282"/>
      <c r="AS623" s="282"/>
      <c r="AT623" s="282"/>
      <c r="AU623" s="282"/>
      <c r="AV623" s="282"/>
      <c r="AW623" s="282"/>
      <c r="AX623" s="282"/>
      <c r="AY623" s="282"/>
      <c r="AZ623" s="282"/>
      <c r="BA623" s="282"/>
    </row>
    <row r="624" spans="1:53">
      <c r="A624" s="282"/>
      <c r="B624" s="282"/>
      <c r="C624" s="282"/>
      <c r="D624" s="282"/>
      <c r="E624" s="282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  <c r="AC624" s="282"/>
      <c r="AD624" s="282"/>
      <c r="AE624" s="282"/>
      <c r="AF624" s="282"/>
      <c r="AG624" s="282"/>
      <c r="AH624" s="281"/>
      <c r="AI624" s="282"/>
      <c r="AJ624" s="282"/>
      <c r="AK624" s="282"/>
      <c r="AL624" s="282"/>
      <c r="AM624" s="282"/>
      <c r="AN624" s="282"/>
      <c r="AO624" s="282"/>
      <c r="AP624" s="282"/>
      <c r="AQ624" s="282"/>
      <c r="AR624" s="282"/>
      <c r="AS624" s="282"/>
      <c r="AT624" s="282"/>
      <c r="AU624" s="282"/>
      <c r="AV624" s="282"/>
      <c r="AW624" s="282"/>
      <c r="AX624" s="282"/>
      <c r="AY624" s="282"/>
      <c r="AZ624" s="282"/>
      <c r="BA624" s="282"/>
    </row>
    <row r="625" spans="1:53">
      <c r="A625" s="282"/>
      <c r="B625" s="282"/>
      <c r="C625" s="282"/>
      <c r="D625" s="282"/>
      <c r="E625" s="282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  <c r="AC625" s="282"/>
      <c r="AD625" s="282"/>
      <c r="AE625" s="282"/>
      <c r="AF625" s="282"/>
      <c r="AG625" s="282"/>
      <c r="AH625" s="281"/>
      <c r="AI625" s="282"/>
      <c r="AJ625" s="282"/>
      <c r="AK625" s="282"/>
      <c r="AL625" s="282"/>
      <c r="AM625" s="282"/>
      <c r="AN625" s="282"/>
      <c r="AO625" s="282"/>
      <c r="AP625" s="282"/>
      <c r="AQ625" s="282"/>
      <c r="AR625" s="282"/>
      <c r="AS625" s="282"/>
      <c r="AT625" s="282"/>
      <c r="AU625" s="282"/>
      <c r="AV625" s="282"/>
      <c r="AW625" s="282"/>
      <c r="AX625" s="282"/>
      <c r="AY625" s="282"/>
      <c r="AZ625" s="282"/>
      <c r="BA625" s="282"/>
    </row>
    <row r="626" spans="1:53">
      <c r="A626" s="282"/>
      <c r="B626" s="282"/>
      <c r="C626" s="282"/>
      <c r="D626" s="282"/>
      <c r="E626" s="282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  <c r="AC626" s="282"/>
      <c r="AD626" s="282"/>
      <c r="AE626" s="282"/>
      <c r="AF626" s="282"/>
      <c r="AG626" s="282"/>
      <c r="AH626" s="281"/>
      <c r="AI626" s="282"/>
      <c r="AJ626" s="282"/>
      <c r="AK626" s="282"/>
      <c r="AL626" s="282"/>
      <c r="AM626" s="282"/>
      <c r="AN626" s="282"/>
      <c r="AO626" s="282"/>
      <c r="AP626" s="282"/>
      <c r="AQ626" s="282"/>
      <c r="AR626" s="282"/>
      <c r="AS626" s="282"/>
      <c r="AT626" s="282"/>
      <c r="AU626" s="282"/>
      <c r="AV626" s="282"/>
      <c r="AW626" s="282"/>
      <c r="AX626" s="282"/>
      <c r="AY626" s="282"/>
      <c r="AZ626" s="282"/>
      <c r="BA626" s="282"/>
    </row>
    <row r="627" spans="1:53">
      <c r="A627" s="282"/>
      <c r="B627" s="282"/>
      <c r="C627" s="282"/>
      <c r="D627" s="282"/>
      <c r="E627" s="282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  <c r="AA627" s="282"/>
      <c r="AB627" s="282"/>
      <c r="AC627" s="282"/>
      <c r="AD627" s="282"/>
      <c r="AE627" s="282"/>
      <c r="AF627" s="282"/>
      <c r="AG627" s="282"/>
      <c r="AH627" s="281"/>
      <c r="AI627" s="282"/>
      <c r="AJ627" s="282"/>
      <c r="AK627" s="282"/>
      <c r="AL627" s="282"/>
      <c r="AM627" s="282"/>
      <c r="AN627" s="282"/>
      <c r="AO627" s="282"/>
      <c r="AP627" s="282"/>
      <c r="AQ627" s="282"/>
      <c r="AR627" s="282"/>
      <c r="AS627" s="282"/>
      <c r="AT627" s="282"/>
      <c r="AU627" s="282"/>
      <c r="AV627" s="282"/>
      <c r="AW627" s="282"/>
      <c r="AX627" s="282"/>
      <c r="AY627" s="282"/>
      <c r="AZ627" s="282"/>
      <c r="BA627" s="282"/>
    </row>
    <row r="628" spans="1:53">
      <c r="A628" s="282"/>
      <c r="B628" s="282"/>
      <c r="C628" s="282"/>
      <c r="D628" s="282"/>
      <c r="E628" s="282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  <c r="AA628" s="282"/>
      <c r="AB628" s="282"/>
      <c r="AC628" s="282"/>
      <c r="AD628" s="282"/>
      <c r="AE628" s="282"/>
      <c r="AF628" s="282"/>
      <c r="AG628" s="282"/>
      <c r="AH628" s="281"/>
      <c r="AI628" s="282"/>
      <c r="AJ628" s="282"/>
      <c r="AK628" s="282"/>
      <c r="AL628" s="282"/>
      <c r="AM628" s="282"/>
      <c r="AN628" s="282"/>
      <c r="AO628" s="282"/>
      <c r="AP628" s="282"/>
      <c r="AQ628" s="282"/>
      <c r="AR628" s="282"/>
      <c r="AS628" s="282"/>
      <c r="AT628" s="282"/>
      <c r="AU628" s="282"/>
      <c r="AV628" s="282"/>
      <c r="AW628" s="282"/>
      <c r="AX628" s="282"/>
      <c r="AY628" s="282"/>
      <c r="AZ628" s="282"/>
      <c r="BA628" s="282"/>
    </row>
    <row r="629" spans="1:53">
      <c r="A629" s="282"/>
      <c r="B629" s="282"/>
      <c r="C629" s="282"/>
      <c r="D629" s="282"/>
      <c r="E629" s="282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  <c r="AA629" s="282"/>
      <c r="AB629" s="282"/>
      <c r="AC629" s="282"/>
      <c r="AD629" s="282"/>
      <c r="AE629" s="282"/>
      <c r="AF629" s="282"/>
      <c r="AG629" s="282"/>
      <c r="AH629" s="281"/>
      <c r="AI629" s="282"/>
      <c r="AJ629" s="282"/>
      <c r="AK629" s="282"/>
      <c r="AL629" s="282"/>
      <c r="AM629" s="282"/>
      <c r="AN629" s="282"/>
      <c r="AO629" s="282"/>
      <c r="AP629" s="282"/>
      <c r="AQ629" s="282"/>
      <c r="AR629" s="282"/>
      <c r="AS629" s="282"/>
      <c r="AT629" s="282"/>
      <c r="AU629" s="282"/>
      <c r="AV629" s="282"/>
      <c r="AW629" s="282"/>
      <c r="AX629" s="282"/>
      <c r="AY629" s="282"/>
      <c r="AZ629" s="282"/>
      <c r="BA629" s="282"/>
    </row>
    <row r="630" spans="1:53">
      <c r="A630" s="282"/>
      <c r="B630" s="282"/>
      <c r="C630" s="282"/>
      <c r="D630" s="282"/>
      <c r="E630" s="282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  <c r="AC630" s="282"/>
      <c r="AD630" s="282"/>
      <c r="AE630" s="282"/>
      <c r="AF630" s="282"/>
      <c r="AG630" s="282"/>
      <c r="AH630" s="281"/>
      <c r="AI630" s="282"/>
      <c r="AJ630" s="282"/>
      <c r="AK630" s="282"/>
      <c r="AL630" s="282"/>
      <c r="AM630" s="282"/>
      <c r="AN630" s="282"/>
      <c r="AO630" s="282"/>
      <c r="AP630" s="282"/>
      <c r="AQ630" s="282"/>
      <c r="AR630" s="282"/>
      <c r="AS630" s="282"/>
      <c r="AT630" s="282"/>
      <c r="AU630" s="282"/>
      <c r="AV630" s="282"/>
      <c r="AW630" s="282"/>
      <c r="AX630" s="282"/>
      <c r="AY630" s="282"/>
      <c r="AZ630" s="282"/>
      <c r="BA630" s="282"/>
    </row>
    <row r="631" spans="1:53">
      <c r="A631" s="282"/>
      <c r="B631" s="282"/>
      <c r="C631" s="282"/>
      <c r="D631" s="282"/>
      <c r="E631" s="282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  <c r="AC631" s="282"/>
      <c r="AD631" s="282"/>
      <c r="AE631" s="282"/>
      <c r="AF631" s="282"/>
      <c r="AG631" s="282"/>
      <c r="AH631" s="281"/>
      <c r="AI631" s="282"/>
      <c r="AJ631" s="282"/>
      <c r="AK631" s="282"/>
      <c r="AL631" s="282"/>
      <c r="AM631" s="282"/>
      <c r="AN631" s="282"/>
      <c r="AO631" s="282"/>
      <c r="AP631" s="282"/>
      <c r="AQ631" s="282"/>
      <c r="AR631" s="282"/>
      <c r="AS631" s="282"/>
      <c r="AT631" s="282"/>
      <c r="AU631" s="282"/>
      <c r="AV631" s="282"/>
      <c r="AW631" s="282"/>
      <c r="AX631" s="282"/>
      <c r="AY631" s="282"/>
      <c r="AZ631" s="282"/>
      <c r="BA631" s="282"/>
    </row>
    <row r="632" spans="1:53">
      <c r="A632" s="282"/>
      <c r="B632" s="282"/>
      <c r="C632" s="282"/>
      <c r="D632" s="282"/>
      <c r="E632" s="282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  <c r="AC632" s="282"/>
      <c r="AD632" s="282"/>
      <c r="AE632" s="282"/>
      <c r="AF632" s="282"/>
      <c r="AG632" s="282"/>
      <c r="AH632" s="281"/>
      <c r="AI632" s="282"/>
      <c r="AJ632" s="282"/>
      <c r="AK632" s="282"/>
      <c r="AL632" s="282"/>
      <c r="AM632" s="282"/>
      <c r="AN632" s="282"/>
      <c r="AO632" s="282"/>
      <c r="AP632" s="282"/>
      <c r="AQ632" s="282"/>
      <c r="AR632" s="282"/>
      <c r="AS632" s="282"/>
      <c r="AT632" s="282"/>
      <c r="AU632" s="282"/>
      <c r="AV632" s="282"/>
      <c r="AW632" s="282"/>
      <c r="AX632" s="282"/>
      <c r="AY632" s="282"/>
      <c r="AZ632" s="282"/>
      <c r="BA632" s="282"/>
    </row>
    <row r="633" spans="1:53">
      <c r="A633" s="282"/>
      <c r="B633" s="282"/>
      <c r="C633" s="282"/>
      <c r="D633" s="282"/>
      <c r="E633" s="282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  <c r="AC633" s="282"/>
      <c r="AD633" s="282"/>
      <c r="AE633" s="282"/>
      <c r="AF633" s="282"/>
      <c r="AG633" s="282"/>
      <c r="AH633" s="281"/>
      <c r="AI633" s="282"/>
      <c r="AJ633" s="282"/>
      <c r="AK633" s="282"/>
      <c r="AL633" s="282"/>
      <c r="AM633" s="282"/>
      <c r="AN633" s="282"/>
      <c r="AO633" s="282"/>
      <c r="AP633" s="282"/>
      <c r="AQ633" s="282"/>
      <c r="AR633" s="282"/>
      <c r="AS633" s="282"/>
      <c r="AT633" s="282"/>
      <c r="AU633" s="282"/>
      <c r="AV633" s="282"/>
      <c r="AW633" s="282"/>
      <c r="AX633" s="282"/>
      <c r="AY633" s="282"/>
      <c r="AZ633" s="282"/>
      <c r="BA633" s="282"/>
    </row>
    <row r="634" spans="1:53">
      <c r="A634" s="282"/>
      <c r="B634" s="282"/>
      <c r="C634" s="282"/>
      <c r="D634" s="282"/>
      <c r="E634" s="282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  <c r="AA634" s="282"/>
      <c r="AB634" s="282"/>
      <c r="AC634" s="282"/>
      <c r="AD634" s="282"/>
      <c r="AE634" s="282"/>
      <c r="AF634" s="282"/>
      <c r="AG634" s="282"/>
      <c r="AH634" s="281"/>
      <c r="AI634" s="282"/>
      <c r="AJ634" s="282"/>
      <c r="AK634" s="282"/>
      <c r="AL634" s="282"/>
      <c r="AM634" s="282"/>
      <c r="AN634" s="282"/>
      <c r="AO634" s="282"/>
      <c r="AP634" s="282"/>
      <c r="AQ634" s="282"/>
      <c r="AR634" s="282"/>
      <c r="AS634" s="282"/>
      <c r="AT634" s="282"/>
      <c r="AU634" s="282"/>
      <c r="AV634" s="282"/>
      <c r="AW634" s="282"/>
      <c r="AX634" s="282"/>
      <c r="AY634" s="282"/>
      <c r="AZ634" s="282"/>
      <c r="BA634" s="282"/>
    </row>
    <row r="635" spans="1:53">
      <c r="A635" s="282"/>
      <c r="B635" s="282"/>
      <c r="C635" s="282"/>
      <c r="D635" s="282"/>
      <c r="E635" s="282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  <c r="AA635" s="282"/>
      <c r="AB635" s="282"/>
      <c r="AC635" s="282"/>
      <c r="AD635" s="282"/>
      <c r="AE635" s="282"/>
      <c r="AF635" s="282"/>
      <c r="AG635" s="282"/>
      <c r="AH635" s="281"/>
      <c r="AI635" s="282"/>
      <c r="AJ635" s="282"/>
      <c r="AK635" s="282"/>
      <c r="AL635" s="282"/>
      <c r="AM635" s="282"/>
      <c r="AN635" s="282"/>
      <c r="AO635" s="282"/>
      <c r="AP635" s="282"/>
      <c r="AQ635" s="282"/>
      <c r="AR635" s="282"/>
      <c r="AS635" s="282"/>
      <c r="AT635" s="282"/>
      <c r="AU635" s="282"/>
      <c r="AV635" s="282"/>
      <c r="AW635" s="282"/>
      <c r="AX635" s="282"/>
      <c r="AY635" s="282"/>
      <c r="AZ635" s="282"/>
      <c r="BA635" s="282"/>
    </row>
    <row r="636" spans="1:53">
      <c r="A636" s="282"/>
      <c r="B636" s="282"/>
      <c r="C636" s="282"/>
      <c r="D636" s="282"/>
      <c r="E636" s="282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  <c r="AA636" s="282"/>
      <c r="AB636" s="282"/>
      <c r="AC636" s="282"/>
      <c r="AD636" s="282"/>
      <c r="AE636" s="282"/>
      <c r="AF636" s="282"/>
      <c r="AG636" s="282"/>
      <c r="AH636" s="281"/>
      <c r="AI636" s="282"/>
      <c r="AJ636" s="282"/>
      <c r="AK636" s="282"/>
      <c r="AL636" s="282"/>
      <c r="AM636" s="282"/>
      <c r="AN636" s="282"/>
      <c r="AO636" s="282"/>
      <c r="AP636" s="282"/>
      <c r="AQ636" s="282"/>
      <c r="AR636" s="282"/>
      <c r="AS636" s="282"/>
      <c r="AT636" s="282"/>
      <c r="AU636" s="282"/>
      <c r="AV636" s="282"/>
      <c r="AW636" s="282"/>
      <c r="AX636" s="282"/>
      <c r="AY636" s="282"/>
      <c r="AZ636" s="282"/>
      <c r="BA636" s="282"/>
    </row>
    <row r="637" spans="1:53">
      <c r="A637" s="282"/>
      <c r="B637" s="282"/>
      <c r="C637" s="282"/>
      <c r="D637" s="282"/>
      <c r="E637" s="282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  <c r="AA637" s="282"/>
      <c r="AB637" s="282"/>
      <c r="AC637" s="282"/>
      <c r="AD637" s="282"/>
      <c r="AE637" s="282"/>
      <c r="AF637" s="282"/>
      <c r="AG637" s="282"/>
      <c r="AH637" s="281"/>
      <c r="AI637" s="282"/>
      <c r="AJ637" s="282"/>
      <c r="AK637" s="282"/>
      <c r="AL637" s="282"/>
      <c r="AM637" s="282"/>
      <c r="AN637" s="282"/>
      <c r="AO637" s="282"/>
      <c r="AP637" s="282"/>
      <c r="AQ637" s="282"/>
      <c r="AR637" s="282"/>
      <c r="AS637" s="282"/>
      <c r="AT637" s="282"/>
      <c r="AU637" s="282"/>
      <c r="AV637" s="282"/>
      <c r="AW637" s="282"/>
      <c r="AX637" s="282"/>
      <c r="AY637" s="282"/>
      <c r="AZ637" s="282"/>
      <c r="BA637" s="282"/>
    </row>
    <row r="638" spans="1:53">
      <c r="A638" s="282"/>
      <c r="B638" s="282"/>
      <c r="C638" s="282"/>
      <c r="D638" s="282"/>
      <c r="E638" s="282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  <c r="AA638" s="282"/>
      <c r="AB638" s="282"/>
      <c r="AC638" s="282"/>
      <c r="AD638" s="282"/>
      <c r="AE638" s="282"/>
      <c r="AF638" s="282"/>
      <c r="AG638" s="282"/>
      <c r="AH638" s="281"/>
      <c r="AI638" s="282"/>
      <c r="AJ638" s="282"/>
      <c r="AK638" s="282"/>
      <c r="AL638" s="282"/>
      <c r="AM638" s="282"/>
      <c r="AN638" s="282"/>
      <c r="AO638" s="282"/>
      <c r="AP638" s="282"/>
      <c r="AQ638" s="282"/>
      <c r="AR638" s="282"/>
      <c r="AS638" s="282"/>
      <c r="AT638" s="282"/>
      <c r="AU638" s="282"/>
      <c r="AV638" s="282"/>
      <c r="AW638" s="282"/>
      <c r="AX638" s="282"/>
      <c r="AY638" s="282"/>
      <c r="AZ638" s="282"/>
      <c r="BA638" s="282"/>
    </row>
    <row r="639" spans="1:53">
      <c r="A639" s="282"/>
      <c r="B639" s="282"/>
      <c r="C639" s="282"/>
      <c r="D639" s="282"/>
      <c r="E639" s="282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  <c r="AA639" s="282"/>
      <c r="AB639" s="282"/>
      <c r="AC639" s="282"/>
      <c r="AD639" s="282"/>
      <c r="AE639" s="282"/>
      <c r="AF639" s="282"/>
      <c r="AG639" s="282"/>
      <c r="AH639" s="281"/>
      <c r="AI639" s="282"/>
      <c r="AJ639" s="282"/>
      <c r="AK639" s="282"/>
      <c r="AL639" s="282"/>
      <c r="AM639" s="282"/>
      <c r="AN639" s="282"/>
      <c r="AO639" s="282"/>
      <c r="AP639" s="282"/>
      <c r="AQ639" s="282"/>
      <c r="AR639" s="282"/>
      <c r="AS639" s="282"/>
      <c r="AT639" s="282"/>
      <c r="AU639" s="282"/>
      <c r="AV639" s="282"/>
      <c r="AW639" s="282"/>
      <c r="AX639" s="282"/>
      <c r="AY639" s="282"/>
      <c r="AZ639" s="282"/>
      <c r="BA639" s="282"/>
    </row>
    <row r="640" spans="1:53">
      <c r="A640" s="282"/>
      <c r="B640" s="282"/>
      <c r="C640" s="282"/>
      <c r="D640" s="282"/>
      <c r="E640" s="282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  <c r="AA640" s="282"/>
      <c r="AB640" s="282"/>
      <c r="AC640" s="282"/>
      <c r="AD640" s="282"/>
      <c r="AE640" s="282"/>
      <c r="AF640" s="282"/>
      <c r="AG640" s="282"/>
      <c r="AH640" s="281"/>
      <c r="AI640" s="282"/>
      <c r="AJ640" s="282"/>
      <c r="AK640" s="282"/>
      <c r="AL640" s="282"/>
      <c r="AM640" s="282"/>
      <c r="AN640" s="282"/>
      <c r="AO640" s="282"/>
      <c r="AP640" s="282"/>
      <c r="AQ640" s="282"/>
      <c r="AR640" s="282"/>
      <c r="AS640" s="282"/>
      <c r="AT640" s="282"/>
      <c r="AU640" s="282"/>
      <c r="AV640" s="282"/>
      <c r="AW640" s="282"/>
      <c r="AX640" s="282"/>
      <c r="AY640" s="282"/>
      <c r="AZ640" s="282"/>
      <c r="BA640" s="282"/>
    </row>
    <row r="641" spans="1:53">
      <c r="A641" s="282"/>
      <c r="B641" s="282"/>
      <c r="C641" s="282"/>
      <c r="D641" s="282"/>
      <c r="E641" s="282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  <c r="AA641" s="282"/>
      <c r="AB641" s="282"/>
      <c r="AC641" s="282"/>
      <c r="AD641" s="282"/>
      <c r="AE641" s="282"/>
      <c r="AF641" s="282"/>
      <c r="AG641" s="282"/>
      <c r="AH641" s="281"/>
      <c r="AI641" s="282"/>
      <c r="AJ641" s="282"/>
      <c r="AK641" s="282"/>
      <c r="AL641" s="282"/>
      <c r="AM641" s="282"/>
      <c r="AN641" s="282"/>
      <c r="AO641" s="282"/>
      <c r="AP641" s="282"/>
      <c r="AQ641" s="282"/>
      <c r="AR641" s="282"/>
      <c r="AS641" s="282"/>
      <c r="AT641" s="282"/>
      <c r="AU641" s="282"/>
      <c r="AV641" s="282"/>
      <c r="AW641" s="282"/>
      <c r="AX641" s="282"/>
      <c r="AY641" s="282"/>
      <c r="AZ641" s="282"/>
      <c r="BA641" s="282"/>
    </row>
    <row r="642" spans="1:53">
      <c r="A642" s="282"/>
      <c r="B642" s="282"/>
      <c r="C642" s="282"/>
      <c r="D642" s="282"/>
      <c r="E642" s="282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  <c r="AA642" s="282"/>
      <c r="AB642" s="282"/>
      <c r="AC642" s="282"/>
      <c r="AD642" s="282"/>
      <c r="AE642" s="282"/>
      <c r="AF642" s="282"/>
      <c r="AG642" s="282"/>
      <c r="AH642" s="281"/>
      <c r="AI642" s="282"/>
      <c r="AJ642" s="282"/>
      <c r="AK642" s="282"/>
      <c r="AL642" s="282"/>
      <c r="AM642" s="282"/>
      <c r="AN642" s="282"/>
      <c r="AO642" s="282"/>
      <c r="AP642" s="282"/>
      <c r="AQ642" s="282"/>
      <c r="AR642" s="282"/>
      <c r="AS642" s="282"/>
      <c r="AT642" s="282"/>
      <c r="AU642" s="282"/>
      <c r="AV642" s="282"/>
      <c r="AW642" s="282"/>
      <c r="AX642" s="282"/>
      <c r="AY642" s="282"/>
      <c r="AZ642" s="282"/>
      <c r="BA642" s="282"/>
    </row>
    <row r="643" spans="1:53">
      <c r="A643" s="282"/>
      <c r="B643" s="282"/>
      <c r="C643" s="282"/>
      <c r="D643" s="282"/>
      <c r="E643" s="282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  <c r="AA643" s="282"/>
      <c r="AB643" s="282"/>
      <c r="AC643" s="282"/>
      <c r="AD643" s="282"/>
      <c r="AE643" s="282"/>
      <c r="AF643" s="282"/>
      <c r="AG643" s="282"/>
      <c r="AH643" s="281"/>
      <c r="AI643" s="282"/>
      <c r="AJ643" s="282"/>
      <c r="AK643" s="282"/>
      <c r="AL643" s="282"/>
      <c r="AM643" s="282"/>
      <c r="AN643" s="282"/>
      <c r="AO643" s="282"/>
      <c r="AP643" s="282"/>
      <c r="AQ643" s="282"/>
      <c r="AR643" s="282"/>
      <c r="AS643" s="282"/>
      <c r="AT643" s="282"/>
      <c r="AU643" s="282"/>
      <c r="AV643" s="282"/>
      <c r="AW643" s="282"/>
      <c r="AX643" s="282"/>
      <c r="AY643" s="282"/>
      <c r="AZ643" s="282"/>
      <c r="BA643" s="282"/>
    </row>
    <row r="644" spans="1:53">
      <c r="A644" s="282"/>
      <c r="B644" s="282"/>
      <c r="C644" s="282"/>
      <c r="D644" s="282"/>
      <c r="E644" s="282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  <c r="AA644" s="282"/>
      <c r="AB644" s="282"/>
      <c r="AC644" s="282"/>
      <c r="AD644" s="282"/>
      <c r="AE644" s="282"/>
      <c r="AF644" s="282"/>
      <c r="AG644" s="282"/>
      <c r="AH644" s="281"/>
      <c r="AI644" s="282"/>
      <c r="AJ644" s="282"/>
      <c r="AK644" s="282"/>
      <c r="AL644" s="282"/>
      <c r="AM644" s="282"/>
      <c r="AN644" s="282"/>
      <c r="AO644" s="282"/>
      <c r="AP644" s="282"/>
      <c r="AQ644" s="282"/>
      <c r="AR644" s="282"/>
      <c r="AS644" s="282"/>
      <c r="AT644" s="282"/>
      <c r="AU644" s="282"/>
      <c r="AV644" s="282"/>
      <c r="AW644" s="282"/>
      <c r="AX644" s="282"/>
      <c r="AY644" s="282"/>
      <c r="AZ644" s="282"/>
      <c r="BA644" s="282"/>
    </row>
    <row r="645" spans="1:53">
      <c r="A645" s="282"/>
      <c r="B645" s="282"/>
      <c r="C645" s="282"/>
      <c r="D645" s="282"/>
      <c r="E645" s="282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  <c r="AA645" s="282"/>
      <c r="AB645" s="282"/>
      <c r="AC645" s="282"/>
      <c r="AD645" s="282"/>
      <c r="AE645" s="282"/>
      <c r="AF645" s="282"/>
      <c r="AG645" s="282"/>
      <c r="AH645" s="281"/>
      <c r="AI645" s="282"/>
      <c r="AJ645" s="282"/>
      <c r="AK645" s="282"/>
      <c r="AL645" s="282"/>
      <c r="AM645" s="282"/>
      <c r="AN645" s="282"/>
      <c r="AO645" s="282"/>
      <c r="AP645" s="282"/>
      <c r="AQ645" s="282"/>
      <c r="AR645" s="282"/>
      <c r="AS645" s="282"/>
      <c r="AT645" s="282"/>
      <c r="AU645" s="282"/>
      <c r="AV645" s="282"/>
      <c r="AW645" s="282"/>
      <c r="AX645" s="282"/>
      <c r="AY645" s="282"/>
      <c r="AZ645" s="282"/>
      <c r="BA645" s="282"/>
    </row>
    <row r="646" spans="1:53">
      <c r="A646" s="282"/>
      <c r="B646" s="282"/>
      <c r="C646" s="282"/>
      <c r="D646" s="282"/>
      <c r="E646" s="282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  <c r="AA646" s="282"/>
      <c r="AB646" s="282"/>
      <c r="AC646" s="282"/>
      <c r="AD646" s="282"/>
      <c r="AE646" s="282"/>
      <c r="AF646" s="282"/>
      <c r="AG646" s="282"/>
      <c r="AH646" s="281"/>
      <c r="AI646" s="282"/>
      <c r="AJ646" s="282"/>
      <c r="AK646" s="282"/>
      <c r="AL646" s="282"/>
      <c r="AM646" s="282"/>
      <c r="AN646" s="282"/>
      <c r="AO646" s="282"/>
      <c r="AP646" s="282"/>
      <c r="AQ646" s="282"/>
      <c r="AR646" s="282"/>
      <c r="AS646" s="282"/>
      <c r="AT646" s="282"/>
      <c r="AU646" s="282"/>
      <c r="AV646" s="282"/>
      <c r="AW646" s="282"/>
      <c r="AX646" s="282"/>
      <c r="AY646" s="282"/>
      <c r="AZ646" s="282"/>
      <c r="BA646" s="282"/>
    </row>
    <row r="647" spans="1:53">
      <c r="A647" s="282"/>
      <c r="B647" s="282"/>
      <c r="C647" s="282"/>
      <c r="D647" s="282"/>
      <c r="E647" s="282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  <c r="AA647" s="282"/>
      <c r="AB647" s="282"/>
      <c r="AC647" s="282"/>
      <c r="AD647" s="282"/>
      <c r="AE647" s="282"/>
      <c r="AF647" s="282"/>
      <c r="AG647" s="282"/>
      <c r="AH647" s="281"/>
      <c r="AI647" s="282"/>
      <c r="AJ647" s="282"/>
      <c r="AK647" s="282"/>
      <c r="AL647" s="282"/>
      <c r="AM647" s="282"/>
      <c r="AN647" s="282"/>
      <c r="AO647" s="282"/>
      <c r="AP647" s="282"/>
      <c r="AQ647" s="282"/>
      <c r="AR647" s="282"/>
      <c r="AS647" s="282"/>
      <c r="AT647" s="282"/>
      <c r="AU647" s="282"/>
      <c r="AV647" s="282"/>
      <c r="AW647" s="282"/>
      <c r="AX647" s="282"/>
      <c r="AY647" s="282"/>
      <c r="AZ647" s="282"/>
      <c r="BA647" s="282"/>
    </row>
    <row r="648" spans="1:53">
      <c r="A648" s="282"/>
      <c r="B648" s="282"/>
      <c r="C648" s="282"/>
      <c r="D648" s="282"/>
      <c r="E648" s="282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  <c r="AA648" s="282"/>
      <c r="AB648" s="282"/>
      <c r="AC648" s="282"/>
      <c r="AD648" s="282"/>
      <c r="AE648" s="282"/>
      <c r="AF648" s="282"/>
      <c r="AG648" s="282"/>
      <c r="AH648" s="281"/>
      <c r="AI648" s="282"/>
      <c r="AJ648" s="282"/>
      <c r="AK648" s="282"/>
      <c r="AL648" s="282"/>
      <c r="AM648" s="282"/>
      <c r="AN648" s="282"/>
      <c r="AO648" s="282"/>
      <c r="AP648" s="282"/>
      <c r="AQ648" s="282"/>
      <c r="AR648" s="282"/>
      <c r="AS648" s="282"/>
      <c r="AT648" s="282"/>
      <c r="AU648" s="282"/>
      <c r="AV648" s="282"/>
      <c r="AW648" s="282"/>
      <c r="AX648" s="282"/>
      <c r="AY648" s="282"/>
      <c r="AZ648" s="282"/>
      <c r="BA648" s="282"/>
    </row>
    <row r="649" spans="1:53">
      <c r="A649" s="282"/>
      <c r="B649" s="282"/>
      <c r="C649" s="282"/>
      <c r="D649" s="282"/>
      <c r="E649" s="282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  <c r="AA649" s="282"/>
      <c r="AB649" s="282"/>
      <c r="AC649" s="282"/>
      <c r="AD649" s="282"/>
      <c r="AE649" s="282"/>
      <c r="AF649" s="282"/>
      <c r="AG649" s="282"/>
      <c r="AH649" s="281"/>
      <c r="AI649" s="282"/>
      <c r="AJ649" s="282"/>
      <c r="AK649" s="282"/>
      <c r="AL649" s="282"/>
      <c r="AM649" s="282"/>
      <c r="AN649" s="282"/>
      <c r="AO649" s="282"/>
      <c r="AP649" s="282"/>
      <c r="AQ649" s="282"/>
      <c r="AR649" s="282"/>
      <c r="AS649" s="282"/>
      <c r="AT649" s="282"/>
      <c r="AU649" s="282"/>
      <c r="AV649" s="282"/>
      <c r="AW649" s="282"/>
      <c r="AX649" s="282"/>
      <c r="AY649" s="282"/>
      <c r="AZ649" s="282"/>
      <c r="BA649" s="282"/>
    </row>
    <row r="650" spans="1:53">
      <c r="A650" s="282"/>
      <c r="B650" s="282"/>
      <c r="C650" s="282"/>
      <c r="D650" s="282"/>
      <c r="E650" s="282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  <c r="AA650" s="282"/>
      <c r="AB650" s="282"/>
      <c r="AC650" s="282"/>
      <c r="AD650" s="282"/>
      <c r="AE650" s="282"/>
      <c r="AF650" s="282"/>
      <c r="AG650" s="282"/>
      <c r="AH650" s="281"/>
      <c r="AI650" s="282"/>
      <c r="AJ650" s="282"/>
      <c r="AK650" s="282"/>
      <c r="AL650" s="282"/>
      <c r="AM650" s="282"/>
      <c r="AN650" s="282"/>
      <c r="AO650" s="282"/>
      <c r="AP650" s="282"/>
      <c r="AQ650" s="282"/>
      <c r="AR650" s="282"/>
      <c r="AS650" s="282"/>
      <c r="AT650" s="282"/>
      <c r="AU650" s="282"/>
      <c r="AV650" s="282"/>
      <c r="AW650" s="282"/>
      <c r="AX650" s="282"/>
      <c r="AY650" s="282"/>
      <c r="AZ650" s="282"/>
      <c r="BA650" s="282"/>
    </row>
    <row r="651" spans="1:53">
      <c r="A651" s="282"/>
      <c r="B651" s="282"/>
      <c r="C651" s="282"/>
      <c r="D651" s="282"/>
      <c r="E651" s="282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  <c r="AA651" s="282"/>
      <c r="AB651" s="282"/>
      <c r="AC651" s="282"/>
      <c r="AD651" s="282"/>
      <c r="AE651" s="282"/>
      <c r="AF651" s="282"/>
      <c r="AG651" s="282"/>
      <c r="AH651" s="281"/>
      <c r="AI651" s="282"/>
      <c r="AJ651" s="282"/>
      <c r="AK651" s="282"/>
      <c r="AL651" s="282"/>
      <c r="AM651" s="282"/>
      <c r="AN651" s="282"/>
      <c r="AO651" s="282"/>
      <c r="AP651" s="282"/>
      <c r="AQ651" s="282"/>
      <c r="AR651" s="282"/>
      <c r="AS651" s="282"/>
      <c r="AT651" s="282"/>
      <c r="AU651" s="282"/>
      <c r="AV651" s="282"/>
      <c r="AW651" s="282"/>
      <c r="AX651" s="282"/>
      <c r="AY651" s="282"/>
      <c r="AZ651" s="282"/>
      <c r="BA651" s="282"/>
    </row>
    <row r="652" spans="1:53">
      <c r="A652" s="282"/>
      <c r="B652" s="282"/>
      <c r="C652" s="282"/>
      <c r="D652" s="282"/>
      <c r="E652" s="282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  <c r="AA652" s="282"/>
      <c r="AB652" s="282"/>
      <c r="AC652" s="282"/>
      <c r="AD652" s="282"/>
      <c r="AE652" s="282"/>
      <c r="AF652" s="282"/>
      <c r="AG652" s="282"/>
      <c r="AH652" s="281"/>
      <c r="AI652" s="282"/>
      <c r="AJ652" s="282"/>
      <c r="AK652" s="282"/>
      <c r="AL652" s="282"/>
      <c r="AM652" s="282"/>
      <c r="AN652" s="282"/>
      <c r="AO652" s="282"/>
      <c r="AP652" s="282"/>
      <c r="AQ652" s="282"/>
      <c r="AR652" s="282"/>
      <c r="AS652" s="282"/>
      <c r="AT652" s="282"/>
      <c r="AU652" s="282"/>
      <c r="AV652" s="282"/>
      <c r="AW652" s="282"/>
      <c r="AX652" s="282"/>
      <c r="AY652" s="282"/>
      <c r="AZ652" s="282"/>
      <c r="BA652" s="282"/>
    </row>
    <row r="653" spans="1:53">
      <c r="A653" s="282"/>
      <c r="B653" s="282"/>
      <c r="C653" s="282"/>
      <c r="D653" s="282"/>
      <c r="E653" s="282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  <c r="AA653" s="282"/>
      <c r="AB653" s="282"/>
      <c r="AC653" s="282"/>
      <c r="AD653" s="282"/>
      <c r="AE653" s="282"/>
      <c r="AF653" s="282"/>
      <c r="AG653" s="282"/>
      <c r="AH653" s="281"/>
      <c r="AI653" s="282"/>
      <c r="AJ653" s="282"/>
      <c r="AK653" s="282"/>
      <c r="AL653" s="282"/>
      <c r="AM653" s="282"/>
      <c r="AN653" s="282"/>
      <c r="AO653" s="282"/>
      <c r="AP653" s="282"/>
      <c r="AQ653" s="282"/>
      <c r="AR653" s="282"/>
      <c r="AS653" s="282"/>
      <c r="AT653" s="282"/>
      <c r="AU653" s="282"/>
      <c r="AV653" s="282"/>
      <c r="AW653" s="282"/>
      <c r="AX653" s="282"/>
      <c r="AY653" s="282"/>
      <c r="AZ653" s="282"/>
      <c r="BA653" s="282"/>
    </row>
    <row r="654" spans="1:53">
      <c r="A654" s="282"/>
      <c r="B654" s="282"/>
      <c r="C654" s="282"/>
      <c r="D654" s="282"/>
      <c r="E654" s="282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  <c r="AA654" s="282"/>
      <c r="AB654" s="282"/>
      <c r="AC654" s="282"/>
      <c r="AD654" s="282"/>
      <c r="AE654" s="282"/>
      <c r="AF654" s="282"/>
      <c r="AG654" s="282"/>
      <c r="AH654" s="281"/>
      <c r="AI654" s="282"/>
      <c r="AJ654" s="282"/>
      <c r="AK654" s="282"/>
      <c r="AL654" s="282"/>
      <c r="AM654" s="282"/>
      <c r="AN654" s="282"/>
      <c r="AO654" s="282"/>
      <c r="AP654" s="282"/>
      <c r="AQ654" s="282"/>
      <c r="AR654" s="282"/>
      <c r="AS654" s="282"/>
      <c r="AT654" s="282"/>
      <c r="AU654" s="282"/>
      <c r="AV654" s="282"/>
      <c r="AW654" s="282"/>
      <c r="AX654" s="282"/>
      <c r="AY654" s="282"/>
      <c r="AZ654" s="282"/>
      <c r="BA654" s="282"/>
    </row>
    <row r="655" spans="1:53">
      <c r="A655" s="282"/>
      <c r="B655" s="282"/>
      <c r="C655" s="282"/>
      <c r="D655" s="282"/>
      <c r="E655" s="282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  <c r="AA655" s="282"/>
      <c r="AB655" s="282"/>
      <c r="AC655" s="282"/>
      <c r="AD655" s="282"/>
      <c r="AE655" s="282"/>
      <c r="AF655" s="282"/>
      <c r="AG655" s="282"/>
      <c r="AH655" s="281"/>
      <c r="AI655" s="282"/>
      <c r="AJ655" s="282"/>
      <c r="AK655" s="282"/>
      <c r="AL655" s="282"/>
      <c r="AM655" s="282"/>
      <c r="AN655" s="282"/>
      <c r="AO655" s="282"/>
      <c r="AP655" s="282"/>
      <c r="AQ655" s="282"/>
      <c r="AR655" s="282"/>
      <c r="AS655" s="282"/>
      <c r="AT655" s="282"/>
      <c r="AU655" s="282"/>
      <c r="AV655" s="282"/>
      <c r="AW655" s="282"/>
      <c r="AX655" s="282"/>
      <c r="AY655" s="282"/>
      <c r="AZ655" s="282"/>
      <c r="BA655" s="282"/>
    </row>
    <row r="656" spans="1:53">
      <c r="A656" s="282"/>
      <c r="B656" s="282"/>
      <c r="C656" s="282"/>
      <c r="D656" s="282"/>
      <c r="E656" s="282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  <c r="AA656" s="282"/>
      <c r="AB656" s="282"/>
      <c r="AC656" s="282"/>
      <c r="AD656" s="282"/>
      <c r="AE656" s="282"/>
      <c r="AF656" s="282"/>
      <c r="AG656" s="282"/>
      <c r="AH656" s="281"/>
      <c r="AI656" s="282"/>
      <c r="AJ656" s="282"/>
      <c r="AK656" s="282"/>
      <c r="AL656" s="282"/>
      <c r="AM656" s="282"/>
      <c r="AN656" s="282"/>
      <c r="AO656" s="282"/>
      <c r="AP656" s="282"/>
      <c r="AQ656" s="282"/>
      <c r="AR656" s="282"/>
      <c r="AS656" s="282"/>
      <c r="AT656" s="282"/>
      <c r="AU656" s="282"/>
      <c r="AV656" s="282"/>
      <c r="AW656" s="282"/>
      <c r="AX656" s="282"/>
      <c r="AY656" s="282"/>
      <c r="AZ656" s="282"/>
      <c r="BA656" s="282"/>
    </row>
    <row r="657" spans="1:53">
      <c r="A657" s="282"/>
      <c r="B657" s="282"/>
      <c r="C657" s="282"/>
      <c r="D657" s="282"/>
      <c r="E657" s="282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  <c r="AA657" s="282"/>
      <c r="AB657" s="282"/>
      <c r="AC657" s="282"/>
      <c r="AD657" s="282"/>
      <c r="AE657" s="282"/>
      <c r="AF657" s="282"/>
      <c r="AG657" s="282"/>
      <c r="AH657" s="281"/>
      <c r="AI657" s="282"/>
      <c r="AJ657" s="282"/>
      <c r="AK657" s="282"/>
      <c r="AL657" s="282"/>
      <c r="AM657" s="282"/>
      <c r="AN657" s="282"/>
      <c r="AO657" s="282"/>
      <c r="AP657" s="282"/>
      <c r="AQ657" s="282"/>
      <c r="AR657" s="282"/>
      <c r="AS657" s="282"/>
      <c r="AT657" s="282"/>
      <c r="AU657" s="282"/>
      <c r="AV657" s="282"/>
      <c r="AW657" s="282"/>
      <c r="AX657" s="282"/>
      <c r="AY657" s="282"/>
      <c r="AZ657" s="282"/>
      <c r="BA657" s="282"/>
    </row>
    <row r="658" spans="1:53">
      <c r="A658" s="282"/>
      <c r="B658" s="282"/>
      <c r="C658" s="282"/>
      <c r="D658" s="282"/>
      <c r="E658" s="282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  <c r="AA658" s="282"/>
      <c r="AB658" s="282"/>
      <c r="AC658" s="282"/>
      <c r="AD658" s="282"/>
      <c r="AE658" s="282"/>
      <c r="AF658" s="282"/>
      <c r="AG658" s="282"/>
      <c r="AH658" s="281"/>
      <c r="AI658" s="282"/>
      <c r="AJ658" s="282"/>
      <c r="AK658" s="282"/>
      <c r="AL658" s="282"/>
      <c r="AM658" s="282"/>
      <c r="AN658" s="282"/>
      <c r="AO658" s="282"/>
      <c r="AP658" s="282"/>
      <c r="AQ658" s="282"/>
      <c r="AR658" s="282"/>
      <c r="AS658" s="282"/>
      <c r="AT658" s="282"/>
      <c r="AU658" s="282"/>
      <c r="AV658" s="282"/>
      <c r="AW658" s="282"/>
      <c r="AX658" s="282"/>
      <c r="AY658" s="282"/>
      <c r="AZ658" s="282"/>
      <c r="BA658" s="282"/>
    </row>
    <row r="659" spans="1:53">
      <c r="A659" s="282"/>
      <c r="B659" s="282"/>
      <c r="C659" s="282"/>
      <c r="D659" s="282"/>
      <c r="E659" s="282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  <c r="AA659" s="282"/>
      <c r="AB659" s="282"/>
      <c r="AC659" s="282"/>
      <c r="AD659" s="282"/>
      <c r="AE659" s="282"/>
      <c r="AF659" s="282"/>
      <c r="AG659" s="282"/>
      <c r="AH659" s="281"/>
      <c r="AI659" s="282"/>
      <c r="AJ659" s="282"/>
      <c r="AK659" s="282"/>
      <c r="AL659" s="282"/>
      <c r="AM659" s="282"/>
      <c r="AN659" s="282"/>
      <c r="AO659" s="282"/>
      <c r="AP659" s="282"/>
      <c r="AQ659" s="282"/>
      <c r="AR659" s="282"/>
      <c r="AS659" s="282"/>
      <c r="AT659" s="282"/>
      <c r="AU659" s="282"/>
      <c r="AV659" s="282"/>
      <c r="AW659" s="282"/>
      <c r="AX659" s="282"/>
      <c r="AY659" s="282"/>
      <c r="AZ659" s="282"/>
      <c r="BA659" s="282"/>
    </row>
    <row r="660" spans="1:53">
      <c r="A660" s="282"/>
      <c r="B660" s="282"/>
      <c r="C660" s="282"/>
      <c r="D660" s="282"/>
      <c r="E660" s="282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  <c r="AA660" s="282"/>
      <c r="AB660" s="282"/>
      <c r="AC660" s="282"/>
      <c r="AD660" s="282"/>
      <c r="AE660" s="282"/>
      <c r="AF660" s="282"/>
      <c r="AG660" s="282"/>
      <c r="AH660" s="281"/>
      <c r="AI660" s="282"/>
      <c r="AJ660" s="282"/>
      <c r="AK660" s="282"/>
      <c r="AL660" s="282"/>
      <c r="AM660" s="282"/>
      <c r="AN660" s="282"/>
      <c r="AO660" s="282"/>
      <c r="AP660" s="282"/>
      <c r="AQ660" s="282"/>
      <c r="AR660" s="282"/>
      <c r="AS660" s="282"/>
      <c r="AT660" s="282"/>
      <c r="AU660" s="282"/>
      <c r="AV660" s="282"/>
      <c r="AW660" s="282"/>
      <c r="AX660" s="282"/>
      <c r="AY660" s="282"/>
      <c r="AZ660" s="282"/>
      <c r="BA660" s="282"/>
    </row>
    <row r="661" spans="1:53">
      <c r="A661" s="282"/>
      <c r="B661" s="282"/>
      <c r="C661" s="282"/>
      <c r="D661" s="282"/>
      <c r="E661" s="282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  <c r="AA661" s="282"/>
      <c r="AB661" s="282"/>
      <c r="AC661" s="282"/>
      <c r="AD661" s="282"/>
      <c r="AE661" s="282"/>
      <c r="AF661" s="282"/>
      <c r="AG661" s="282"/>
      <c r="AH661" s="281"/>
      <c r="AI661" s="282"/>
      <c r="AJ661" s="282"/>
      <c r="AK661" s="282"/>
      <c r="AL661" s="282"/>
      <c r="AM661" s="282"/>
      <c r="AN661" s="282"/>
      <c r="AO661" s="282"/>
      <c r="AP661" s="282"/>
      <c r="AQ661" s="282"/>
      <c r="AR661" s="282"/>
      <c r="AS661" s="282"/>
      <c r="AT661" s="282"/>
      <c r="AU661" s="282"/>
      <c r="AV661" s="282"/>
      <c r="AW661" s="282"/>
      <c r="AX661" s="282"/>
      <c r="AY661" s="282"/>
      <c r="AZ661" s="282"/>
      <c r="BA661" s="282"/>
    </row>
    <row r="662" spans="1:53">
      <c r="A662" s="282"/>
      <c r="B662" s="282"/>
      <c r="C662" s="282"/>
      <c r="D662" s="282"/>
      <c r="E662" s="282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  <c r="AA662" s="282"/>
      <c r="AB662" s="282"/>
      <c r="AC662" s="282"/>
      <c r="AD662" s="282"/>
      <c r="AE662" s="282"/>
      <c r="AF662" s="282"/>
      <c r="AG662" s="282"/>
      <c r="AH662" s="281"/>
      <c r="AI662" s="282"/>
      <c r="AJ662" s="282"/>
      <c r="AK662" s="282"/>
      <c r="AL662" s="282"/>
      <c r="AM662" s="282"/>
      <c r="AN662" s="282"/>
      <c r="AO662" s="282"/>
      <c r="AP662" s="282"/>
      <c r="AQ662" s="282"/>
      <c r="AR662" s="282"/>
      <c r="AS662" s="282"/>
      <c r="AT662" s="282"/>
      <c r="AU662" s="282"/>
      <c r="AV662" s="282"/>
      <c r="AW662" s="282"/>
      <c r="AX662" s="282"/>
      <c r="AY662" s="282"/>
      <c r="AZ662" s="282"/>
      <c r="BA662" s="282"/>
    </row>
    <row r="663" spans="1:53">
      <c r="A663" s="282"/>
      <c r="B663" s="282"/>
      <c r="C663" s="282"/>
      <c r="D663" s="282"/>
      <c r="E663" s="282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  <c r="AA663" s="282"/>
      <c r="AB663" s="282"/>
      <c r="AC663" s="282"/>
      <c r="AD663" s="282"/>
      <c r="AE663" s="282"/>
      <c r="AF663" s="282"/>
      <c r="AG663" s="282"/>
      <c r="AH663" s="281"/>
      <c r="AI663" s="282"/>
      <c r="AJ663" s="282"/>
      <c r="AK663" s="282"/>
      <c r="AL663" s="282"/>
      <c r="AM663" s="282"/>
      <c r="AN663" s="282"/>
      <c r="AO663" s="282"/>
      <c r="AP663" s="282"/>
      <c r="AQ663" s="282"/>
      <c r="AR663" s="282"/>
      <c r="AS663" s="282"/>
      <c r="AT663" s="282"/>
      <c r="AU663" s="282"/>
      <c r="AV663" s="282"/>
      <c r="AW663" s="282"/>
      <c r="AX663" s="282"/>
      <c r="AY663" s="282"/>
      <c r="AZ663" s="282"/>
      <c r="BA663" s="282"/>
    </row>
    <row r="664" spans="1:53">
      <c r="A664" s="282"/>
      <c r="B664" s="282"/>
      <c r="C664" s="282"/>
      <c r="D664" s="282"/>
      <c r="E664" s="282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  <c r="AA664" s="282"/>
      <c r="AB664" s="282"/>
      <c r="AC664" s="282"/>
      <c r="AD664" s="282"/>
      <c r="AE664" s="282"/>
      <c r="AF664" s="282"/>
      <c r="AG664" s="282"/>
      <c r="AH664" s="281"/>
      <c r="AI664" s="282"/>
      <c r="AJ664" s="282"/>
      <c r="AK664" s="282"/>
      <c r="AL664" s="282"/>
      <c r="AM664" s="282"/>
      <c r="AN664" s="282"/>
      <c r="AO664" s="282"/>
      <c r="AP664" s="282"/>
      <c r="AQ664" s="282"/>
      <c r="AR664" s="282"/>
      <c r="AS664" s="282"/>
      <c r="AT664" s="282"/>
      <c r="AU664" s="282"/>
      <c r="AV664" s="282"/>
      <c r="AW664" s="282"/>
      <c r="AX664" s="282"/>
      <c r="AY664" s="282"/>
      <c r="AZ664" s="282"/>
      <c r="BA664" s="282"/>
    </row>
    <row r="665" spans="1:53">
      <c r="A665" s="282"/>
      <c r="B665" s="282"/>
      <c r="C665" s="282"/>
      <c r="D665" s="282"/>
      <c r="E665" s="282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  <c r="AA665" s="282"/>
      <c r="AB665" s="282"/>
      <c r="AC665" s="282"/>
      <c r="AD665" s="282"/>
      <c r="AE665" s="282"/>
      <c r="AF665" s="282"/>
      <c r="AG665" s="282"/>
      <c r="AH665" s="281"/>
      <c r="AI665" s="282"/>
      <c r="AJ665" s="282"/>
      <c r="AK665" s="282"/>
      <c r="AL665" s="282"/>
      <c r="AM665" s="282"/>
      <c r="AN665" s="282"/>
      <c r="AO665" s="282"/>
      <c r="AP665" s="282"/>
      <c r="AQ665" s="282"/>
      <c r="AR665" s="282"/>
      <c r="AS665" s="282"/>
      <c r="AT665" s="282"/>
      <c r="AU665" s="282"/>
      <c r="AV665" s="282"/>
      <c r="AW665" s="282"/>
      <c r="AX665" s="282"/>
      <c r="AY665" s="282"/>
      <c r="AZ665" s="282"/>
      <c r="BA665" s="282"/>
    </row>
    <row r="666" spans="1:53">
      <c r="A666" s="282"/>
      <c r="B666" s="282"/>
      <c r="C666" s="282"/>
      <c r="D666" s="282"/>
      <c r="E666" s="282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  <c r="AA666" s="282"/>
      <c r="AB666" s="282"/>
      <c r="AC666" s="282"/>
      <c r="AD666" s="282"/>
      <c r="AE666" s="282"/>
      <c r="AF666" s="282"/>
      <c r="AG666" s="282"/>
      <c r="AH666" s="281"/>
      <c r="AI666" s="282"/>
      <c r="AJ666" s="282"/>
      <c r="AK666" s="282"/>
      <c r="AL666" s="282"/>
      <c r="AM666" s="282"/>
      <c r="AN666" s="282"/>
      <c r="AO666" s="282"/>
      <c r="AP666" s="282"/>
      <c r="AQ666" s="282"/>
      <c r="AR666" s="282"/>
      <c r="AS666" s="282"/>
      <c r="AT666" s="282"/>
      <c r="AU666" s="282"/>
      <c r="AV666" s="282"/>
      <c r="AW666" s="282"/>
      <c r="AX666" s="282"/>
      <c r="AY666" s="282"/>
      <c r="AZ666" s="282"/>
      <c r="BA666" s="282"/>
    </row>
    <row r="667" spans="1:53">
      <c r="A667" s="282"/>
      <c r="B667" s="282"/>
      <c r="C667" s="282"/>
      <c r="D667" s="282"/>
      <c r="E667" s="282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  <c r="AA667" s="282"/>
      <c r="AB667" s="282"/>
      <c r="AC667" s="282"/>
      <c r="AD667" s="282"/>
      <c r="AE667" s="282"/>
      <c r="AF667" s="282"/>
      <c r="AG667" s="282"/>
      <c r="AH667" s="281"/>
      <c r="AI667" s="282"/>
      <c r="AJ667" s="282"/>
      <c r="AK667" s="282"/>
      <c r="AL667" s="282"/>
      <c r="AM667" s="282"/>
      <c r="AN667" s="282"/>
      <c r="AO667" s="282"/>
      <c r="AP667" s="282"/>
      <c r="AQ667" s="282"/>
      <c r="AR667" s="282"/>
      <c r="AS667" s="282"/>
      <c r="AT667" s="282"/>
      <c r="AU667" s="282"/>
      <c r="AV667" s="282"/>
      <c r="AW667" s="282"/>
      <c r="AX667" s="282"/>
      <c r="AY667" s="282"/>
      <c r="AZ667" s="282"/>
      <c r="BA667" s="282"/>
    </row>
    <row r="668" spans="1:53">
      <c r="A668" s="282"/>
      <c r="B668" s="282"/>
      <c r="C668" s="282"/>
      <c r="D668" s="282"/>
      <c r="E668" s="282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  <c r="AA668" s="282"/>
      <c r="AB668" s="282"/>
      <c r="AC668" s="282"/>
      <c r="AD668" s="282"/>
      <c r="AE668" s="282"/>
      <c r="AF668" s="282"/>
      <c r="AG668" s="282"/>
      <c r="AH668" s="281"/>
      <c r="AI668" s="282"/>
      <c r="AJ668" s="282"/>
      <c r="AK668" s="282"/>
      <c r="AL668" s="282"/>
      <c r="AM668" s="282"/>
      <c r="AN668" s="282"/>
      <c r="AO668" s="282"/>
      <c r="AP668" s="282"/>
      <c r="AQ668" s="282"/>
      <c r="AR668" s="282"/>
      <c r="AS668" s="282"/>
      <c r="AT668" s="282"/>
      <c r="AU668" s="282"/>
      <c r="AV668" s="282"/>
      <c r="AW668" s="282"/>
      <c r="AX668" s="282"/>
      <c r="AY668" s="282"/>
      <c r="AZ668" s="282"/>
      <c r="BA668" s="282"/>
    </row>
    <row r="669" spans="1:53">
      <c r="A669" s="282"/>
      <c r="B669" s="282"/>
      <c r="C669" s="282"/>
      <c r="D669" s="282"/>
      <c r="E669" s="282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  <c r="AA669" s="282"/>
      <c r="AB669" s="282"/>
      <c r="AC669" s="282"/>
      <c r="AD669" s="282"/>
      <c r="AE669" s="282"/>
      <c r="AF669" s="282"/>
      <c r="AG669" s="282"/>
      <c r="AH669" s="281"/>
      <c r="AI669" s="282"/>
      <c r="AJ669" s="282"/>
      <c r="AK669" s="282"/>
      <c r="AL669" s="282"/>
      <c r="AM669" s="282"/>
      <c r="AN669" s="282"/>
      <c r="AO669" s="282"/>
      <c r="AP669" s="282"/>
      <c r="AQ669" s="282"/>
      <c r="AR669" s="282"/>
      <c r="AS669" s="282"/>
      <c r="AT669" s="282"/>
      <c r="AU669" s="282"/>
      <c r="AV669" s="282"/>
      <c r="AW669" s="282"/>
      <c r="AX669" s="282"/>
      <c r="AY669" s="282"/>
      <c r="AZ669" s="282"/>
      <c r="BA669" s="282"/>
    </row>
    <row r="670" spans="1:53">
      <c r="A670" s="282"/>
      <c r="B670" s="282"/>
      <c r="C670" s="282"/>
      <c r="D670" s="282"/>
      <c r="E670" s="282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  <c r="AA670" s="282"/>
      <c r="AB670" s="282"/>
      <c r="AC670" s="282"/>
      <c r="AD670" s="282"/>
      <c r="AE670" s="282"/>
      <c r="AF670" s="282"/>
      <c r="AG670" s="282"/>
      <c r="AH670" s="281"/>
      <c r="AI670" s="282"/>
      <c r="AJ670" s="282"/>
      <c r="AK670" s="282"/>
      <c r="AL670" s="282"/>
      <c r="AM670" s="282"/>
      <c r="AN670" s="282"/>
      <c r="AO670" s="282"/>
      <c r="AP670" s="282"/>
      <c r="AQ670" s="282"/>
      <c r="AR670" s="282"/>
      <c r="AS670" s="282"/>
      <c r="AT670" s="282"/>
      <c r="AU670" s="282"/>
      <c r="AV670" s="282"/>
      <c r="AW670" s="282"/>
      <c r="AX670" s="282"/>
      <c r="AY670" s="282"/>
      <c r="AZ670" s="282"/>
      <c r="BA670" s="282"/>
    </row>
    <row r="671" spans="1:53">
      <c r="A671" s="282"/>
      <c r="B671" s="282"/>
      <c r="C671" s="282"/>
      <c r="D671" s="282"/>
      <c r="E671" s="282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  <c r="AA671" s="282"/>
      <c r="AB671" s="282"/>
      <c r="AC671" s="282"/>
      <c r="AD671" s="282"/>
      <c r="AE671" s="282"/>
      <c r="AF671" s="282"/>
      <c r="AG671" s="282"/>
      <c r="AH671" s="281"/>
      <c r="AI671" s="282"/>
      <c r="AJ671" s="282"/>
      <c r="AK671" s="282"/>
      <c r="AL671" s="282"/>
      <c r="AM671" s="282"/>
      <c r="AN671" s="282"/>
      <c r="AO671" s="282"/>
      <c r="AP671" s="282"/>
      <c r="AQ671" s="282"/>
      <c r="AR671" s="282"/>
      <c r="AS671" s="282"/>
      <c r="AT671" s="282"/>
      <c r="AU671" s="282"/>
      <c r="AV671" s="282"/>
      <c r="AW671" s="282"/>
      <c r="AX671" s="282"/>
      <c r="AY671" s="282"/>
      <c r="AZ671" s="282"/>
      <c r="BA671" s="282"/>
    </row>
    <row r="672" spans="1:53">
      <c r="A672" s="282"/>
      <c r="B672" s="282"/>
      <c r="C672" s="282"/>
      <c r="D672" s="282"/>
      <c r="E672" s="282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  <c r="AA672" s="282"/>
      <c r="AB672" s="282"/>
      <c r="AC672" s="282"/>
      <c r="AD672" s="282"/>
      <c r="AE672" s="282"/>
      <c r="AF672" s="282"/>
      <c r="AG672" s="282"/>
      <c r="AH672" s="281"/>
      <c r="AI672" s="282"/>
      <c r="AJ672" s="282"/>
      <c r="AK672" s="282"/>
      <c r="AL672" s="282"/>
      <c r="AM672" s="282"/>
      <c r="AN672" s="282"/>
      <c r="AO672" s="282"/>
      <c r="AP672" s="282"/>
      <c r="AQ672" s="282"/>
      <c r="AR672" s="282"/>
      <c r="AS672" s="282"/>
      <c r="AT672" s="282"/>
      <c r="AU672" s="282"/>
      <c r="AV672" s="282"/>
      <c r="AW672" s="282"/>
      <c r="AX672" s="282"/>
      <c r="AY672" s="282"/>
      <c r="AZ672" s="282"/>
      <c r="BA672" s="282"/>
    </row>
    <row r="673" spans="1:53">
      <c r="A673" s="282"/>
      <c r="B673" s="282"/>
      <c r="C673" s="282"/>
      <c r="D673" s="282"/>
      <c r="E673" s="282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  <c r="AA673" s="282"/>
      <c r="AB673" s="282"/>
      <c r="AC673" s="282"/>
      <c r="AD673" s="282"/>
      <c r="AE673" s="282"/>
      <c r="AF673" s="282"/>
      <c r="AG673" s="282"/>
      <c r="AH673" s="281"/>
      <c r="AI673" s="282"/>
      <c r="AJ673" s="282"/>
      <c r="AK673" s="282"/>
      <c r="AL673" s="282"/>
      <c r="AM673" s="282"/>
      <c r="AN673" s="282"/>
      <c r="AO673" s="282"/>
      <c r="AP673" s="282"/>
      <c r="AQ673" s="282"/>
      <c r="AR673" s="282"/>
      <c r="AS673" s="282"/>
      <c r="AT673" s="282"/>
      <c r="AU673" s="282"/>
      <c r="AV673" s="282"/>
      <c r="AW673" s="282"/>
      <c r="AX673" s="282"/>
      <c r="AY673" s="282"/>
      <c r="AZ673" s="282"/>
      <c r="BA673" s="282"/>
    </row>
    <row r="674" spans="1:53">
      <c r="A674" s="282"/>
      <c r="B674" s="282"/>
      <c r="C674" s="282"/>
      <c r="D674" s="282"/>
      <c r="E674" s="282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  <c r="AA674" s="282"/>
      <c r="AB674" s="282"/>
      <c r="AC674" s="282"/>
      <c r="AD674" s="282"/>
      <c r="AE674" s="282"/>
      <c r="AF674" s="282"/>
      <c r="AG674" s="282"/>
      <c r="AH674" s="281"/>
      <c r="AI674" s="282"/>
      <c r="AJ674" s="282"/>
      <c r="AK674" s="282"/>
      <c r="AL674" s="282"/>
      <c r="AM674" s="282"/>
      <c r="AN674" s="282"/>
      <c r="AO674" s="282"/>
      <c r="AP674" s="282"/>
      <c r="AQ674" s="282"/>
      <c r="AR674" s="282"/>
      <c r="AS674" s="282"/>
      <c r="AT674" s="282"/>
      <c r="AU674" s="282"/>
      <c r="AV674" s="282"/>
      <c r="AW674" s="282"/>
      <c r="AX674" s="282"/>
      <c r="AY674" s="282"/>
      <c r="AZ674" s="282"/>
      <c r="BA674" s="282"/>
    </row>
    <row r="675" spans="1:53">
      <c r="A675" s="282"/>
      <c r="B675" s="282"/>
      <c r="C675" s="282"/>
      <c r="D675" s="282"/>
      <c r="E675" s="282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  <c r="AA675" s="282"/>
      <c r="AB675" s="282"/>
      <c r="AC675" s="282"/>
      <c r="AD675" s="282"/>
      <c r="AE675" s="282"/>
      <c r="AF675" s="282"/>
      <c r="AG675" s="282"/>
      <c r="AH675" s="281"/>
      <c r="AI675" s="282"/>
      <c r="AJ675" s="282"/>
      <c r="AK675" s="282"/>
      <c r="AL675" s="282"/>
      <c r="AM675" s="282"/>
      <c r="AN675" s="282"/>
      <c r="AO675" s="282"/>
      <c r="AP675" s="282"/>
      <c r="AQ675" s="282"/>
      <c r="AR675" s="282"/>
      <c r="AS675" s="282"/>
      <c r="AT675" s="282"/>
      <c r="AU675" s="282"/>
      <c r="AV675" s="282"/>
      <c r="AW675" s="282"/>
      <c r="AX675" s="282"/>
      <c r="AY675" s="282"/>
      <c r="AZ675" s="282"/>
      <c r="BA675" s="282"/>
    </row>
    <row r="676" spans="1:53">
      <c r="A676" s="282"/>
      <c r="B676" s="282"/>
      <c r="C676" s="282"/>
      <c r="D676" s="282"/>
      <c r="E676" s="282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  <c r="AA676" s="282"/>
      <c r="AB676" s="282"/>
      <c r="AC676" s="282"/>
      <c r="AD676" s="282"/>
      <c r="AE676" s="282"/>
      <c r="AF676" s="282"/>
      <c r="AG676" s="282"/>
      <c r="AH676" s="281"/>
      <c r="AI676" s="282"/>
      <c r="AJ676" s="282"/>
      <c r="AK676" s="282"/>
      <c r="AL676" s="282"/>
      <c r="AM676" s="282"/>
      <c r="AN676" s="282"/>
      <c r="AO676" s="282"/>
      <c r="AP676" s="282"/>
      <c r="AQ676" s="282"/>
      <c r="AR676" s="282"/>
      <c r="AS676" s="282"/>
      <c r="AT676" s="282"/>
      <c r="AU676" s="282"/>
      <c r="AV676" s="282"/>
      <c r="AW676" s="282"/>
      <c r="AX676" s="282"/>
      <c r="AY676" s="282"/>
      <c r="AZ676" s="282"/>
      <c r="BA676" s="282"/>
    </row>
    <row r="677" spans="1:53">
      <c r="A677" s="282"/>
      <c r="B677" s="282"/>
      <c r="C677" s="282"/>
      <c r="D677" s="282"/>
      <c r="E677" s="282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  <c r="AA677" s="282"/>
      <c r="AB677" s="282"/>
      <c r="AC677" s="282"/>
      <c r="AD677" s="282"/>
      <c r="AE677" s="282"/>
      <c r="AF677" s="282"/>
      <c r="AG677" s="282"/>
      <c r="AH677" s="281"/>
      <c r="AI677" s="282"/>
      <c r="AJ677" s="282"/>
      <c r="AK677" s="282"/>
      <c r="AL677" s="282"/>
      <c r="AM677" s="282"/>
      <c r="AN677" s="282"/>
      <c r="AO677" s="282"/>
      <c r="AP677" s="282"/>
      <c r="AQ677" s="282"/>
      <c r="AR677" s="282"/>
      <c r="AS677" s="282"/>
      <c r="AT677" s="282"/>
      <c r="AU677" s="282"/>
      <c r="AV677" s="282"/>
      <c r="AW677" s="282"/>
      <c r="AX677" s="282"/>
      <c r="AY677" s="282"/>
      <c r="AZ677" s="282"/>
      <c r="BA677" s="282"/>
    </row>
    <row r="678" spans="1:53">
      <c r="A678" s="282"/>
      <c r="B678" s="282"/>
      <c r="C678" s="282"/>
      <c r="D678" s="282"/>
      <c r="E678" s="282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  <c r="AA678" s="282"/>
      <c r="AB678" s="282"/>
      <c r="AC678" s="282"/>
      <c r="AD678" s="282"/>
      <c r="AE678" s="282"/>
      <c r="AF678" s="282"/>
      <c r="AG678" s="282"/>
      <c r="AH678" s="281"/>
      <c r="AI678" s="282"/>
      <c r="AJ678" s="282"/>
      <c r="AK678" s="282"/>
      <c r="AL678" s="282"/>
      <c r="AM678" s="282"/>
      <c r="AN678" s="282"/>
      <c r="AO678" s="282"/>
      <c r="AP678" s="282"/>
      <c r="AQ678" s="282"/>
      <c r="AR678" s="282"/>
      <c r="AS678" s="282"/>
      <c r="AT678" s="282"/>
      <c r="AU678" s="282"/>
      <c r="AV678" s="282"/>
      <c r="AW678" s="282"/>
      <c r="AX678" s="282"/>
      <c r="AY678" s="282"/>
      <c r="AZ678" s="282"/>
      <c r="BA678" s="282"/>
    </row>
    <row r="679" spans="1:53">
      <c r="A679" s="282"/>
      <c r="B679" s="282"/>
      <c r="C679" s="282"/>
      <c r="D679" s="282"/>
      <c r="E679" s="282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  <c r="AA679" s="282"/>
      <c r="AB679" s="282"/>
      <c r="AC679" s="282"/>
      <c r="AD679" s="282"/>
      <c r="AE679" s="282"/>
      <c r="AF679" s="282"/>
      <c r="AG679" s="282"/>
      <c r="AH679" s="281"/>
      <c r="AI679" s="282"/>
      <c r="AJ679" s="282"/>
      <c r="AK679" s="282"/>
      <c r="AL679" s="282"/>
      <c r="AM679" s="282"/>
      <c r="AN679" s="282"/>
      <c r="AO679" s="282"/>
      <c r="AP679" s="282"/>
      <c r="AQ679" s="282"/>
      <c r="AR679" s="282"/>
      <c r="AS679" s="282"/>
      <c r="AT679" s="282"/>
      <c r="AU679" s="282"/>
      <c r="AV679" s="282"/>
      <c r="AW679" s="282"/>
      <c r="AX679" s="282"/>
      <c r="AY679" s="282"/>
      <c r="AZ679" s="282"/>
      <c r="BA679" s="282"/>
    </row>
    <row r="680" spans="1:53">
      <c r="A680" s="282"/>
      <c r="B680" s="282"/>
      <c r="C680" s="282"/>
      <c r="D680" s="282"/>
      <c r="E680" s="282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  <c r="AA680" s="282"/>
      <c r="AB680" s="282"/>
      <c r="AC680" s="282"/>
      <c r="AD680" s="282"/>
      <c r="AE680" s="282"/>
      <c r="AF680" s="282"/>
      <c r="AG680" s="282"/>
      <c r="AH680" s="281"/>
      <c r="AI680" s="282"/>
      <c r="AJ680" s="282"/>
      <c r="AK680" s="282"/>
      <c r="AL680" s="282"/>
      <c r="AM680" s="282"/>
      <c r="AN680" s="282"/>
      <c r="AO680" s="282"/>
      <c r="AP680" s="282"/>
      <c r="AQ680" s="282"/>
      <c r="AR680" s="282"/>
      <c r="AS680" s="282"/>
      <c r="AT680" s="282"/>
      <c r="AU680" s="282"/>
      <c r="AV680" s="282"/>
      <c r="AW680" s="282"/>
      <c r="AX680" s="282"/>
      <c r="AY680" s="282"/>
      <c r="AZ680" s="282"/>
      <c r="BA680" s="282"/>
    </row>
    <row r="681" spans="1:53">
      <c r="A681" s="282"/>
      <c r="B681" s="282"/>
      <c r="C681" s="282"/>
      <c r="D681" s="282"/>
      <c r="E681" s="282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  <c r="AA681" s="282"/>
      <c r="AB681" s="282"/>
      <c r="AC681" s="282"/>
      <c r="AD681" s="282"/>
      <c r="AE681" s="282"/>
      <c r="AF681" s="282"/>
      <c r="AG681" s="282"/>
      <c r="AH681" s="281"/>
      <c r="AI681" s="282"/>
      <c r="AJ681" s="282"/>
      <c r="AK681" s="282"/>
      <c r="AL681" s="282"/>
      <c r="AM681" s="282"/>
      <c r="AN681" s="282"/>
      <c r="AO681" s="282"/>
      <c r="AP681" s="282"/>
      <c r="AQ681" s="282"/>
      <c r="AR681" s="282"/>
      <c r="AS681" s="282"/>
      <c r="AT681" s="282"/>
      <c r="AU681" s="282"/>
      <c r="AV681" s="282"/>
      <c r="AW681" s="282"/>
      <c r="AX681" s="282"/>
      <c r="AY681" s="282"/>
      <c r="AZ681" s="282"/>
      <c r="BA681" s="282"/>
    </row>
    <row r="682" spans="1:53">
      <c r="A682" s="282"/>
      <c r="B682" s="282"/>
      <c r="C682" s="282"/>
      <c r="D682" s="282"/>
      <c r="E682" s="282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  <c r="AA682" s="282"/>
      <c r="AB682" s="282"/>
      <c r="AC682" s="282"/>
      <c r="AD682" s="282"/>
      <c r="AE682" s="282"/>
      <c r="AF682" s="282"/>
      <c r="AG682" s="282"/>
      <c r="AH682" s="281"/>
      <c r="AI682" s="282"/>
      <c r="AJ682" s="282"/>
      <c r="AK682" s="282"/>
      <c r="AL682" s="282"/>
      <c r="AM682" s="282"/>
      <c r="AN682" s="282"/>
      <c r="AO682" s="282"/>
      <c r="AP682" s="282"/>
      <c r="AQ682" s="282"/>
      <c r="AR682" s="282"/>
      <c r="AS682" s="282"/>
      <c r="AT682" s="282"/>
      <c r="AU682" s="282"/>
      <c r="AV682" s="282"/>
      <c r="AW682" s="282"/>
      <c r="AX682" s="282"/>
      <c r="AY682" s="282"/>
      <c r="AZ682" s="282"/>
      <c r="BA682" s="282"/>
    </row>
    <row r="683" spans="1:53">
      <c r="A683" s="282"/>
      <c r="B683" s="282"/>
      <c r="C683" s="282"/>
      <c r="D683" s="282"/>
      <c r="E683" s="282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  <c r="AA683" s="282"/>
      <c r="AB683" s="282"/>
      <c r="AC683" s="282"/>
      <c r="AD683" s="282"/>
      <c r="AE683" s="282"/>
      <c r="AF683" s="282"/>
      <c r="AG683" s="282"/>
      <c r="AH683" s="281"/>
      <c r="AI683" s="282"/>
      <c r="AJ683" s="282"/>
      <c r="AK683" s="282"/>
      <c r="AL683" s="282"/>
      <c r="AM683" s="282"/>
      <c r="AN683" s="282"/>
      <c r="AO683" s="282"/>
      <c r="AP683" s="282"/>
      <c r="AQ683" s="282"/>
      <c r="AR683" s="282"/>
      <c r="AS683" s="282"/>
      <c r="AT683" s="282"/>
      <c r="AU683" s="282"/>
      <c r="AV683" s="282"/>
      <c r="AW683" s="282"/>
      <c r="AX683" s="282"/>
      <c r="AY683" s="282"/>
      <c r="AZ683" s="282"/>
      <c r="BA683" s="282"/>
    </row>
    <row r="684" spans="1:53">
      <c r="A684" s="282"/>
      <c r="B684" s="282"/>
      <c r="C684" s="282"/>
      <c r="D684" s="282"/>
      <c r="E684" s="282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  <c r="AA684" s="282"/>
      <c r="AB684" s="282"/>
      <c r="AC684" s="282"/>
      <c r="AD684" s="282"/>
      <c r="AE684" s="282"/>
      <c r="AF684" s="282"/>
      <c r="AG684" s="282"/>
      <c r="AH684" s="281"/>
      <c r="AI684" s="282"/>
      <c r="AJ684" s="282"/>
      <c r="AK684" s="282"/>
      <c r="AL684" s="282"/>
      <c r="AM684" s="282"/>
      <c r="AN684" s="282"/>
      <c r="AO684" s="282"/>
      <c r="AP684" s="282"/>
      <c r="AQ684" s="282"/>
      <c r="AR684" s="282"/>
      <c r="AS684" s="282"/>
      <c r="AT684" s="282"/>
      <c r="AU684" s="282"/>
      <c r="AV684" s="282"/>
      <c r="AW684" s="282"/>
      <c r="AX684" s="282"/>
      <c r="AY684" s="282"/>
      <c r="AZ684" s="282"/>
      <c r="BA684" s="282"/>
    </row>
    <row r="685" spans="1:53">
      <c r="A685" s="282"/>
      <c r="B685" s="282"/>
      <c r="C685" s="282"/>
      <c r="D685" s="282"/>
      <c r="E685" s="282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  <c r="AA685" s="282"/>
      <c r="AB685" s="282"/>
      <c r="AC685" s="282"/>
      <c r="AD685" s="282"/>
      <c r="AE685" s="282"/>
      <c r="AF685" s="282"/>
      <c r="AG685" s="282"/>
      <c r="AH685" s="281"/>
      <c r="AI685" s="282"/>
      <c r="AJ685" s="282"/>
      <c r="AK685" s="282"/>
      <c r="AL685" s="282"/>
      <c r="AM685" s="282"/>
      <c r="AN685" s="282"/>
      <c r="AO685" s="282"/>
      <c r="AP685" s="282"/>
      <c r="AQ685" s="282"/>
      <c r="AR685" s="282"/>
      <c r="AS685" s="282"/>
      <c r="AT685" s="282"/>
      <c r="AU685" s="282"/>
      <c r="AV685" s="282"/>
      <c r="AW685" s="282"/>
      <c r="AX685" s="282"/>
      <c r="AY685" s="282"/>
      <c r="AZ685" s="282"/>
      <c r="BA685" s="282"/>
    </row>
    <row r="686" spans="1:53">
      <c r="A686" s="282"/>
      <c r="B686" s="282"/>
      <c r="C686" s="282"/>
      <c r="D686" s="282"/>
      <c r="E686" s="282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  <c r="AA686" s="282"/>
      <c r="AB686" s="282"/>
      <c r="AC686" s="282"/>
      <c r="AD686" s="282"/>
      <c r="AE686" s="282"/>
      <c r="AF686" s="282"/>
      <c r="AG686" s="282"/>
      <c r="AH686" s="281"/>
      <c r="AI686" s="282"/>
      <c r="AJ686" s="282"/>
      <c r="AK686" s="282"/>
      <c r="AL686" s="282"/>
      <c r="AM686" s="282"/>
      <c r="AN686" s="282"/>
      <c r="AO686" s="282"/>
      <c r="AP686" s="282"/>
      <c r="AQ686" s="282"/>
      <c r="AR686" s="282"/>
      <c r="AS686" s="282"/>
      <c r="AT686" s="282"/>
      <c r="AU686" s="282"/>
      <c r="AV686" s="282"/>
      <c r="AW686" s="282"/>
      <c r="AX686" s="282"/>
      <c r="AY686" s="282"/>
      <c r="AZ686" s="282"/>
      <c r="BA686" s="282"/>
    </row>
    <row r="687" spans="1:53">
      <c r="A687" s="282"/>
      <c r="B687" s="282"/>
      <c r="C687" s="282"/>
      <c r="D687" s="282"/>
      <c r="E687" s="282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  <c r="AA687" s="282"/>
      <c r="AB687" s="282"/>
      <c r="AC687" s="282"/>
      <c r="AD687" s="282"/>
      <c r="AE687" s="282"/>
      <c r="AF687" s="282"/>
      <c r="AG687" s="282"/>
      <c r="AH687" s="281"/>
      <c r="AI687" s="282"/>
      <c r="AJ687" s="282"/>
      <c r="AK687" s="282"/>
      <c r="AL687" s="282"/>
      <c r="AM687" s="282"/>
      <c r="AN687" s="282"/>
      <c r="AO687" s="282"/>
      <c r="AP687" s="282"/>
      <c r="AQ687" s="282"/>
      <c r="AR687" s="282"/>
      <c r="AS687" s="282"/>
      <c r="AT687" s="282"/>
      <c r="AU687" s="282"/>
      <c r="AV687" s="282"/>
      <c r="AW687" s="282"/>
      <c r="AX687" s="282"/>
      <c r="AY687" s="282"/>
      <c r="AZ687" s="282"/>
      <c r="BA687" s="282"/>
    </row>
    <row r="688" spans="1:53">
      <c r="A688" s="282"/>
      <c r="B688" s="282"/>
      <c r="C688" s="282"/>
      <c r="D688" s="282"/>
      <c r="E688" s="282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  <c r="AA688" s="282"/>
      <c r="AB688" s="282"/>
      <c r="AC688" s="282"/>
      <c r="AD688" s="282"/>
      <c r="AE688" s="282"/>
      <c r="AF688" s="282"/>
      <c r="AG688" s="282"/>
      <c r="AH688" s="281"/>
      <c r="AI688" s="282"/>
      <c r="AJ688" s="282"/>
      <c r="AK688" s="282"/>
      <c r="AL688" s="282"/>
      <c r="AM688" s="282"/>
      <c r="AN688" s="282"/>
      <c r="AO688" s="282"/>
      <c r="AP688" s="282"/>
      <c r="AQ688" s="282"/>
      <c r="AR688" s="282"/>
      <c r="AS688" s="282"/>
      <c r="AT688" s="282"/>
      <c r="AU688" s="282"/>
      <c r="AV688" s="282"/>
      <c r="AW688" s="282"/>
      <c r="AX688" s="282"/>
      <c r="AY688" s="282"/>
      <c r="AZ688" s="282"/>
      <c r="BA688" s="282"/>
    </row>
    <row r="689" spans="1:53">
      <c r="A689" s="282"/>
      <c r="B689" s="282"/>
      <c r="C689" s="282"/>
      <c r="D689" s="282"/>
      <c r="E689" s="282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  <c r="AA689" s="282"/>
      <c r="AB689" s="282"/>
      <c r="AC689" s="282"/>
      <c r="AD689" s="282"/>
      <c r="AE689" s="282"/>
      <c r="AF689" s="282"/>
      <c r="AG689" s="282"/>
      <c r="AH689" s="281"/>
      <c r="AI689" s="282"/>
      <c r="AJ689" s="282"/>
      <c r="AK689" s="282"/>
      <c r="AL689" s="282"/>
      <c r="AM689" s="282"/>
      <c r="AN689" s="282"/>
      <c r="AO689" s="282"/>
      <c r="AP689" s="282"/>
      <c r="AQ689" s="282"/>
      <c r="AR689" s="282"/>
      <c r="AS689" s="282"/>
      <c r="AT689" s="282"/>
      <c r="AU689" s="282"/>
      <c r="AV689" s="282"/>
      <c r="AW689" s="282"/>
      <c r="AX689" s="282"/>
      <c r="AY689" s="282"/>
      <c r="AZ689" s="282"/>
      <c r="BA689" s="282"/>
    </row>
    <row r="690" spans="1:53">
      <c r="A690" s="282"/>
      <c r="B690" s="282"/>
      <c r="C690" s="282"/>
      <c r="D690" s="282"/>
      <c r="E690" s="282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  <c r="AA690" s="282"/>
      <c r="AB690" s="282"/>
      <c r="AC690" s="282"/>
      <c r="AD690" s="282"/>
      <c r="AE690" s="282"/>
      <c r="AF690" s="282"/>
      <c r="AG690" s="282"/>
      <c r="AH690" s="281"/>
      <c r="AI690" s="282"/>
      <c r="AJ690" s="282"/>
      <c r="AK690" s="282"/>
      <c r="AL690" s="282"/>
      <c r="AM690" s="282"/>
      <c r="AN690" s="282"/>
      <c r="AO690" s="282"/>
      <c r="AP690" s="282"/>
      <c r="AQ690" s="282"/>
      <c r="AR690" s="282"/>
      <c r="AS690" s="282"/>
      <c r="AT690" s="282"/>
      <c r="AU690" s="282"/>
      <c r="AV690" s="282"/>
      <c r="AW690" s="282"/>
      <c r="AX690" s="282"/>
      <c r="AY690" s="282"/>
      <c r="AZ690" s="282"/>
      <c r="BA690" s="282"/>
    </row>
    <row r="691" spans="1:53">
      <c r="A691" s="282"/>
      <c r="B691" s="282"/>
      <c r="C691" s="282"/>
      <c r="D691" s="282"/>
      <c r="E691" s="282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  <c r="AA691" s="282"/>
      <c r="AB691" s="282"/>
      <c r="AC691" s="282"/>
      <c r="AD691" s="282"/>
      <c r="AE691" s="282"/>
      <c r="AF691" s="282"/>
      <c r="AG691" s="282"/>
      <c r="AH691" s="281"/>
      <c r="AI691" s="282"/>
      <c r="AJ691" s="282"/>
      <c r="AK691" s="282"/>
      <c r="AL691" s="282"/>
      <c r="AM691" s="282"/>
      <c r="AN691" s="282"/>
      <c r="AO691" s="282"/>
      <c r="AP691" s="282"/>
      <c r="AQ691" s="282"/>
      <c r="AR691" s="282"/>
      <c r="AS691" s="282"/>
      <c r="AT691" s="282"/>
      <c r="AU691" s="282"/>
      <c r="AV691" s="282"/>
      <c r="AW691" s="282"/>
      <c r="AX691" s="282"/>
      <c r="AY691" s="282"/>
      <c r="AZ691" s="282"/>
      <c r="BA691" s="282"/>
    </row>
    <row r="692" spans="1:53">
      <c r="A692" s="282"/>
      <c r="B692" s="282"/>
      <c r="C692" s="282"/>
      <c r="D692" s="282"/>
      <c r="E692" s="282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  <c r="AA692" s="282"/>
      <c r="AB692" s="282"/>
      <c r="AC692" s="282"/>
      <c r="AD692" s="282"/>
      <c r="AE692" s="282"/>
      <c r="AF692" s="282"/>
      <c r="AG692" s="282"/>
      <c r="AH692" s="281"/>
      <c r="AI692" s="282"/>
      <c r="AJ692" s="282"/>
      <c r="AK692" s="282"/>
      <c r="AL692" s="282"/>
      <c r="AM692" s="282"/>
      <c r="AN692" s="282"/>
      <c r="AO692" s="282"/>
      <c r="AP692" s="282"/>
      <c r="AQ692" s="282"/>
      <c r="AR692" s="282"/>
      <c r="AS692" s="282"/>
      <c r="AT692" s="282"/>
      <c r="AU692" s="282"/>
      <c r="AV692" s="282"/>
      <c r="AW692" s="282"/>
      <c r="AX692" s="282"/>
      <c r="AY692" s="282"/>
      <c r="AZ692" s="282"/>
      <c r="BA692" s="282"/>
    </row>
    <row r="693" spans="1:53">
      <c r="A693" s="282"/>
      <c r="B693" s="282"/>
      <c r="C693" s="282"/>
      <c r="D693" s="282"/>
      <c r="E693" s="282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  <c r="AA693" s="282"/>
      <c r="AB693" s="282"/>
      <c r="AC693" s="282"/>
      <c r="AD693" s="282"/>
      <c r="AE693" s="282"/>
      <c r="AF693" s="282"/>
      <c r="AG693" s="282"/>
      <c r="AH693" s="281"/>
      <c r="AI693" s="282"/>
      <c r="AJ693" s="282"/>
      <c r="AK693" s="282"/>
      <c r="AL693" s="282"/>
      <c r="AM693" s="282"/>
      <c r="AN693" s="282"/>
      <c r="AO693" s="282"/>
      <c r="AP693" s="282"/>
      <c r="AQ693" s="282"/>
      <c r="AR693" s="282"/>
      <c r="AS693" s="282"/>
      <c r="AT693" s="282"/>
      <c r="AU693" s="282"/>
      <c r="AV693" s="282"/>
      <c r="AW693" s="282"/>
      <c r="AX693" s="282"/>
      <c r="AY693" s="282"/>
      <c r="AZ693" s="282"/>
      <c r="BA693" s="282"/>
    </row>
    <row r="694" spans="1:53">
      <c r="A694" s="282"/>
      <c r="B694" s="282"/>
      <c r="C694" s="282"/>
      <c r="D694" s="282"/>
      <c r="E694" s="282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  <c r="AA694" s="282"/>
      <c r="AB694" s="282"/>
      <c r="AC694" s="282"/>
      <c r="AD694" s="282"/>
      <c r="AE694" s="282"/>
      <c r="AF694" s="282"/>
      <c r="AG694" s="282"/>
      <c r="AH694" s="281"/>
      <c r="AI694" s="282"/>
      <c r="AJ694" s="282"/>
      <c r="AK694" s="282"/>
      <c r="AL694" s="282"/>
      <c r="AM694" s="282"/>
      <c r="AN694" s="282"/>
      <c r="AO694" s="282"/>
      <c r="AP694" s="282"/>
      <c r="AQ694" s="282"/>
      <c r="AR694" s="282"/>
      <c r="AS694" s="282"/>
      <c r="AT694" s="282"/>
      <c r="AU694" s="282"/>
      <c r="AV694" s="282"/>
      <c r="AW694" s="282"/>
      <c r="AX694" s="282"/>
      <c r="AY694" s="282"/>
      <c r="AZ694" s="282"/>
      <c r="BA694" s="282"/>
    </row>
    <row r="695" spans="1:53">
      <c r="A695" s="282"/>
      <c r="B695" s="282"/>
      <c r="C695" s="282"/>
      <c r="D695" s="282"/>
      <c r="E695" s="282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  <c r="AA695" s="282"/>
      <c r="AB695" s="282"/>
      <c r="AC695" s="282"/>
      <c r="AD695" s="282"/>
      <c r="AE695" s="282"/>
      <c r="AF695" s="282"/>
      <c r="AG695" s="282"/>
      <c r="AH695" s="281"/>
      <c r="AI695" s="282"/>
      <c r="AJ695" s="282"/>
      <c r="AK695" s="282"/>
      <c r="AL695" s="282"/>
      <c r="AM695" s="282"/>
      <c r="AN695" s="282"/>
      <c r="AO695" s="282"/>
      <c r="AP695" s="282"/>
      <c r="AQ695" s="282"/>
      <c r="AR695" s="282"/>
      <c r="AS695" s="282"/>
      <c r="AT695" s="282"/>
      <c r="AU695" s="282"/>
      <c r="AV695" s="282"/>
      <c r="AW695" s="282"/>
      <c r="AX695" s="282"/>
      <c r="AY695" s="282"/>
      <c r="AZ695" s="282"/>
      <c r="BA695" s="282"/>
    </row>
    <row r="696" spans="1:53">
      <c r="A696" s="282"/>
      <c r="B696" s="282"/>
      <c r="C696" s="282"/>
      <c r="D696" s="282"/>
      <c r="E696" s="282"/>
      <c r="F696" s="282"/>
      <c r="G696" s="282"/>
      <c r="H696" s="282"/>
      <c r="I696" s="282"/>
      <c r="J696" s="282"/>
      <c r="K696" s="282"/>
      <c r="L696" s="282"/>
      <c r="M696" s="282"/>
      <c r="N696" s="282"/>
      <c r="O696" s="282"/>
      <c r="P696" s="282"/>
      <c r="Q696" s="282"/>
      <c r="R696" s="282"/>
      <c r="S696" s="282"/>
      <c r="T696" s="282"/>
      <c r="U696" s="282"/>
      <c r="V696" s="282"/>
      <c r="W696" s="282"/>
      <c r="X696" s="282"/>
      <c r="Y696" s="282"/>
      <c r="Z696" s="282"/>
      <c r="AA696" s="282"/>
      <c r="AB696" s="282"/>
      <c r="AC696" s="282"/>
      <c r="AD696" s="282"/>
      <c r="AE696" s="282"/>
      <c r="AF696" s="282"/>
      <c r="AG696" s="282"/>
      <c r="AH696" s="281"/>
      <c r="AI696" s="282"/>
      <c r="AJ696" s="282"/>
      <c r="AK696" s="282"/>
      <c r="AL696" s="282"/>
      <c r="AM696" s="282"/>
      <c r="AN696" s="282"/>
      <c r="AO696" s="282"/>
      <c r="AP696" s="282"/>
      <c r="AQ696" s="282"/>
      <c r="AR696" s="282"/>
      <c r="AS696" s="282"/>
      <c r="AT696" s="282"/>
      <c r="AU696" s="282"/>
      <c r="AV696" s="282"/>
      <c r="AW696" s="282"/>
      <c r="AX696" s="282"/>
      <c r="AY696" s="282"/>
      <c r="AZ696" s="282"/>
      <c r="BA696" s="282"/>
    </row>
    <row r="697" spans="1:53">
      <c r="A697" s="282"/>
      <c r="B697" s="282"/>
      <c r="C697" s="282"/>
      <c r="D697" s="282"/>
      <c r="E697" s="282"/>
      <c r="F697" s="282"/>
      <c r="G697" s="282"/>
      <c r="H697" s="282"/>
      <c r="I697" s="282"/>
      <c r="J697" s="282"/>
      <c r="K697" s="282"/>
      <c r="L697" s="282"/>
      <c r="M697" s="282"/>
      <c r="N697" s="282"/>
      <c r="O697" s="282"/>
      <c r="P697" s="282"/>
      <c r="Q697" s="282"/>
      <c r="R697" s="282"/>
      <c r="S697" s="282"/>
      <c r="T697" s="282"/>
      <c r="U697" s="282"/>
      <c r="V697" s="282"/>
      <c r="W697" s="282"/>
      <c r="X697" s="282"/>
      <c r="Y697" s="282"/>
      <c r="Z697" s="282"/>
      <c r="AA697" s="282"/>
      <c r="AB697" s="282"/>
      <c r="AC697" s="282"/>
      <c r="AD697" s="282"/>
      <c r="AE697" s="282"/>
      <c r="AF697" s="282"/>
      <c r="AG697" s="282"/>
      <c r="AH697" s="281"/>
      <c r="AI697" s="282"/>
      <c r="AJ697" s="282"/>
      <c r="AK697" s="282"/>
      <c r="AL697" s="282"/>
      <c r="AM697" s="282"/>
      <c r="AN697" s="282"/>
      <c r="AO697" s="282"/>
      <c r="AP697" s="282"/>
      <c r="AQ697" s="282"/>
      <c r="AR697" s="282"/>
      <c r="AS697" s="282"/>
      <c r="AT697" s="282"/>
      <c r="AU697" s="282"/>
      <c r="AV697" s="282"/>
      <c r="AW697" s="282"/>
      <c r="AX697" s="282"/>
      <c r="AY697" s="282"/>
      <c r="AZ697" s="282"/>
      <c r="BA697" s="282"/>
    </row>
    <row r="698" spans="1:53">
      <c r="A698" s="282"/>
      <c r="B698" s="282"/>
      <c r="C698" s="282"/>
      <c r="D698" s="282"/>
      <c r="E698" s="282"/>
      <c r="F698" s="282"/>
      <c r="G698" s="282"/>
      <c r="H698" s="282"/>
      <c r="I698" s="282"/>
      <c r="J698" s="282"/>
      <c r="K698" s="282"/>
      <c r="L698" s="282"/>
      <c r="M698" s="282"/>
      <c r="N698" s="282"/>
      <c r="O698" s="282"/>
      <c r="P698" s="282"/>
      <c r="Q698" s="282"/>
      <c r="R698" s="282"/>
      <c r="S698" s="282"/>
      <c r="T698" s="282"/>
      <c r="U698" s="282"/>
      <c r="V698" s="282"/>
      <c r="W698" s="282"/>
      <c r="X698" s="282"/>
      <c r="Y698" s="282"/>
      <c r="Z698" s="282"/>
      <c r="AA698" s="282"/>
      <c r="AB698" s="282"/>
      <c r="AC698" s="282"/>
      <c r="AD698" s="282"/>
      <c r="AE698" s="282"/>
      <c r="AF698" s="282"/>
      <c r="AG698" s="282"/>
      <c r="AH698" s="281"/>
      <c r="AI698" s="282"/>
      <c r="AJ698" s="282"/>
      <c r="AK698" s="282"/>
      <c r="AL698" s="282"/>
      <c r="AM698" s="282"/>
      <c r="AN698" s="282"/>
      <c r="AO698" s="282"/>
      <c r="AP698" s="282"/>
      <c r="AQ698" s="282"/>
      <c r="AR698" s="282"/>
      <c r="AS698" s="282"/>
      <c r="AT698" s="282"/>
      <c r="AU698" s="282"/>
      <c r="AV698" s="282"/>
      <c r="AW698" s="282"/>
      <c r="AX698" s="282"/>
      <c r="AY698" s="282"/>
      <c r="AZ698" s="282"/>
      <c r="BA698" s="282"/>
    </row>
    <row r="699" spans="1:53">
      <c r="A699" s="282"/>
      <c r="B699" s="282"/>
      <c r="C699" s="282"/>
      <c r="D699" s="282"/>
      <c r="E699" s="282"/>
      <c r="F699" s="282"/>
      <c r="G699" s="282"/>
      <c r="H699" s="282"/>
      <c r="I699" s="282"/>
      <c r="J699" s="282"/>
      <c r="K699" s="282"/>
      <c r="L699" s="282"/>
      <c r="M699" s="282"/>
      <c r="N699" s="282"/>
      <c r="O699" s="282"/>
      <c r="P699" s="282"/>
      <c r="Q699" s="282"/>
      <c r="R699" s="282"/>
      <c r="S699" s="282"/>
      <c r="T699" s="282"/>
      <c r="U699" s="282"/>
      <c r="V699" s="282"/>
      <c r="W699" s="282"/>
      <c r="X699" s="282"/>
      <c r="Y699" s="282"/>
      <c r="Z699" s="282"/>
      <c r="AA699" s="282"/>
      <c r="AB699" s="282"/>
      <c r="AC699" s="282"/>
      <c r="AD699" s="282"/>
      <c r="AE699" s="282"/>
      <c r="AF699" s="282"/>
      <c r="AG699" s="282"/>
      <c r="AH699" s="281"/>
      <c r="AI699" s="282"/>
      <c r="AJ699" s="282"/>
      <c r="AK699" s="282"/>
      <c r="AL699" s="282"/>
      <c r="AM699" s="282"/>
      <c r="AN699" s="282"/>
      <c r="AO699" s="282"/>
      <c r="AP699" s="282"/>
      <c r="AQ699" s="282"/>
      <c r="AR699" s="282"/>
      <c r="AS699" s="282"/>
      <c r="AT699" s="282"/>
      <c r="AU699" s="282"/>
      <c r="AV699" s="282"/>
      <c r="AW699" s="282"/>
      <c r="AX699" s="282"/>
      <c r="AY699" s="282"/>
      <c r="AZ699" s="282"/>
      <c r="BA699" s="282"/>
    </row>
    <row r="700" spans="1:53">
      <c r="A700" s="282"/>
      <c r="B700" s="282"/>
      <c r="C700" s="282"/>
      <c r="D700" s="282"/>
      <c r="E700" s="282"/>
      <c r="F700" s="282"/>
      <c r="G700" s="282"/>
      <c r="H700" s="282"/>
      <c r="I700" s="282"/>
      <c r="J700" s="282"/>
      <c r="K700" s="282"/>
      <c r="L700" s="282"/>
      <c r="M700" s="282"/>
      <c r="N700" s="282"/>
      <c r="O700" s="282"/>
      <c r="P700" s="282"/>
      <c r="Q700" s="282"/>
      <c r="R700" s="282"/>
      <c r="S700" s="282"/>
      <c r="T700" s="282"/>
      <c r="U700" s="282"/>
      <c r="V700" s="282"/>
      <c r="W700" s="282"/>
      <c r="X700" s="282"/>
      <c r="Y700" s="282"/>
      <c r="Z700" s="282"/>
      <c r="AA700" s="282"/>
      <c r="AB700" s="282"/>
      <c r="AC700" s="282"/>
      <c r="AD700" s="282"/>
      <c r="AE700" s="282"/>
      <c r="AF700" s="282"/>
      <c r="AG700" s="282"/>
      <c r="AH700" s="281"/>
      <c r="AI700" s="282"/>
      <c r="AJ700" s="282"/>
      <c r="AK700" s="282"/>
      <c r="AL700" s="282"/>
      <c r="AM700" s="282"/>
      <c r="AN700" s="282"/>
      <c r="AO700" s="282"/>
      <c r="AP700" s="282"/>
      <c r="AQ700" s="282"/>
      <c r="AR700" s="282"/>
      <c r="AS700" s="282"/>
      <c r="AT700" s="282"/>
      <c r="AU700" s="282"/>
      <c r="AV700" s="282"/>
      <c r="AW700" s="282"/>
      <c r="AX700" s="282"/>
      <c r="AY700" s="282"/>
      <c r="AZ700" s="282"/>
      <c r="BA700" s="282"/>
    </row>
    <row r="701" spans="1:53">
      <c r="A701" s="282"/>
      <c r="B701" s="282"/>
      <c r="C701" s="282"/>
      <c r="D701" s="282"/>
      <c r="E701" s="282"/>
      <c r="F701" s="282"/>
      <c r="G701" s="282"/>
      <c r="H701" s="282"/>
      <c r="I701" s="282"/>
      <c r="J701" s="282"/>
      <c r="K701" s="282"/>
      <c r="L701" s="282"/>
      <c r="M701" s="282"/>
      <c r="N701" s="282"/>
      <c r="O701" s="282"/>
      <c r="P701" s="282"/>
      <c r="Q701" s="282"/>
      <c r="R701" s="282"/>
      <c r="S701" s="282"/>
      <c r="T701" s="282"/>
      <c r="U701" s="282"/>
      <c r="V701" s="282"/>
      <c r="W701" s="282"/>
      <c r="X701" s="282"/>
      <c r="Y701" s="282"/>
      <c r="Z701" s="282"/>
      <c r="AA701" s="282"/>
      <c r="AB701" s="282"/>
      <c r="AC701" s="282"/>
      <c r="AD701" s="282"/>
      <c r="AE701" s="282"/>
      <c r="AF701" s="282"/>
      <c r="AG701" s="282"/>
      <c r="AH701" s="281"/>
      <c r="AI701" s="282"/>
      <c r="AJ701" s="282"/>
      <c r="AK701" s="282"/>
      <c r="AL701" s="282"/>
      <c r="AM701" s="282"/>
      <c r="AN701" s="282"/>
      <c r="AO701" s="282"/>
      <c r="AP701" s="282"/>
      <c r="AQ701" s="282"/>
      <c r="AR701" s="282"/>
      <c r="AS701" s="282"/>
      <c r="AT701" s="282"/>
      <c r="AU701" s="282"/>
      <c r="AV701" s="282"/>
      <c r="AW701" s="282"/>
      <c r="AX701" s="282"/>
      <c r="AY701" s="282"/>
      <c r="AZ701" s="282"/>
      <c r="BA701" s="282"/>
    </row>
    <row r="702" spans="1:53">
      <c r="A702" s="282"/>
      <c r="B702" s="282"/>
      <c r="C702" s="282"/>
      <c r="D702" s="282"/>
      <c r="E702" s="282"/>
      <c r="F702" s="282"/>
      <c r="G702" s="282"/>
      <c r="H702" s="282"/>
      <c r="I702" s="282"/>
      <c r="J702" s="282"/>
      <c r="K702" s="282"/>
      <c r="L702" s="282"/>
      <c r="M702" s="282"/>
      <c r="N702" s="282"/>
      <c r="O702" s="282"/>
      <c r="P702" s="282"/>
      <c r="Q702" s="282"/>
      <c r="R702" s="282"/>
      <c r="S702" s="282"/>
      <c r="T702" s="282"/>
      <c r="U702" s="282"/>
      <c r="V702" s="282"/>
      <c r="W702" s="282"/>
      <c r="X702" s="282"/>
      <c r="Y702" s="282"/>
      <c r="Z702" s="282"/>
      <c r="AA702" s="282"/>
      <c r="AB702" s="282"/>
      <c r="AC702" s="282"/>
      <c r="AD702" s="282"/>
      <c r="AE702" s="282"/>
      <c r="AF702" s="282"/>
      <c r="AG702" s="282"/>
      <c r="AH702" s="281"/>
      <c r="AI702" s="282"/>
      <c r="AJ702" s="282"/>
      <c r="AK702" s="282"/>
      <c r="AL702" s="282"/>
      <c r="AM702" s="282"/>
      <c r="AN702" s="282"/>
      <c r="AO702" s="282"/>
      <c r="AP702" s="282"/>
      <c r="AQ702" s="282"/>
      <c r="AR702" s="282"/>
      <c r="AS702" s="282"/>
      <c r="AT702" s="282"/>
      <c r="AU702" s="282"/>
      <c r="AV702" s="282"/>
      <c r="AW702" s="282"/>
      <c r="AX702" s="282"/>
      <c r="AY702" s="282"/>
      <c r="AZ702" s="282"/>
      <c r="BA702" s="282"/>
    </row>
    <row r="703" spans="1:53">
      <c r="A703" s="282"/>
      <c r="B703" s="282"/>
      <c r="C703" s="282"/>
      <c r="D703" s="282"/>
      <c r="E703" s="282"/>
      <c r="F703" s="282"/>
      <c r="G703" s="282"/>
      <c r="H703" s="282"/>
      <c r="I703" s="282"/>
      <c r="J703" s="282"/>
      <c r="K703" s="282"/>
      <c r="L703" s="282"/>
      <c r="M703" s="282"/>
      <c r="N703" s="282"/>
      <c r="O703" s="282"/>
      <c r="P703" s="282"/>
      <c r="Q703" s="282"/>
      <c r="R703" s="282"/>
      <c r="S703" s="282"/>
      <c r="T703" s="282"/>
      <c r="U703" s="282"/>
      <c r="V703" s="282"/>
      <c r="W703" s="282"/>
      <c r="X703" s="282"/>
      <c r="Y703" s="282"/>
      <c r="Z703" s="282"/>
      <c r="AA703" s="282"/>
      <c r="AB703" s="282"/>
      <c r="AC703" s="282"/>
      <c r="AD703" s="282"/>
      <c r="AE703" s="282"/>
      <c r="AF703" s="282"/>
      <c r="AG703" s="282"/>
      <c r="AH703" s="281"/>
      <c r="AI703" s="282"/>
      <c r="AJ703" s="282"/>
      <c r="AK703" s="282"/>
      <c r="AL703" s="282"/>
      <c r="AM703" s="282"/>
      <c r="AN703" s="282"/>
      <c r="AO703" s="282"/>
      <c r="AP703" s="282"/>
      <c r="AQ703" s="282"/>
      <c r="AR703" s="282"/>
      <c r="AS703" s="282"/>
      <c r="AT703" s="282"/>
      <c r="AU703" s="282"/>
      <c r="AV703" s="282"/>
      <c r="AW703" s="282"/>
      <c r="AX703" s="282"/>
      <c r="AY703" s="282"/>
      <c r="AZ703" s="282"/>
      <c r="BA703" s="282"/>
    </row>
    <row r="704" spans="1:53">
      <c r="A704" s="282"/>
      <c r="B704" s="282"/>
      <c r="C704" s="282"/>
      <c r="D704" s="282"/>
      <c r="E704" s="282"/>
      <c r="F704" s="282"/>
      <c r="G704" s="282"/>
      <c r="H704" s="282"/>
      <c r="I704" s="282"/>
      <c r="J704" s="282"/>
      <c r="K704" s="282"/>
      <c r="L704" s="282"/>
      <c r="M704" s="282"/>
      <c r="N704" s="282"/>
      <c r="O704" s="282"/>
      <c r="P704" s="282"/>
      <c r="Q704" s="282"/>
      <c r="R704" s="282"/>
      <c r="S704" s="282"/>
      <c r="T704" s="282"/>
      <c r="U704" s="282"/>
      <c r="V704" s="282"/>
      <c r="W704" s="282"/>
      <c r="X704" s="282"/>
      <c r="Y704" s="282"/>
      <c r="Z704" s="282"/>
      <c r="AA704" s="282"/>
      <c r="AB704" s="282"/>
      <c r="AC704" s="282"/>
      <c r="AD704" s="282"/>
      <c r="AE704" s="282"/>
      <c r="AF704" s="282"/>
      <c r="AG704" s="282"/>
      <c r="AH704" s="281"/>
      <c r="AI704" s="282"/>
      <c r="AJ704" s="282"/>
      <c r="AK704" s="282"/>
      <c r="AL704" s="282"/>
      <c r="AM704" s="282"/>
      <c r="AN704" s="282"/>
      <c r="AO704" s="282"/>
      <c r="AP704" s="282"/>
      <c r="AQ704" s="282"/>
      <c r="AR704" s="282"/>
      <c r="AS704" s="282"/>
      <c r="AT704" s="282"/>
      <c r="AU704" s="282"/>
      <c r="AV704" s="282"/>
      <c r="AW704" s="282"/>
      <c r="AX704" s="282"/>
      <c r="AY704" s="282"/>
      <c r="AZ704" s="282"/>
      <c r="BA704" s="282"/>
    </row>
    <row r="705" spans="1:53">
      <c r="A705" s="282"/>
      <c r="B705" s="282"/>
      <c r="C705" s="282"/>
      <c r="D705" s="282"/>
      <c r="E705" s="282"/>
      <c r="F705" s="282"/>
      <c r="G705" s="282"/>
      <c r="H705" s="282"/>
      <c r="I705" s="282"/>
      <c r="J705" s="282"/>
      <c r="K705" s="282"/>
      <c r="L705" s="282"/>
      <c r="M705" s="282"/>
      <c r="N705" s="282"/>
      <c r="O705" s="282"/>
      <c r="P705" s="282"/>
      <c r="Q705" s="282"/>
      <c r="R705" s="282"/>
      <c r="S705" s="282"/>
      <c r="T705" s="282"/>
      <c r="U705" s="282"/>
      <c r="V705" s="282"/>
      <c r="W705" s="282"/>
      <c r="X705" s="282"/>
      <c r="Y705" s="282"/>
      <c r="Z705" s="282"/>
      <c r="AA705" s="282"/>
      <c r="AB705" s="282"/>
      <c r="AC705" s="282"/>
      <c r="AD705" s="282"/>
      <c r="AE705" s="282"/>
      <c r="AF705" s="282"/>
      <c r="AG705" s="282"/>
      <c r="AH705" s="281"/>
      <c r="AI705" s="282"/>
      <c r="AJ705" s="282"/>
      <c r="AK705" s="282"/>
      <c r="AL705" s="282"/>
      <c r="AM705" s="282"/>
      <c r="AN705" s="282"/>
      <c r="AO705" s="282"/>
      <c r="AP705" s="282"/>
      <c r="AQ705" s="282"/>
      <c r="AR705" s="282"/>
      <c r="AS705" s="282"/>
      <c r="AT705" s="282"/>
      <c r="AU705" s="282"/>
      <c r="AV705" s="282"/>
      <c r="AW705" s="282"/>
      <c r="AX705" s="282"/>
      <c r="AY705" s="282"/>
      <c r="AZ705" s="282"/>
      <c r="BA705" s="282"/>
    </row>
    <row r="706" spans="1:53">
      <c r="A706" s="282"/>
      <c r="B706" s="282"/>
      <c r="C706" s="282"/>
      <c r="D706" s="282"/>
      <c r="E706" s="282"/>
      <c r="F706" s="282"/>
      <c r="G706" s="282"/>
      <c r="H706" s="282"/>
      <c r="I706" s="282"/>
      <c r="J706" s="282"/>
      <c r="K706" s="282"/>
      <c r="L706" s="282"/>
      <c r="M706" s="282"/>
      <c r="N706" s="282"/>
      <c r="O706" s="282"/>
      <c r="P706" s="282"/>
      <c r="Q706" s="282"/>
      <c r="R706" s="282"/>
      <c r="S706" s="282"/>
      <c r="T706" s="282"/>
      <c r="U706" s="282"/>
      <c r="V706" s="282"/>
      <c r="W706" s="282"/>
      <c r="X706" s="282"/>
      <c r="Y706" s="282"/>
      <c r="Z706" s="282"/>
      <c r="AA706" s="282"/>
      <c r="AB706" s="282"/>
      <c r="AC706" s="282"/>
      <c r="AD706" s="282"/>
      <c r="AE706" s="282"/>
      <c r="AF706" s="282"/>
      <c r="AG706" s="282"/>
      <c r="AH706" s="281"/>
      <c r="AI706" s="282"/>
      <c r="AJ706" s="282"/>
      <c r="AK706" s="282"/>
      <c r="AL706" s="282"/>
      <c r="AM706" s="282"/>
      <c r="AN706" s="282"/>
      <c r="AO706" s="282"/>
      <c r="AP706" s="282"/>
      <c r="AQ706" s="282"/>
      <c r="AR706" s="282"/>
      <c r="AS706" s="282"/>
      <c r="AT706" s="282"/>
      <c r="AU706" s="282"/>
      <c r="AV706" s="282"/>
      <c r="AW706" s="282"/>
      <c r="AX706" s="282"/>
      <c r="AY706" s="282"/>
      <c r="AZ706" s="282"/>
      <c r="BA706" s="282"/>
    </row>
    <row r="707" spans="1:53">
      <c r="A707" s="282"/>
      <c r="B707" s="282"/>
      <c r="C707" s="282"/>
      <c r="D707" s="282"/>
      <c r="E707" s="282"/>
      <c r="F707" s="282"/>
      <c r="G707" s="282"/>
      <c r="H707" s="282"/>
      <c r="I707" s="282"/>
      <c r="J707" s="282"/>
      <c r="K707" s="282"/>
      <c r="L707" s="282"/>
      <c r="M707" s="282"/>
      <c r="N707" s="282"/>
      <c r="O707" s="282"/>
      <c r="P707" s="282"/>
      <c r="Q707" s="282"/>
      <c r="R707" s="282"/>
      <c r="S707" s="282"/>
      <c r="T707" s="282"/>
      <c r="U707" s="282"/>
      <c r="V707" s="282"/>
      <c r="W707" s="282"/>
      <c r="X707" s="282"/>
      <c r="Y707" s="282"/>
      <c r="Z707" s="282"/>
      <c r="AA707" s="282"/>
      <c r="AB707" s="282"/>
      <c r="AC707" s="282"/>
      <c r="AD707" s="282"/>
      <c r="AE707" s="282"/>
      <c r="AF707" s="282"/>
      <c r="AG707" s="282"/>
      <c r="AH707" s="281"/>
      <c r="AI707" s="282"/>
      <c r="AJ707" s="282"/>
      <c r="AK707" s="282"/>
      <c r="AL707" s="282"/>
      <c r="AM707" s="282"/>
      <c r="AN707" s="282"/>
      <c r="AO707" s="282"/>
      <c r="AP707" s="282"/>
      <c r="AQ707" s="282"/>
      <c r="AR707" s="282"/>
      <c r="AS707" s="282"/>
      <c r="AT707" s="282"/>
      <c r="AU707" s="282"/>
      <c r="AV707" s="282"/>
      <c r="AW707" s="282"/>
      <c r="AX707" s="282"/>
      <c r="AY707" s="282"/>
      <c r="AZ707" s="282"/>
      <c r="BA707" s="282"/>
    </row>
    <row r="708" spans="1:53">
      <c r="A708" s="282"/>
      <c r="B708" s="282"/>
      <c r="C708" s="282"/>
      <c r="D708" s="282"/>
      <c r="E708" s="282"/>
      <c r="F708" s="282"/>
      <c r="G708" s="282"/>
      <c r="H708" s="282"/>
      <c r="I708" s="282"/>
      <c r="J708" s="282"/>
      <c r="K708" s="282"/>
      <c r="L708" s="282"/>
      <c r="M708" s="282"/>
      <c r="N708" s="282"/>
      <c r="O708" s="282"/>
      <c r="P708" s="282"/>
      <c r="Q708" s="282"/>
      <c r="R708" s="282"/>
      <c r="S708" s="282"/>
      <c r="T708" s="282"/>
      <c r="U708" s="282"/>
      <c r="V708" s="282"/>
      <c r="W708" s="282"/>
      <c r="X708" s="282"/>
      <c r="Y708" s="282"/>
      <c r="Z708" s="282"/>
      <c r="AA708" s="282"/>
      <c r="AB708" s="282"/>
      <c r="AC708" s="282"/>
      <c r="AD708" s="282"/>
      <c r="AE708" s="282"/>
      <c r="AF708" s="282"/>
      <c r="AG708" s="282"/>
      <c r="AH708" s="281"/>
      <c r="AI708" s="282"/>
      <c r="AJ708" s="282"/>
      <c r="AK708" s="282"/>
      <c r="AL708" s="282"/>
      <c r="AM708" s="282"/>
      <c r="AN708" s="282"/>
      <c r="AO708" s="282"/>
      <c r="AP708" s="282"/>
      <c r="AQ708" s="282"/>
      <c r="AR708" s="282"/>
      <c r="AS708" s="282"/>
      <c r="AT708" s="282"/>
      <c r="AU708" s="282"/>
      <c r="AV708" s="282"/>
      <c r="AW708" s="282"/>
      <c r="AX708" s="282"/>
      <c r="AY708" s="282"/>
      <c r="AZ708" s="282"/>
      <c r="BA708" s="282"/>
    </row>
    <row r="709" spans="1:53">
      <c r="A709" s="282"/>
      <c r="B709" s="282"/>
      <c r="C709" s="282"/>
      <c r="D709" s="282"/>
      <c r="E709" s="282"/>
      <c r="F709" s="282"/>
      <c r="G709" s="282"/>
      <c r="H709" s="282"/>
      <c r="I709" s="282"/>
      <c r="J709" s="282"/>
      <c r="K709" s="282"/>
      <c r="L709" s="282"/>
      <c r="M709" s="282"/>
      <c r="N709" s="282"/>
      <c r="O709" s="282"/>
      <c r="P709" s="282"/>
      <c r="Q709" s="282"/>
      <c r="R709" s="282"/>
      <c r="S709" s="282"/>
      <c r="T709" s="282"/>
      <c r="U709" s="282"/>
      <c r="V709" s="282"/>
      <c r="W709" s="282"/>
      <c r="X709" s="282"/>
      <c r="Y709" s="282"/>
      <c r="Z709" s="282"/>
      <c r="AA709" s="282"/>
      <c r="AB709" s="282"/>
      <c r="AC709" s="282"/>
      <c r="AD709" s="282"/>
      <c r="AE709" s="282"/>
      <c r="AF709" s="282"/>
      <c r="AG709" s="282"/>
      <c r="AH709" s="281"/>
      <c r="AI709" s="282"/>
      <c r="AJ709" s="282"/>
      <c r="AK709" s="282"/>
      <c r="AL709" s="282"/>
      <c r="AM709" s="282"/>
      <c r="AN709" s="282"/>
      <c r="AO709" s="282"/>
      <c r="AP709" s="282"/>
      <c r="AQ709" s="282"/>
      <c r="AR709" s="282"/>
      <c r="AS709" s="282"/>
      <c r="AT709" s="282"/>
      <c r="AU709" s="282"/>
      <c r="AV709" s="282"/>
      <c r="AW709" s="282"/>
      <c r="AX709" s="282"/>
      <c r="AY709" s="282"/>
      <c r="AZ709" s="282"/>
      <c r="BA709" s="282"/>
    </row>
    <row r="710" spans="1:53">
      <c r="A710" s="282"/>
      <c r="B710" s="282"/>
      <c r="C710" s="282"/>
      <c r="D710" s="282"/>
      <c r="E710" s="282"/>
      <c r="F710" s="282"/>
      <c r="G710" s="282"/>
      <c r="H710" s="282"/>
      <c r="I710" s="282"/>
      <c r="J710" s="282"/>
      <c r="K710" s="282"/>
      <c r="L710" s="282"/>
      <c r="M710" s="282"/>
      <c r="N710" s="282"/>
      <c r="O710" s="282"/>
      <c r="P710" s="282"/>
      <c r="Q710" s="282"/>
      <c r="R710" s="282"/>
      <c r="S710" s="282"/>
      <c r="T710" s="282"/>
      <c r="U710" s="282"/>
      <c r="V710" s="282"/>
      <c r="W710" s="282"/>
      <c r="X710" s="282"/>
      <c r="Y710" s="282"/>
      <c r="Z710" s="282"/>
      <c r="AA710" s="282"/>
      <c r="AB710" s="282"/>
      <c r="AC710" s="282"/>
      <c r="AD710" s="282"/>
      <c r="AE710" s="282"/>
      <c r="AF710" s="282"/>
      <c r="AG710" s="282"/>
      <c r="AH710" s="281"/>
      <c r="AI710" s="282"/>
      <c r="AJ710" s="282"/>
      <c r="AK710" s="282"/>
      <c r="AL710" s="282"/>
      <c r="AM710" s="282"/>
      <c r="AN710" s="282"/>
      <c r="AO710" s="282"/>
      <c r="AP710" s="282"/>
      <c r="AQ710" s="282"/>
      <c r="AR710" s="282"/>
      <c r="AS710" s="282"/>
      <c r="AT710" s="282"/>
      <c r="AU710" s="282"/>
      <c r="AV710" s="282"/>
      <c r="AW710" s="282"/>
      <c r="AX710" s="282"/>
      <c r="AY710" s="282"/>
      <c r="AZ710" s="282"/>
      <c r="BA710" s="282"/>
    </row>
    <row r="711" spans="1:53">
      <c r="A711" s="282"/>
      <c r="B711" s="282"/>
      <c r="C711" s="282"/>
      <c r="D711" s="282"/>
      <c r="E711" s="282"/>
      <c r="F711" s="282"/>
      <c r="G711" s="282"/>
      <c r="H711" s="282"/>
      <c r="I711" s="282"/>
      <c r="J711" s="282"/>
      <c r="K711" s="282"/>
      <c r="L711" s="282"/>
      <c r="M711" s="282"/>
      <c r="N711" s="282"/>
      <c r="O711" s="282"/>
      <c r="P711" s="282"/>
      <c r="Q711" s="282"/>
      <c r="R711" s="282"/>
      <c r="S711" s="282"/>
      <c r="T711" s="282"/>
      <c r="U711" s="282"/>
      <c r="V711" s="282"/>
      <c r="W711" s="282"/>
      <c r="X711" s="282"/>
      <c r="Y711" s="282"/>
      <c r="Z711" s="282"/>
      <c r="AA711" s="282"/>
      <c r="AB711" s="282"/>
      <c r="AC711" s="282"/>
      <c r="AD711" s="282"/>
      <c r="AE711" s="282"/>
      <c r="AF711" s="282"/>
      <c r="AG711" s="282"/>
      <c r="AH711" s="281"/>
      <c r="AI711" s="282"/>
      <c r="AJ711" s="282"/>
      <c r="AK711" s="282"/>
      <c r="AL711" s="282"/>
      <c r="AM711" s="282"/>
      <c r="AN711" s="282"/>
      <c r="AO711" s="282"/>
      <c r="AP711" s="282"/>
      <c r="AQ711" s="282"/>
      <c r="AR711" s="282"/>
      <c r="AS711" s="282"/>
      <c r="AT711" s="282"/>
      <c r="AU711" s="282"/>
      <c r="AV711" s="282"/>
      <c r="AW711" s="282"/>
      <c r="AX711" s="282"/>
      <c r="AY711" s="282"/>
      <c r="AZ711" s="282"/>
      <c r="BA711" s="282"/>
    </row>
    <row r="712" spans="1:53">
      <c r="A712" s="282"/>
      <c r="B712" s="282"/>
      <c r="C712" s="282"/>
      <c r="D712" s="282"/>
      <c r="E712" s="282"/>
      <c r="F712" s="282"/>
      <c r="G712" s="282"/>
      <c r="H712" s="282"/>
      <c r="I712" s="282"/>
      <c r="J712" s="282"/>
      <c r="K712" s="282"/>
      <c r="L712" s="282"/>
      <c r="M712" s="282"/>
      <c r="N712" s="282"/>
      <c r="O712" s="282"/>
      <c r="P712" s="282"/>
      <c r="Q712" s="282"/>
      <c r="R712" s="282"/>
      <c r="S712" s="282"/>
      <c r="T712" s="282"/>
      <c r="U712" s="282"/>
      <c r="V712" s="282"/>
      <c r="W712" s="282"/>
      <c r="X712" s="282"/>
      <c r="Y712" s="282"/>
      <c r="Z712" s="282"/>
      <c r="AA712" s="282"/>
      <c r="AB712" s="282"/>
      <c r="AC712" s="282"/>
      <c r="AD712" s="282"/>
      <c r="AE712" s="282"/>
      <c r="AF712" s="282"/>
      <c r="AG712" s="282"/>
      <c r="AH712" s="281"/>
      <c r="AI712" s="282"/>
      <c r="AJ712" s="282"/>
      <c r="AK712" s="282"/>
      <c r="AL712" s="282"/>
      <c r="AM712" s="282"/>
      <c r="AN712" s="282"/>
      <c r="AO712" s="282"/>
      <c r="AP712" s="282"/>
      <c r="AQ712" s="282"/>
      <c r="AR712" s="282"/>
      <c r="AS712" s="282"/>
      <c r="AT712" s="282"/>
      <c r="AU712" s="282"/>
      <c r="AV712" s="282"/>
      <c r="AW712" s="282"/>
      <c r="AX712" s="282"/>
      <c r="AY712" s="282"/>
      <c r="AZ712" s="282"/>
      <c r="BA712" s="282"/>
    </row>
    <row r="713" spans="1:53">
      <c r="A713" s="282"/>
      <c r="B713" s="282"/>
      <c r="C713" s="282"/>
      <c r="D713" s="282"/>
      <c r="E713" s="282"/>
      <c r="F713" s="282"/>
      <c r="G713" s="282"/>
      <c r="H713" s="282"/>
      <c r="I713" s="282"/>
      <c r="J713" s="282"/>
      <c r="K713" s="282"/>
      <c r="L713" s="282"/>
      <c r="M713" s="282"/>
      <c r="N713" s="282"/>
      <c r="O713" s="282"/>
      <c r="P713" s="282"/>
      <c r="Q713" s="282"/>
      <c r="R713" s="282"/>
      <c r="S713" s="282"/>
      <c r="T713" s="282"/>
      <c r="U713" s="282"/>
      <c r="V713" s="282"/>
      <c r="W713" s="282"/>
      <c r="X713" s="282"/>
      <c r="Y713" s="282"/>
      <c r="Z713" s="282"/>
      <c r="AA713" s="282"/>
      <c r="AB713" s="282"/>
      <c r="AC713" s="282"/>
      <c r="AD713" s="282"/>
      <c r="AE713" s="282"/>
      <c r="AF713" s="282"/>
      <c r="AG713" s="282"/>
      <c r="AH713" s="281"/>
      <c r="AI713" s="282"/>
      <c r="AJ713" s="282"/>
      <c r="AK713" s="282"/>
      <c r="AL713" s="282"/>
      <c r="AM713" s="282"/>
      <c r="AN713" s="282"/>
      <c r="AO713" s="282"/>
      <c r="AP713" s="282"/>
      <c r="AQ713" s="282"/>
      <c r="AR713" s="282"/>
      <c r="AS713" s="282"/>
      <c r="AT713" s="282"/>
      <c r="AU713" s="282"/>
      <c r="AV713" s="282"/>
      <c r="AW713" s="282"/>
      <c r="AX713" s="282"/>
      <c r="AY713" s="282"/>
      <c r="AZ713" s="282"/>
      <c r="BA713" s="282"/>
    </row>
    <row r="714" spans="1:53">
      <c r="A714" s="282"/>
      <c r="B714" s="282"/>
      <c r="C714" s="282"/>
      <c r="D714" s="282"/>
      <c r="E714" s="282"/>
      <c r="F714" s="282"/>
      <c r="G714" s="282"/>
      <c r="H714" s="282"/>
      <c r="I714" s="282"/>
      <c r="J714" s="282"/>
      <c r="K714" s="282"/>
      <c r="L714" s="282"/>
      <c r="M714" s="282"/>
      <c r="N714" s="282"/>
      <c r="O714" s="282"/>
      <c r="P714" s="282"/>
      <c r="Q714" s="282"/>
      <c r="R714" s="282"/>
      <c r="S714" s="282"/>
      <c r="T714" s="282"/>
      <c r="U714" s="282"/>
      <c r="V714" s="282"/>
      <c r="W714" s="282"/>
      <c r="X714" s="282"/>
      <c r="Y714" s="282"/>
      <c r="Z714" s="282"/>
      <c r="AA714" s="282"/>
      <c r="AB714" s="282"/>
      <c r="AC714" s="282"/>
      <c r="AD714" s="282"/>
      <c r="AE714" s="282"/>
      <c r="AF714" s="282"/>
      <c r="AG714" s="282"/>
      <c r="AH714" s="281"/>
      <c r="AI714" s="282"/>
      <c r="AJ714" s="282"/>
      <c r="AK714" s="282"/>
      <c r="AL714" s="282"/>
      <c r="AM714" s="282"/>
      <c r="AN714" s="282"/>
      <c r="AO714" s="282"/>
      <c r="AP714" s="282"/>
      <c r="AQ714" s="282"/>
      <c r="AR714" s="282"/>
      <c r="AS714" s="282"/>
      <c r="AT714" s="282"/>
      <c r="AU714" s="282"/>
      <c r="AV714" s="282"/>
      <c r="AW714" s="282"/>
      <c r="AX714" s="282"/>
      <c r="AY714" s="282"/>
      <c r="AZ714" s="282"/>
      <c r="BA714" s="282"/>
    </row>
    <row r="715" spans="1:53">
      <c r="A715" s="282"/>
      <c r="B715" s="282"/>
      <c r="C715" s="282"/>
      <c r="D715" s="282"/>
      <c r="E715" s="282"/>
      <c r="F715" s="282"/>
      <c r="G715" s="282"/>
      <c r="H715" s="282"/>
      <c r="I715" s="282"/>
      <c r="J715" s="282"/>
      <c r="K715" s="282"/>
      <c r="L715" s="282"/>
      <c r="M715" s="282"/>
      <c r="N715" s="282"/>
      <c r="O715" s="282"/>
      <c r="P715" s="282"/>
      <c r="Q715" s="282"/>
      <c r="R715" s="282"/>
      <c r="S715" s="282"/>
      <c r="T715" s="282"/>
      <c r="U715" s="282"/>
      <c r="V715" s="282"/>
      <c r="W715" s="282"/>
      <c r="X715" s="282"/>
      <c r="Y715" s="282"/>
      <c r="Z715" s="282"/>
      <c r="AA715" s="282"/>
      <c r="AB715" s="282"/>
      <c r="AC715" s="282"/>
      <c r="AD715" s="282"/>
      <c r="AE715" s="282"/>
      <c r="AF715" s="282"/>
      <c r="AG715" s="282"/>
      <c r="AH715" s="281"/>
      <c r="AI715" s="282"/>
      <c r="AJ715" s="282"/>
      <c r="AK715" s="282"/>
      <c r="AL715" s="282"/>
      <c r="AM715" s="282"/>
      <c r="AN715" s="282"/>
      <c r="AO715" s="282"/>
      <c r="AP715" s="282"/>
      <c r="AQ715" s="282"/>
      <c r="AR715" s="282"/>
      <c r="AS715" s="282"/>
      <c r="AT715" s="282"/>
      <c r="AU715" s="282"/>
      <c r="AV715" s="282"/>
      <c r="AW715" s="282"/>
      <c r="AX715" s="282"/>
      <c r="AY715" s="282"/>
      <c r="AZ715" s="282"/>
      <c r="BA715" s="282"/>
    </row>
    <row r="716" spans="1:53">
      <c r="A716" s="282"/>
      <c r="B716" s="282"/>
      <c r="C716" s="282"/>
      <c r="D716" s="282"/>
      <c r="E716" s="282"/>
      <c r="F716" s="282"/>
      <c r="G716" s="282"/>
      <c r="H716" s="282"/>
      <c r="I716" s="282"/>
      <c r="J716" s="282"/>
      <c r="K716" s="282"/>
      <c r="L716" s="282"/>
      <c r="M716" s="282"/>
      <c r="N716" s="282"/>
      <c r="O716" s="282"/>
      <c r="P716" s="282"/>
      <c r="Q716" s="282"/>
      <c r="R716" s="282"/>
      <c r="S716" s="282"/>
      <c r="T716" s="282"/>
      <c r="U716" s="282"/>
      <c r="V716" s="282"/>
      <c r="W716" s="282"/>
      <c r="X716" s="282"/>
      <c r="Y716" s="282"/>
      <c r="Z716" s="282"/>
      <c r="AA716" s="282"/>
      <c r="AB716" s="282"/>
      <c r="AC716" s="282"/>
      <c r="AD716" s="282"/>
      <c r="AE716" s="282"/>
      <c r="AF716" s="282"/>
      <c r="AG716" s="282"/>
      <c r="AH716" s="281"/>
      <c r="AI716" s="282"/>
      <c r="AJ716" s="282"/>
      <c r="AK716" s="282"/>
      <c r="AL716" s="282"/>
      <c r="AM716" s="282"/>
      <c r="AN716" s="282"/>
      <c r="AO716" s="282"/>
      <c r="AP716" s="282"/>
      <c r="AQ716" s="282"/>
      <c r="AR716" s="282"/>
      <c r="AS716" s="282"/>
      <c r="AT716" s="282"/>
      <c r="AU716" s="282"/>
      <c r="AV716" s="282"/>
      <c r="AW716" s="282"/>
      <c r="AX716" s="282"/>
      <c r="AY716" s="282"/>
      <c r="AZ716" s="282"/>
      <c r="BA716" s="282"/>
    </row>
    <row r="717" spans="1:53">
      <c r="A717" s="282"/>
      <c r="B717" s="282"/>
      <c r="C717" s="282"/>
      <c r="D717" s="282"/>
      <c r="E717" s="282"/>
      <c r="F717" s="282"/>
      <c r="G717" s="282"/>
      <c r="H717" s="282"/>
      <c r="I717" s="282"/>
      <c r="J717" s="282"/>
      <c r="K717" s="282"/>
      <c r="L717" s="282"/>
      <c r="M717" s="282"/>
      <c r="N717" s="282"/>
      <c r="O717" s="282"/>
      <c r="P717" s="282"/>
      <c r="Q717" s="282"/>
      <c r="R717" s="282"/>
      <c r="S717" s="282"/>
      <c r="T717" s="282"/>
      <c r="U717" s="282"/>
      <c r="V717" s="282"/>
      <c r="W717" s="282"/>
      <c r="X717" s="282"/>
      <c r="Y717" s="282"/>
      <c r="Z717" s="282"/>
      <c r="AA717" s="282"/>
      <c r="AB717" s="282"/>
      <c r="AC717" s="282"/>
      <c r="AD717" s="282"/>
      <c r="AE717" s="282"/>
      <c r="AF717" s="282"/>
      <c r="AG717" s="282"/>
      <c r="AH717" s="281"/>
      <c r="AI717" s="282"/>
      <c r="AJ717" s="282"/>
      <c r="AK717" s="282"/>
      <c r="AL717" s="282"/>
      <c r="AM717" s="282"/>
      <c r="AN717" s="282"/>
      <c r="AO717" s="282"/>
      <c r="AP717" s="282"/>
      <c r="AQ717" s="282"/>
      <c r="AR717" s="282"/>
      <c r="AS717" s="282"/>
      <c r="AT717" s="282"/>
      <c r="AU717" s="282"/>
      <c r="AV717" s="282"/>
      <c r="AW717" s="282"/>
      <c r="AX717" s="282"/>
      <c r="AY717" s="282"/>
      <c r="AZ717" s="282"/>
      <c r="BA717" s="282"/>
    </row>
    <row r="718" spans="1:53">
      <c r="A718" s="282"/>
      <c r="B718" s="282"/>
      <c r="C718" s="282"/>
      <c r="D718" s="282"/>
      <c r="E718" s="282"/>
      <c r="F718" s="282"/>
      <c r="G718" s="282"/>
      <c r="H718" s="282"/>
      <c r="I718" s="282"/>
      <c r="J718" s="282"/>
      <c r="K718" s="282"/>
      <c r="L718" s="282"/>
      <c r="M718" s="282"/>
      <c r="N718" s="282"/>
      <c r="O718" s="282"/>
      <c r="P718" s="282"/>
      <c r="Q718" s="282"/>
      <c r="R718" s="282"/>
      <c r="S718" s="282"/>
      <c r="T718" s="282"/>
      <c r="U718" s="282"/>
      <c r="V718" s="282"/>
      <c r="W718" s="282"/>
      <c r="X718" s="282"/>
      <c r="Y718" s="282"/>
      <c r="Z718" s="282"/>
      <c r="AA718" s="282"/>
      <c r="AB718" s="282"/>
      <c r="AC718" s="282"/>
      <c r="AD718" s="282"/>
      <c r="AE718" s="282"/>
      <c r="AF718" s="282"/>
      <c r="AG718" s="282"/>
      <c r="AH718" s="281"/>
      <c r="AI718" s="282"/>
      <c r="AJ718" s="282"/>
      <c r="AK718" s="282"/>
      <c r="AL718" s="282"/>
      <c r="AM718" s="282"/>
      <c r="AN718" s="282"/>
      <c r="AO718" s="282"/>
      <c r="AP718" s="282"/>
      <c r="AQ718" s="282"/>
      <c r="AR718" s="282"/>
      <c r="AS718" s="282"/>
      <c r="AT718" s="282"/>
      <c r="AU718" s="282"/>
      <c r="AV718" s="282"/>
      <c r="AW718" s="282"/>
      <c r="AX718" s="282"/>
      <c r="AY718" s="282"/>
      <c r="AZ718" s="282"/>
      <c r="BA718" s="282"/>
    </row>
    <row r="719" spans="1:53">
      <c r="A719" s="282"/>
      <c r="B719" s="282"/>
      <c r="C719" s="282"/>
      <c r="D719" s="282"/>
      <c r="E719" s="282"/>
      <c r="F719" s="282"/>
      <c r="G719" s="282"/>
      <c r="H719" s="282"/>
      <c r="I719" s="282"/>
      <c r="J719" s="282"/>
      <c r="K719" s="282"/>
      <c r="L719" s="282"/>
      <c r="M719" s="282"/>
      <c r="N719" s="282"/>
      <c r="O719" s="282"/>
      <c r="P719" s="282"/>
      <c r="Q719" s="282"/>
      <c r="R719" s="282"/>
      <c r="S719" s="282"/>
      <c r="T719" s="282"/>
      <c r="U719" s="282"/>
      <c r="V719" s="282"/>
      <c r="W719" s="282"/>
      <c r="X719" s="282"/>
      <c r="Y719" s="282"/>
      <c r="Z719" s="282"/>
      <c r="AA719" s="282"/>
      <c r="AB719" s="282"/>
      <c r="AC719" s="282"/>
      <c r="AD719" s="282"/>
      <c r="AE719" s="282"/>
      <c r="AF719" s="282"/>
      <c r="AG719" s="282"/>
      <c r="AH719" s="281"/>
      <c r="AI719" s="282"/>
      <c r="AJ719" s="282"/>
      <c r="AK719" s="282"/>
      <c r="AL719" s="282"/>
      <c r="AM719" s="282"/>
      <c r="AN719" s="282"/>
      <c r="AO719" s="282"/>
      <c r="AP719" s="282"/>
      <c r="AQ719" s="282"/>
      <c r="AR719" s="282"/>
      <c r="AS719" s="282"/>
      <c r="AT719" s="282"/>
      <c r="AU719" s="282"/>
      <c r="AV719" s="282"/>
      <c r="AW719" s="282"/>
      <c r="AX719" s="282"/>
      <c r="AY719" s="282"/>
      <c r="AZ719" s="282"/>
      <c r="BA719" s="282"/>
    </row>
    <row r="720" spans="1:53">
      <c r="A720" s="282"/>
      <c r="B720" s="282"/>
      <c r="C720" s="282"/>
      <c r="D720" s="282"/>
      <c r="E720" s="282"/>
      <c r="F720" s="282"/>
      <c r="G720" s="282"/>
      <c r="H720" s="282"/>
      <c r="I720" s="282"/>
      <c r="J720" s="282"/>
      <c r="K720" s="282"/>
      <c r="L720" s="282"/>
      <c r="M720" s="282"/>
      <c r="N720" s="282"/>
      <c r="O720" s="282"/>
      <c r="P720" s="282"/>
      <c r="Q720" s="282"/>
      <c r="R720" s="282"/>
      <c r="S720" s="282"/>
      <c r="T720" s="282"/>
      <c r="U720" s="282"/>
      <c r="V720" s="282"/>
      <c r="W720" s="282"/>
      <c r="X720" s="282"/>
      <c r="Y720" s="282"/>
      <c r="Z720" s="282"/>
      <c r="AA720" s="282"/>
      <c r="AB720" s="282"/>
      <c r="AC720" s="282"/>
      <c r="AD720" s="282"/>
      <c r="AE720" s="282"/>
      <c r="AF720" s="282"/>
      <c r="AG720" s="282"/>
      <c r="AH720" s="281"/>
      <c r="AI720" s="282"/>
      <c r="AJ720" s="282"/>
      <c r="AK720" s="282"/>
      <c r="AL720" s="282"/>
      <c r="AM720" s="282"/>
      <c r="AN720" s="282"/>
      <c r="AO720" s="282"/>
      <c r="AP720" s="282"/>
      <c r="AQ720" s="282"/>
      <c r="AR720" s="282"/>
      <c r="AS720" s="282"/>
      <c r="AT720" s="282"/>
      <c r="AU720" s="282"/>
      <c r="AV720" s="282"/>
      <c r="AW720" s="282"/>
      <c r="AX720" s="282"/>
      <c r="AY720" s="282"/>
      <c r="AZ720" s="282"/>
      <c r="BA720" s="282"/>
    </row>
    <row r="721" spans="1:53">
      <c r="A721" s="282"/>
      <c r="B721" s="282"/>
      <c r="C721" s="282"/>
      <c r="D721" s="282"/>
      <c r="E721" s="282"/>
      <c r="F721" s="282"/>
      <c r="G721" s="282"/>
      <c r="H721" s="282"/>
      <c r="I721" s="282"/>
      <c r="J721" s="282"/>
      <c r="K721" s="282"/>
      <c r="L721" s="282"/>
      <c r="M721" s="282"/>
      <c r="N721" s="282"/>
      <c r="O721" s="282"/>
      <c r="P721" s="282"/>
      <c r="Q721" s="282"/>
      <c r="R721" s="282"/>
      <c r="S721" s="282"/>
      <c r="T721" s="282"/>
      <c r="U721" s="282"/>
      <c r="V721" s="282"/>
      <c r="W721" s="282"/>
      <c r="X721" s="282"/>
      <c r="Y721" s="282"/>
      <c r="Z721" s="282"/>
      <c r="AA721" s="282"/>
      <c r="AB721" s="282"/>
      <c r="AC721" s="282"/>
      <c r="AD721" s="282"/>
      <c r="AE721" s="282"/>
      <c r="AF721" s="282"/>
      <c r="AG721" s="282"/>
      <c r="AH721" s="281"/>
      <c r="AI721" s="282"/>
      <c r="AJ721" s="282"/>
      <c r="AK721" s="282"/>
      <c r="AL721" s="282"/>
      <c r="AM721" s="282"/>
      <c r="AN721" s="282"/>
      <c r="AO721" s="282"/>
      <c r="AP721" s="282"/>
      <c r="AQ721" s="282"/>
      <c r="AR721" s="282"/>
      <c r="AS721" s="282"/>
      <c r="AT721" s="282"/>
      <c r="AU721" s="282"/>
      <c r="AV721" s="282"/>
      <c r="AW721" s="282"/>
      <c r="AX721" s="282"/>
      <c r="AY721" s="282"/>
      <c r="AZ721" s="282"/>
      <c r="BA721" s="282"/>
    </row>
    <row r="722" spans="1:53">
      <c r="A722" s="282"/>
      <c r="B722" s="282"/>
      <c r="C722" s="282"/>
      <c r="D722" s="282"/>
      <c r="E722" s="282"/>
      <c r="F722" s="282"/>
      <c r="G722" s="282"/>
      <c r="H722" s="282"/>
      <c r="I722" s="282"/>
      <c r="J722" s="282"/>
      <c r="K722" s="282"/>
      <c r="L722" s="282"/>
      <c r="M722" s="282"/>
      <c r="N722" s="282"/>
      <c r="O722" s="282"/>
      <c r="P722" s="282"/>
      <c r="Q722" s="282"/>
      <c r="R722" s="282"/>
      <c r="S722" s="282"/>
      <c r="T722" s="282"/>
      <c r="U722" s="282"/>
      <c r="V722" s="282"/>
      <c r="W722" s="282"/>
      <c r="X722" s="282"/>
      <c r="Y722" s="282"/>
      <c r="Z722" s="282"/>
      <c r="AA722" s="282"/>
      <c r="AB722" s="282"/>
      <c r="AC722" s="282"/>
      <c r="AD722" s="282"/>
      <c r="AE722" s="282"/>
      <c r="AF722" s="282"/>
      <c r="AG722" s="282"/>
      <c r="AH722" s="281"/>
      <c r="AI722" s="282"/>
      <c r="AJ722" s="282"/>
      <c r="AK722" s="282"/>
      <c r="AL722" s="282"/>
      <c r="AM722" s="282"/>
      <c r="AN722" s="282"/>
      <c r="AO722" s="282"/>
      <c r="AP722" s="282"/>
      <c r="AQ722" s="282"/>
      <c r="AR722" s="282"/>
      <c r="AS722" s="282"/>
      <c r="AT722" s="282"/>
      <c r="AU722" s="282"/>
      <c r="AV722" s="282"/>
      <c r="AW722" s="282"/>
      <c r="AX722" s="282"/>
      <c r="AY722" s="282"/>
      <c r="AZ722" s="282"/>
      <c r="BA722" s="282"/>
    </row>
    <row r="723" spans="1:53">
      <c r="A723" s="282"/>
      <c r="B723" s="282"/>
      <c r="C723" s="282"/>
      <c r="D723" s="282"/>
      <c r="E723" s="282"/>
      <c r="F723" s="282"/>
      <c r="G723" s="282"/>
      <c r="H723" s="282"/>
      <c r="I723" s="282"/>
      <c r="J723" s="282"/>
      <c r="K723" s="282"/>
      <c r="L723" s="282"/>
      <c r="M723" s="282"/>
      <c r="N723" s="282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  <c r="AC723" s="282"/>
      <c r="AD723" s="282"/>
      <c r="AE723" s="282"/>
      <c r="AF723" s="282"/>
      <c r="AG723" s="282"/>
      <c r="AH723" s="281"/>
      <c r="AI723" s="282"/>
      <c r="AJ723" s="282"/>
      <c r="AK723" s="282"/>
      <c r="AL723" s="282"/>
      <c r="AM723" s="282"/>
      <c r="AN723" s="282"/>
      <c r="AO723" s="282"/>
      <c r="AP723" s="282"/>
      <c r="AQ723" s="282"/>
      <c r="AR723" s="282"/>
      <c r="AS723" s="282"/>
      <c r="AT723" s="282"/>
      <c r="AU723" s="282"/>
      <c r="AV723" s="282"/>
      <c r="AW723" s="282"/>
      <c r="AX723" s="282"/>
      <c r="AY723" s="282"/>
      <c r="AZ723" s="282"/>
      <c r="BA723" s="282"/>
    </row>
    <row r="724" spans="1:53">
      <c r="A724" s="282"/>
      <c r="B724" s="282"/>
      <c r="C724" s="282"/>
      <c r="D724" s="282"/>
      <c r="E724" s="282"/>
      <c r="F724" s="282"/>
      <c r="G724" s="282"/>
      <c r="H724" s="282"/>
      <c r="I724" s="282"/>
      <c r="J724" s="282"/>
      <c r="K724" s="282"/>
      <c r="L724" s="282"/>
      <c r="M724" s="282"/>
      <c r="N724" s="282"/>
      <c r="O724" s="282"/>
      <c r="P724" s="282"/>
      <c r="Q724" s="282"/>
      <c r="R724" s="282"/>
      <c r="S724" s="282"/>
      <c r="T724" s="282"/>
      <c r="U724" s="282"/>
      <c r="V724" s="282"/>
      <c r="W724" s="282"/>
      <c r="X724" s="282"/>
      <c r="Y724" s="282"/>
      <c r="Z724" s="282"/>
      <c r="AA724" s="282"/>
      <c r="AB724" s="282"/>
      <c r="AC724" s="282"/>
      <c r="AD724" s="282"/>
      <c r="AE724" s="282"/>
      <c r="AF724" s="282"/>
      <c r="AG724" s="282"/>
      <c r="AH724" s="281"/>
      <c r="AI724" s="282"/>
      <c r="AJ724" s="282"/>
      <c r="AK724" s="282"/>
      <c r="AL724" s="282"/>
      <c r="AM724" s="282"/>
      <c r="AN724" s="282"/>
      <c r="AO724" s="282"/>
      <c r="AP724" s="282"/>
      <c r="AQ724" s="282"/>
      <c r="AR724" s="282"/>
      <c r="AS724" s="282"/>
      <c r="AT724" s="282"/>
      <c r="AU724" s="282"/>
      <c r="AV724" s="282"/>
      <c r="AW724" s="282"/>
      <c r="AX724" s="282"/>
      <c r="AY724" s="282"/>
      <c r="AZ724" s="282"/>
      <c r="BA724" s="282"/>
    </row>
    <row r="725" spans="1:53">
      <c r="A725" s="282"/>
      <c r="B725" s="282"/>
      <c r="C725" s="282"/>
      <c r="D725" s="282"/>
      <c r="E725" s="282"/>
      <c r="F725" s="282"/>
      <c r="G725" s="282"/>
      <c r="H725" s="282"/>
      <c r="I725" s="282"/>
      <c r="J725" s="282"/>
      <c r="K725" s="282"/>
      <c r="L725" s="282"/>
      <c r="M725" s="282"/>
      <c r="N725" s="282"/>
      <c r="O725" s="282"/>
      <c r="P725" s="282"/>
      <c r="Q725" s="282"/>
      <c r="R725" s="282"/>
      <c r="S725" s="282"/>
      <c r="T725" s="282"/>
      <c r="U725" s="282"/>
      <c r="V725" s="282"/>
      <c r="W725" s="282"/>
      <c r="X725" s="282"/>
      <c r="Y725" s="282"/>
      <c r="Z725" s="282"/>
      <c r="AA725" s="282"/>
      <c r="AB725" s="282"/>
      <c r="AC725" s="282"/>
      <c r="AD725" s="282"/>
      <c r="AE725" s="282"/>
      <c r="AF725" s="282"/>
      <c r="AG725" s="282"/>
      <c r="AH725" s="281"/>
      <c r="AI725" s="282"/>
      <c r="AJ725" s="282"/>
      <c r="AK725" s="282"/>
      <c r="AL725" s="282"/>
      <c r="AM725" s="282"/>
      <c r="AN725" s="282"/>
      <c r="AO725" s="282"/>
      <c r="AP725" s="282"/>
      <c r="AQ725" s="282"/>
      <c r="AR725" s="282"/>
      <c r="AS725" s="282"/>
      <c r="AT725" s="282"/>
      <c r="AU725" s="282"/>
      <c r="AV725" s="282"/>
      <c r="AW725" s="282"/>
      <c r="AX725" s="282"/>
      <c r="AY725" s="282"/>
      <c r="AZ725" s="282"/>
      <c r="BA725" s="282"/>
    </row>
    <row r="726" spans="1:53">
      <c r="A726" s="282"/>
      <c r="B726" s="282"/>
      <c r="C726" s="282"/>
      <c r="D726" s="282"/>
      <c r="E726" s="282"/>
      <c r="F726" s="282"/>
      <c r="G726" s="282"/>
      <c r="H726" s="282"/>
      <c r="I726" s="282"/>
      <c r="J726" s="282"/>
      <c r="K726" s="282"/>
      <c r="L726" s="282"/>
      <c r="M726" s="282"/>
      <c r="N726" s="282"/>
      <c r="O726" s="282"/>
      <c r="P726" s="282"/>
      <c r="Q726" s="282"/>
      <c r="R726" s="282"/>
      <c r="S726" s="282"/>
      <c r="T726" s="282"/>
      <c r="U726" s="282"/>
      <c r="V726" s="282"/>
      <c r="W726" s="282"/>
      <c r="X726" s="282"/>
      <c r="Y726" s="282"/>
      <c r="Z726" s="282"/>
      <c r="AA726" s="282"/>
      <c r="AB726" s="282"/>
      <c r="AC726" s="282"/>
      <c r="AD726" s="282"/>
      <c r="AE726" s="282"/>
      <c r="AF726" s="282"/>
      <c r="AG726" s="282"/>
      <c r="AH726" s="281"/>
      <c r="AI726" s="282"/>
      <c r="AJ726" s="282"/>
      <c r="AK726" s="282"/>
      <c r="AL726" s="282"/>
      <c r="AM726" s="282"/>
      <c r="AN726" s="282"/>
      <c r="AO726" s="282"/>
      <c r="AP726" s="282"/>
      <c r="AQ726" s="282"/>
      <c r="AR726" s="282"/>
      <c r="AS726" s="282"/>
      <c r="AT726" s="282"/>
      <c r="AU726" s="282"/>
      <c r="AV726" s="282"/>
      <c r="AW726" s="282"/>
      <c r="AX726" s="282"/>
      <c r="AY726" s="282"/>
      <c r="AZ726" s="282"/>
      <c r="BA726" s="282"/>
    </row>
    <row r="727" spans="1:53">
      <c r="A727" s="282"/>
      <c r="B727" s="282"/>
      <c r="C727" s="282"/>
      <c r="D727" s="282"/>
      <c r="E727" s="282"/>
      <c r="F727" s="282"/>
      <c r="G727" s="282"/>
      <c r="H727" s="282"/>
      <c r="I727" s="282"/>
      <c r="J727" s="282"/>
      <c r="K727" s="282"/>
      <c r="L727" s="282"/>
      <c r="M727" s="282"/>
      <c r="N727" s="282"/>
      <c r="O727" s="282"/>
      <c r="P727" s="282"/>
      <c r="Q727" s="282"/>
      <c r="R727" s="282"/>
      <c r="S727" s="282"/>
      <c r="T727" s="282"/>
      <c r="U727" s="282"/>
      <c r="V727" s="282"/>
      <c r="W727" s="282"/>
      <c r="X727" s="282"/>
      <c r="Y727" s="282"/>
      <c r="Z727" s="282"/>
      <c r="AA727" s="282"/>
      <c r="AB727" s="282"/>
      <c r="AC727" s="282"/>
      <c r="AD727" s="282"/>
      <c r="AE727" s="282"/>
      <c r="AF727" s="282"/>
      <c r="AG727" s="282"/>
      <c r="AH727" s="281"/>
      <c r="AI727" s="282"/>
      <c r="AJ727" s="282"/>
      <c r="AK727" s="282"/>
      <c r="AL727" s="282"/>
      <c r="AM727" s="282"/>
      <c r="AN727" s="282"/>
      <c r="AO727" s="282"/>
      <c r="AP727" s="282"/>
      <c r="AQ727" s="282"/>
      <c r="AR727" s="282"/>
      <c r="AS727" s="282"/>
      <c r="AT727" s="282"/>
      <c r="AU727" s="282"/>
      <c r="AV727" s="282"/>
      <c r="AW727" s="282"/>
      <c r="AX727" s="282"/>
      <c r="AY727" s="282"/>
      <c r="AZ727" s="282"/>
      <c r="BA727" s="282"/>
    </row>
    <row r="728" spans="1:53">
      <c r="A728" s="282"/>
      <c r="B728" s="282"/>
      <c r="C728" s="282"/>
      <c r="D728" s="282"/>
      <c r="E728" s="282"/>
      <c r="F728" s="282"/>
      <c r="G728" s="282"/>
      <c r="H728" s="282"/>
      <c r="I728" s="282"/>
      <c r="J728" s="282"/>
      <c r="K728" s="282"/>
      <c r="L728" s="282"/>
      <c r="M728" s="282"/>
      <c r="N728" s="282"/>
      <c r="O728" s="282"/>
      <c r="P728" s="282"/>
      <c r="Q728" s="282"/>
      <c r="R728" s="282"/>
      <c r="S728" s="282"/>
      <c r="T728" s="282"/>
      <c r="U728" s="282"/>
      <c r="V728" s="282"/>
      <c r="W728" s="282"/>
      <c r="X728" s="282"/>
      <c r="Y728" s="282"/>
      <c r="Z728" s="282"/>
      <c r="AA728" s="282"/>
      <c r="AB728" s="282"/>
      <c r="AC728" s="282"/>
      <c r="AD728" s="282"/>
      <c r="AE728" s="282"/>
      <c r="AF728" s="282"/>
      <c r="AG728" s="282"/>
      <c r="AH728" s="281"/>
      <c r="AI728" s="282"/>
      <c r="AJ728" s="282"/>
      <c r="AK728" s="282"/>
      <c r="AL728" s="282"/>
      <c r="AM728" s="282"/>
      <c r="AN728" s="282"/>
      <c r="AO728" s="282"/>
      <c r="AP728" s="282"/>
      <c r="AQ728" s="282"/>
      <c r="AR728" s="282"/>
      <c r="AS728" s="282"/>
      <c r="AT728" s="282"/>
      <c r="AU728" s="282"/>
      <c r="AV728" s="282"/>
      <c r="AW728" s="282"/>
      <c r="AX728" s="282"/>
      <c r="AY728" s="282"/>
      <c r="AZ728" s="282"/>
      <c r="BA728" s="282"/>
    </row>
    <row r="729" spans="1:53">
      <c r="A729" s="282"/>
      <c r="B729" s="282"/>
      <c r="C729" s="282"/>
      <c r="D729" s="282"/>
      <c r="E729" s="282"/>
      <c r="F729" s="282"/>
      <c r="G729" s="282"/>
      <c r="H729" s="282"/>
      <c r="I729" s="282"/>
      <c r="J729" s="282"/>
      <c r="K729" s="282"/>
      <c r="L729" s="282"/>
      <c r="M729" s="282"/>
      <c r="N729" s="282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  <c r="AC729" s="282"/>
      <c r="AD729" s="282"/>
      <c r="AE729" s="282"/>
      <c r="AF729" s="282"/>
      <c r="AG729" s="282"/>
      <c r="AH729" s="281"/>
      <c r="AI729" s="282"/>
      <c r="AJ729" s="282"/>
      <c r="AK729" s="282"/>
      <c r="AL729" s="282"/>
      <c r="AM729" s="282"/>
      <c r="AN729" s="282"/>
      <c r="AO729" s="282"/>
      <c r="AP729" s="282"/>
      <c r="AQ729" s="282"/>
      <c r="AR729" s="282"/>
      <c r="AS729" s="282"/>
      <c r="AT729" s="282"/>
      <c r="AU729" s="282"/>
      <c r="AV729" s="282"/>
      <c r="AW729" s="282"/>
      <c r="AX729" s="282"/>
      <c r="AY729" s="282"/>
      <c r="AZ729" s="282"/>
      <c r="BA729" s="282"/>
    </row>
    <row r="730" spans="1:53">
      <c r="A730" s="282"/>
      <c r="B730" s="282"/>
      <c r="C730" s="282"/>
      <c r="D730" s="282"/>
      <c r="E730" s="282"/>
      <c r="F730" s="282"/>
      <c r="G730" s="282"/>
      <c r="H730" s="282"/>
      <c r="I730" s="282"/>
      <c r="J730" s="282"/>
      <c r="K730" s="282"/>
      <c r="L730" s="282"/>
      <c r="M730" s="282"/>
      <c r="N730" s="282"/>
      <c r="O730" s="282"/>
      <c r="P730" s="282"/>
      <c r="Q730" s="282"/>
      <c r="R730" s="282"/>
      <c r="S730" s="282"/>
      <c r="T730" s="282"/>
      <c r="U730" s="282"/>
      <c r="V730" s="282"/>
      <c r="W730" s="282"/>
      <c r="X730" s="282"/>
      <c r="Y730" s="282"/>
      <c r="Z730" s="282"/>
      <c r="AA730" s="282"/>
      <c r="AB730" s="282"/>
      <c r="AC730" s="282"/>
      <c r="AD730" s="282"/>
      <c r="AE730" s="282"/>
      <c r="AF730" s="282"/>
      <c r="AG730" s="282"/>
      <c r="AH730" s="281"/>
      <c r="AI730" s="282"/>
      <c r="AJ730" s="282"/>
      <c r="AK730" s="282"/>
      <c r="AL730" s="282"/>
      <c r="AM730" s="282"/>
      <c r="AN730" s="282"/>
      <c r="AO730" s="282"/>
      <c r="AP730" s="282"/>
      <c r="AQ730" s="282"/>
      <c r="AR730" s="282"/>
      <c r="AS730" s="282"/>
      <c r="AT730" s="282"/>
      <c r="AU730" s="282"/>
      <c r="AV730" s="282"/>
      <c r="AW730" s="282"/>
      <c r="AX730" s="282"/>
      <c r="AY730" s="282"/>
      <c r="AZ730" s="282"/>
      <c r="BA730" s="282"/>
    </row>
    <row r="731" spans="1:53">
      <c r="A731" s="282"/>
      <c r="B731" s="282"/>
      <c r="C731" s="282"/>
      <c r="D731" s="282"/>
      <c r="E731" s="282"/>
      <c r="F731" s="282"/>
      <c r="G731" s="282"/>
      <c r="H731" s="282"/>
      <c r="I731" s="282"/>
      <c r="J731" s="282"/>
      <c r="K731" s="282"/>
      <c r="L731" s="282"/>
      <c r="M731" s="282"/>
      <c r="N731" s="282"/>
      <c r="O731" s="282"/>
      <c r="P731" s="282"/>
      <c r="Q731" s="282"/>
      <c r="R731" s="282"/>
      <c r="S731" s="282"/>
      <c r="T731" s="282"/>
      <c r="U731" s="282"/>
      <c r="V731" s="282"/>
      <c r="W731" s="282"/>
      <c r="X731" s="282"/>
      <c r="Y731" s="282"/>
      <c r="Z731" s="282"/>
      <c r="AA731" s="282"/>
      <c r="AB731" s="282"/>
      <c r="AC731" s="282"/>
      <c r="AD731" s="282"/>
      <c r="AE731" s="282"/>
      <c r="AF731" s="282"/>
      <c r="AG731" s="282"/>
      <c r="AH731" s="281"/>
      <c r="AI731" s="282"/>
      <c r="AJ731" s="282"/>
      <c r="AK731" s="282"/>
      <c r="AL731" s="282"/>
      <c r="AM731" s="282"/>
      <c r="AN731" s="282"/>
      <c r="AO731" s="282"/>
      <c r="AP731" s="282"/>
      <c r="AQ731" s="282"/>
      <c r="AR731" s="282"/>
      <c r="AS731" s="282"/>
      <c r="AT731" s="282"/>
      <c r="AU731" s="282"/>
      <c r="AV731" s="282"/>
      <c r="AW731" s="282"/>
      <c r="AX731" s="282"/>
      <c r="AY731" s="282"/>
      <c r="AZ731" s="282"/>
      <c r="BA731" s="282"/>
    </row>
    <row r="732" spans="1:53">
      <c r="A732" s="282"/>
      <c r="B732" s="282"/>
      <c r="C732" s="282"/>
      <c r="D732" s="282"/>
      <c r="E732" s="282"/>
      <c r="F732" s="282"/>
      <c r="G732" s="282"/>
      <c r="H732" s="282"/>
      <c r="I732" s="282"/>
      <c r="J732" s="282"/>
      <c r="K732" s="282"/>
      <c r="L732" s="282"/>
      <c r="M732" s="282"/>
      <c r="N732" s="282"/>
      <c r="O732" s="282"/>
      <c r="P732" s="282"/>
      <c r="Q732" s="282"/>
      <c r="R732" s="282"/>
      <c r="S732" s="282"/>
      <c r="T732" s="282"/>
      <c r="U732" s="282"/>
      <c r="V732" s="282"/>
      <c r="W732" s="282"/>
      <c r="X732" s="282"/>
      <c r="Y732" s="282"/>
      <c r="Z732" s="282"/>
      <c r="AA732" s="282"/>
      <c r="AB732" s="282"/>
      <c r="AC732" s="282"/>
      <c r="AD732" s="282"/>
      <c r="AE732" s="282"/>
      <c r="AF732" s="282"/>
      <c r="AG732" s="282"/>
      <c r="AH732" s="281"/>
      <c r="AI732" s="282"/>
      <c r="AJ732" s="282"/>
      <c r="AK732" s="282"/>
      <c r="AL732" s="282"/>
      <c r="AM732" s="282"/>
      <c r="AN732" s="282"/>
      <c r="AO732" s="282"/>
      <c r="AP732" s="282"/>
      <c r="AQ732" s="282"/>
      <c r="AR732" s="282"/>
      <c r="AS732" s="282"/>
      <c r="AT732" s="282"/>
      <c r="AU732" s="282"/>
      <c r="AV732" s="282"/>
      <c r="AW732" s="282"/>
      <c r="AX732" s="282"/>
      <c r="AY732" s="282"/>
      <c r="AZ732" s="282"/>
      <c r="BA732" s="282"/>
    </row>
    <row r="733" spans="1:53">
      <c r="A733" s="282"/>
      <c r="B733" s="282"/>
      <c r="C733" s="282"/>
      <c r="D733" s="282"/>
      <c r="E733" s="282"/>
      <c r="F733" s="282"/>
      <c r="G733" s="282"/>
      <c r="H733" s="282"/>
      <c r="I733" s="282"/>
      <c r="J733" s="282"/>
      <c r="K733" s="282"/>
      <c r="L733" s="282"/>
      <c r="M733" s="282"/>
      <c r="N733" s="282"/>
      <c r="O733" s="282"/>
      <c r="P733" s="282"/>
      <c r="Q733" s="282"/>
      <c r="R733" s="282"/>
      <c r="S733" s="282"/>
      <c r="T733" s="282"/>
      <c r="U733" s="282"/>
      <c r="V733" s="282"/>
      <c r="W733" s="282"/>
      <c r="X733" s="282"/>
      <c r="Y733" s="282"/>
      <c r="Z733" s="282"/>
      <c r="AA733" s="282"/>
      <c r="AB733" s="282"/>
      <c r="AC733" s="282"/>
      <c r="AD733" s="282"/>
      <c r="AE733" s="282"/>
      <c r="AF733" s="282"/>
      <c r="AG733" s="282"/>
      <c r="AH733" s="281"/>
      <c r="AI733" s="282"/>
      <c r="AJ733" s="282"/>
      <c r="AK733" s="282"/>
      <c r="AL733" s="282"/>
      <c r="AM733" s="282"/>
      <c r="AN733" s="282"/>
      <c r="AO733" s="282"/>
      <c r="AP733" s="282"/>
      <c r="AQ733" s="282"/>
      <c r="AR733" s="282"/>
      <c r="AS733" s="282"/>
      <c r="AT733" s="282"/>
      <c r="AU733" s="282"/>
      <c r="AV733" s="282"/>
      <c r="AW733" s="282"/>
      <c r="AX733" s="282"/>
      <c r="AY733" s="282"/>
      <c r="AZ733" s="282"/>
      <c r="BA733" s="282"/>
    </row>
    <row r="734" spans="1:53">
      <c r="A734" s="282"/>
      <c r="B734" s="282"/>
      <c r="C734" s="282"/>
      <c r="D734" s="282"/>
      <c r="E734" s="282"/>
      <c r="F734" s="282"/>
      <c r="G734" s="282"/>
      <c r="H734" s="282"/>
      <c r="I734" s="282"/>
      <c r="J734" s="282"/>
      <c r="K734" s="282"/>
      <c r="L734" s="282"/>
      <c r="M734" s="282"/>
      <c r="N734" s="282"/>
      <c r="O734" s="282"/>
      <c r="P734" s="282"/>
      <c r="Q734" s="282"/>
      <c r="R734" s="282"/>
      <c r="S734" s="282"/>
      <c r="T734" s="282"/>
      <c r="U734" s="282"/>
      <c r="V734" s="282"/>
      <c r="W734" s="282"/>
      <c r="X734" s="282"/>
      <c r="Y734" s="282"/>
      <c r="Z734" s="282"/>
      <c r="AA734" s="282"/>
      <c r="AB734" s="282"/>
      <c r="AC734" s="282"/>
      <c r="AD734" s="282"/>
      <c r="AE734" s="282"/>
      <c r="AF734" s="282"/>
      <c r="AG734" s="282"/>
      <c r="AH734" s="281"/>
      <c r="AI734" s="282"/>
      <c r="AJ734" s="282"/>
      <c r="AK734" s="282"/>
      <c r="AL734" s="282"/>
      <c r="AM734" s="282"/>
      <c r="AN734" s="282"/>
      <c r="AO734" s="282"/>
      <c r="AP734" s="282"/>
      <c r="AQ734" s="282"/>
      <c r="AR734" s="282"/>
      <c r="AS734" s="282"/>
      <c r="AT734" s="282"/>
      <c r="AU734" s="282"/>
      <c r="AV734" s="282"/>
      <c r="AW734" s="282"/>
      <c r="AX734" s="282"/>
      <c r="AY734" s="282"/>
      <c r="AZ734" s="282"/>
      <c r="BA734" s="282"/>
    </row>
    <row r="735" spans="1:53">
      <c r="A735" s="282"/>
      <c r="B735" s="282"/>
      <c r="C735" s="282"/>
      <c r="D735" s="282"/>
      <c r="E735" s="282"/>
      <c r="F735" s="282"/>
      <c r="G735" s="282"/>
      <c r="H735" s="282"/>
      <c r="I735" s="282"/>
      <c r="J735" s="282"/>
      <c r="K735" s="282"/>
      <c r="L735" s="282"/>
      <c r="M735" s="282"/>
      <c r="N735" s="282"/>
      <c r="O735" s="282"/>
      <c r="P735" s="282"/>
      <c r="Q735" s="282"/>
      <c r="R735" s="282"/>
      <c r="S735" s="282"/>
      <c r="T735" s="282"/>
      <c r="U735" s="282"/>
      <c r="V735" s="282"/>
      <c r="W735" s="282"/>
      <c r="X735" s="282"/>
      <c r="Y735" s="282"/>
      <c r="Z735" s="282"/>
      <c r="AA735" s="282"/>
      <c r="AB735" s="282"/>
      <c r="AC735" s="282"/>
      <c r="AD735" s="282"/>
      <c r="AE735" s="282"/>
      <c r="AF735" s="282"/>
      <c r="AG735" s="282"/>
      <c r="AH735" s="281"/>
      <c r="AI735" s="282"/>
      <c r="AJ735" s="282"/>
      <c r="AK735" s="282"/>
      <c r="AL735" s="282"/>
      <c r="AM735" s="282"/>
      <c r="AN735" s="282"/>
      <c r="AO735" s="282"/>
      <c r="AP735" s="282"/>
      <c r="AQ735" s="282"/>
      <c r="AR735" s="282"/>
      <c r="AS735" s="282"/>
      <c r="AT735" s="282"/>
      <c r="AU735" s="282"/>
      <c r="AV735" s="282"/>
      <c r="AW735" s="282"/>
      <c r="AX735" s="282"/>
      <c r="AY735" s="282"/>
      <c r="AZ735" s="282"/>
      <c r="BA735" s="282"/>
    </row>
    <row r="736" spans="1:53">
      <c r="A736" s="282"/>
      <c r="B736" s="282"/>
      <c r="C736" s="282"/>
      <c r="D736" s="282"/>
      <c r="E736" s="282"/>
      <c r="F736" s="282"/>
      <c r="G736" s="282"/>
      <c r="H736" s="282"/>
      <c r="I736" s="282"/>
      <c r="J736" s="282"/>
      <c r="K736" s="282"/>
      <c r="L736" s="282"/>
      <c r="M736" s="282"/>
      <c r="N736" s="282"/>
      <c r="O736" s="282"/>
      <c r="P736" s="282"/>
      <c r="Q736" s="282"/>
      <c r="R736" s="282"/>
      <c r="S736" s="282"/>
      <c r="T736" s="282"/>
      <c r="U736" s="282"/>
      <c r="V736" s="282"/>
      <c r="W736" s="282"/>
      <c r="X736" s="282"/>
      <c r="Y736" s="282"/>
      <c r="Z736" s="282"/>
      <c r="AA736" s="282"/>
      <c r="AB736" s="282"/>
      <c r="AC736" s="282"/>
      <c r="AD736" s="282"/>
      <c r="AE736" s="282"/>
      <c r="AF736" s="282"/>
      <c r="AG736" s="282"/>
      <c r="AH736" s="281"/>
      <c r="AI736" s="282"/>
      <c r="AJ736" s="282"/>
      <c r="AK736" s="282"/>
      <c r="AL736" s="282"/>
      <c r="AM736" s="282"/>
      <c r="AN736" s="282"/>
      <c r="AO736" s="282"/>
      <c r="AP736" s="282"/>
      <c r="AQ736" s="282"/>
      <c r="AR736" s="282"/>
      <c r="AS736" s="282"/>
      <c r="AT736" s="282"/>
      <c r="AU736" s="282"/>
      <c r="AV736" s="282"/>
      <c r="AW736" s="282"/>
      <c r="AX736" s="282"/>
      <c r="AY736" s="282"/>
      <c r="AZ736" s="282"/>
      <c r="BA736" s="282"/>
    </row>
    <row r="737" spans="1:53">
      <c r="A737" s="282"/>
      <c r="B737" s="282"/>
      <c r="C737" s="282"/>
      <c r="D737" s="282"/>
      <c r="E737" s="282"/>
      <c r="F737" s="282"/>
      <c r="G737" s="282"/>
      <c r="H737" s="282"/>
      <c r="I737" s="282"/>
      <c r="J737" s="282"/>
      <c r="K737" s="282"/>
      <c r="L737" s="282"/>
      <c r="M737" s="282"/>
      <c r="N737" s="282"/>
      <c r="O737" s="282"/>
      <c r="P737" s="282"/>
      <c r="Q737" s="282"/>
      <c r="R737" s="282"/>
      <c r="S737" s="282"/>
      <c r="T737" s="282"/>
      <c r="U737" s="282"/>
      <c r="V737" s="282"/>
      <c r="W737" s="282"/>
      <c r="X737" s="282"/>
      <c r="Y737" s="282"/>
      <c r="Z737" s="282"/>
      <c r="AA737" s="282"/>
      <c r="AB737" s="282"/>
      <c r="AC737" s="282"/>
      <c r="AD737" s="282"/>
      <c r="AE737" s="282"/>
      <c r="AF737" s="282"/>
      <c r="AG737" s="282"/>
      <c r="AH737" s="281"/>
      <c r="AI737" s="282"/>
      <c r="AJ737" s="282"/>
      <c r="AK737" s="282"/>
      <c r="AL737" s="282"/>
      <c r="AM737" s="282"/>
      <c r="AN737" s="282"/>
      <c r="AO737" s="282"/>
      <c r="AP737" s="282"/>
      <c r="AQ737" s="282"/>
      <c r="AR737" s="282"/>
      <c r="AS737" s="282"/>
      <c r="AT737" s="282"/>
      <c r="AU737" s="282"/>
      <c r="AV737" s="282"/>
      <c r="AW737" s="282"/>
      <c r="AX737" s="282"/>
      <c r="AY737" s="282"/>
      <c r="AZ737" s="282"/>
      <c r="BA737" s="282"/>
    </row>
    <row r="738" spans="1:53">
      <c r="A738" s="282"/>
      <c r="B738" s="282"/>
      <c r="C738" s="282"/>
      <c r="D738" s="282"/>
      <c r="E738" s="282"/>
      <c r="F738" s="282"/>
      <c r="G738" s="282"/>
      <c r="H738" s="282"/>
      <c r="I738" s="282"/>
      <c r="J738" s="282"/>
      <c r="K738" s="282"/>
      <c r="L738" s="282"/>
      <c r="M738" s="282"/>
      <c r="N738" s="282"/>
      <c r="O738" s="282"/>
      <c r="P738" s="282"/>
      <c r="Q738" s="282"/>
      <c r="R738" s="282"/>
      <c r="S738" s="282"/>
      <c r="T738" s="282"/>
      <c r="U738" s="282"/>
      <c r="V738" s="282"/>
      <c r="W738" s="282"/>
      <c r="X738" s="282"/>
      <c r="Y738" s="282"/>
      <c r="Z738" s="282"/>
      <c r="AA738" s="282"/>
      <c r="AB738" s="282"/>
      <c r="AC738" s="282"/>
      <c r="AD738" s="282"/>
      <c r="AE738" s="282"/>
      <c r="AF738" s="282"/>
      <c r="AG738" s="282"/>
      <c r="AH738" s="281"/>
      <c r="AI738" s="282"/>
      <c r="AJ738" s="282"/>
      <c r="AK738" s="282"/>
      <c r="AL738" s="282"/>
      <c r="AM738" s="282"/>
      <c r="AN738" s="282"/>
      <c r="AO738" s="282"/>
      <c r="AP738" s="282"/>
      <c r="AQ738" s="282"/>
      <c r="AR738" s="282"/>
      <c r="AS738" s="282"/>
      <c r="AT738" s="282"/>
      <c r="AU738" s="282"/>
      <c r="AV738" s="282"/>
      <c r="AW738" s="282"/>
      <c r="AX738" s="282"/>
      <c r="AY738" s="282"/>
      <c r="AZ738" s="282"/>
      <c r="BA738" s="282"/>
    </row>
    <row r="739" spans="1:53">
      <c r="A739" s="282"/>
      <c r="B739" s="282"/>
      <c r="C739" s="282"/>
      <c r="D739" s="282"/>
      <c r="E739" s="282"/>
      <c r="F739" s="282"/>
      <c r="G739" s="282"/>
      <c r="H739" s="282"/>
      <c r="I739" s="282"/>
      <c r="J739" s="282"/>
      <c r="K739" s="282"/>
      <c r="L739" s="282"/>
      <c r="M739" s="282"/>
      <c r="N739" s="282"/>
      <c r="O739" s="282"/>
      <c r="P739" s="282"/>
      <c r="Q739" s="282"/>
      <c r="R739" s="282"/>
      <c r="S739" s="282"/>
      <c r="T739" s="282"/>
      <c r="U739" s="282"/>
      <c r="V739" s="282"/>
      <c r="W739" s="282"/>
      <c r="X739" s="282"/>
      <c r="Y739" s="282"/>
      <c r="Z739" s="282"/>
      <c r="AA739" s="282"/>
      <c r="AB739" s="282"/>
      <c r="AC739" s="282"/>
      <c r="AD739" s="282"/>
      <c r="AE739" s="282"/>
      <c r="AF739" s="282"/>
      <c r="AG739" s="282"/>
      <c r="AH739" s="281"/>
      <c r="AI739" s="282"/>
      <c r="AJ739" s="282"/>
      <c r="AK739" s="282"/>
      <c r="AL739" s="282"/>
      <c r="AM739" s="282"/>
      <c r="AN739" s="282"/>
      <c r="AO739" s="282"/>
      <c r="AP739" s="282"/>
      <c r="AQ739" s="282"/>
      <c r="AR739" s="282"/>
      <c r="AS739" s="282"/>
      <c r="AT739" s="282"/>
      <c r="AU739" s="282"/>
      <c r="AV739" s="282"/>
      <c r="AW739" s="282"/>
      <c r="AX739" s="282"/>
      <c r="AY739" s="282"/>
      <c r="AZ739" s="282"/>
      <c r="BA739" s="282"/>
    </row>
    <row r="740" spans="1:53">
      <c r="A740" s="282"/>
      <c r="B740" s="282"/>
      <c r="C740" s="282"/>
      <c r="D740" s="282"/>
      <c r="E740" s="282"/>
      <c r="F740" s="282"/>
      <c r="G740" s="282"/>
      <c r="H740" s="282"/>
      <c r="I740" s="282"/>
      <c r="J740" s="282"/>
      <c r="K740" s="282"/>
      <c r="L740" s="282"/>
      <c r="M740" s="282"/>
      <c r="N740" s="282"/>
      <c r="O740" s="282"/>
      <c r="P740" s="282"/>
      <c r="Q740" s="282"/>
      <c r="R740" s="282"/>
      <c r="S740" s="282"/>
      <c r="T740" s="282"/>
      <c r="U740" s="282"/>
      <c r="V740" s="282"/>
      <c r="W740" s="282"/>
      <c r="X740" s="282"/>
      <c r="Y740" s="282"/>
      <c r="Z740" s="282"/>
      <c r="AA740" s="282"/>
      <c r="AB740" s="282"/>
      <c r="AC740" s="282"/>
      <c r="AD740" s="282"/>
      <c r="AE740" s="282"/>
      <c r="AF740" s="282"/>
      <c r="AG740" s="282"/>
      <c r="AH740" s="281"/>
      <c r="AI740" s="282"/>
      <c r="AJ740" s="282"/>
      <c r="AK740" s="282"/>
      <c r="AL740" s="282"/>
      <c r="AM740" s="282"/>
      <c r="AN740" s="282"/>
      <c r="AO740" s="282"/>
      <c r="AP740" s="282"/>
      <c r="AQ740" s="282"/>
      <c r="AR740" s="282"/>
      <c r="AS740" s="282"/>
      <c r="AT740" s="282"/>
      <c r="AU740" s="282"/>
      <c r="AV740" s="282"/>
      <c r="AW740" s="282"/>
      <c r="AX740" s="282"/>
      <c r="AY740" s="282"/>
      <c r="AZ740" s="282"/>
      <c r="BA740" s="282"/>
    </row>
    <row r="741" spans="1:53">
      <c r="A741" s="282"/>
      <c r="B741" s="282"/>
      <c r="C741" s="282"/>
      <c r="D741" s="282"/>
      <c r="E741" s="282"/>
      <c r="F741" s="282"/>
      <c r="G741" s="282"/>
      <c r="H741" s="282"/>
      <c r="I741" s="282"/>
      <c r="J741" s="282"/>
      <c r="K741" s="282"/>
      <c r="L741" s="282"/>
      <c r="M741" s="282"/>
      <c r="N741" s="282"/>
      <c r="O741" s="282"/>
      <c r="P741" s="282"/>
      <c r="Q741" s="282"/>
      <c r="R741" s="282"/>
      <c r="S741" s="282"/>
      <c r="T741" s="282"/>
      <c r="U741" s="282"/>
      <c r="V741" s="282"/>
      <c r="W741" s="282"/>
      <c r="X741" s="282"/>
      <c r="Y741" s="282"/>
      <c r="Z741" s="282"/>
      <c r="AA741" s="282"/>
      <c r="AB741" s="282"/>
      <c r="AC741" s="282"/>
      <c r="AD741" s="282"/>
      <c r="AE741" s="282"/>
      <c r="AF741" s="282"/>
      <c r="AG741" s="282"/>
      <c r="AH741" s="281"/>
      <c r="AI741" s="282"/>
      <c r="AJ741" s="282"/>
      <c r="AK741" s="282"/>
      <c r="AL741" s="282"/>
      <c r="AM741" s="282"/>
      <c r="AN741" s="282"/>
      <c r="AO741" s="282"/>
      <c r="AP741" s="282"/>
      <c r="AQ741" s="282"/>
      <c r="AR741" s="282"/>
      <c r="AS741" s="282"/>
      <c r="AT741" s="282"/>
      <c r="AU741" s="282"/>
      <c r="AV741" s="282"/>
      <c r="AW741" s="282"/>
      <c r="AX741" s="282"/>
      <c r="AY741" s="282"/>
      <c r="AZ741" s="282"/>
      <c r="BA741" s="282"/>
    </row>
    <row r="742" spans="1:53">
      <c r="A742" s="282"/>
      <c r="B742" s="282"/>
      <c r="C742" s="282"/>
      <c r="D742" s="282"/>
      <c r="E742" s="282"/>
      <c r="F742" s="282"/>
      <c r="G742" s="282"/>
      <c r="H742" s="282"/>
      <c r="I742" s="282"/>
      <c r="J742" s="282"/>
      <c r="K742" s="282"/>
      <c r="L742" s="282"/>
      <c r="M742" s="282"/>
      <c r="N742" s="282"/>
      <c r="O742" s="282"/>
      <c r="P742" s="282"/>
      <c r="Q742" s="282"/>
      <c r="R742" s="282"/>
      <c r="S742" s="282"/>
      <c r="T742" s="282"/>
      <c r="U742" s="282"/>
      <c r="V742" s="282"/>
      <c r="W742" s="282"/>
      <c r="X742" s="282"/>
      <c r="Y742" s="282"/>
      <c r="Z742" s="282"/>
      <c r="AA742" s="282"/>
      <c r="AB742" s="282"/>
      <c r="AC742" s="282"/>
      <c r="AD742" s="282"/>
      <c r="AE742" s="282"/>
      <c r="AF742" s="282"/>
      <c r="AG742" s="282"/>
      <c r="AH742" s="281"/>
      <c r="AI742" s="282"/>
      <c r="AJ742" s="282"/>
      <c r="AK742" s="282"/>
      <c r="AL742" s="282"/>
      <c r="AM742" s="282"/>
      <c r="AN742" s="282"/>
      <c r="AO742" s="282"/>
      <c r="AP742" s="282"/>
      <c r="AQ742" s="282"/>
      <c r="AR742" s="282"/>
      <c r="AS742" s="282"/>
      <c r="AT742" s="282"/>
      <c r="AU742" s="282"/>
      <c r="AV742" s="282"/>
      <c r="AW742" s="282"/>
      <c r="AX742" s="282"/>
      <c r="AY742" s="282"/>
      <c r="AZ742" s="282"/>
      <c r="BA742" s="282"/>
    </row>
    <row r="743" spans="1:53">
      <c r="A743" s="282"/>
      <c r="B743" s="282"/>
      <c r="C743" s="282"/>
      <c r="D743" s="282"/>
      <c r="E743" s="282"/>
      <c r="F743" s="282"/>
      <c r="G743" s="282"/>
      <c r="H743" s="282"/>
      <c r="I743" s="282"/>
      <c r="J743" s="282"/>
      <c r="K743" s="282"/>
      <c r="L743" s="282"/>
      <c r="M743" s="282"/>
      <c r="N743" s="282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  <c r="AC743" s="282"/>
      <c r="AD743" s="282"/>
      <c r="AE743" s="282"/>
      <c r="AF743" s="282"/>
      <c r="AG743" s="282"/>
      <c r="AH743" s="281"/>
      <c r="AI743" s="282"/>
      <c r="AJ743" s="282"/>
      <c r="AK743" s="282"/>
      <c r="AL743" s="282"/>
      <c r="AM743" s="282"/>
      <c r="AN743" s="282"/>
      <c r="AO743" s="282"/>
      <c r="AP743" s="282"/>
      <c r="AQ743" s="282"/>
      <c r="AR743" s="282"/>
      <c r="AS743" s="282"/>
      <c r="AT743" s="282"/>
      <c r="AU743" s="282"/>
      <c r="AV743" s="282"/>
      <c r="AW743" s="282"/>
      <c r="AX743" s="282"/>
      <c r="AY743" s="282"/>
      <c r="AZ743" s="282"/>
      <c r="BA743" s="282"/>
    </row>
    <row r="744" spans="1:53">
      <c r="A744" s="282"/>
      <c r="B744" s="282"/>
      <c r="C744" s="282"/>
      <c r="D744" s="282"/>
      <c r="E744" s="282"/>
      <c r="F744" s="282"/>
      <c r="G744" s="282"/>
      <c r="H744" s="282"/>
      <c r="I744" s="282"/>
      <c r="J744" s="282"/>
      <c r="K744" s="282"/>
      <c r="L744" s="282"/>
      <c r="M744" s="282"/>
      <c r="N744" s="282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  <c r="AC744" s="282"/>
      <c r="AD744" s="282"/>
      <c r="AE744" s="282"/>
      <c r="AF744" s="282"/>
      <c r="AG744" s="282"/>
      <c r="AH744" s="281"/>
      <c r="AI744" s="282"/>
      <c r="AJ744" s="282"/>
      <c r="AK744" s="282"/>
      <c r="AL744" s="282"/>
      <c r="AM744" s="282"/>
      <c r="AN744" s="282"/>
      <c r="AO744" s="282"/>
      <c r="AP744" s="282"/>
      <c r="AQ744" s="282"/>
      <c r="AR744" s="282"/>
      <c r="AS744" s="282"/>
      <c r="AT744" s="282"/>
      <c r="AU744" s="282"/>
      <c r="AV744" s="282"/>
      <c r="AW744" s="282"/>
      <c r="AX744" s="282"/>
      <c r="AY744" s="282"/>
      <c r="AZ744" s="282"/>
      <c r="BA744" s="282"/>
    </row>
    <row r="745" spans="1:53">
      <c r="A745" s="282"/>
      <c r="B745" s="282"/>
      <c r="C745" s="282"/>
      <c r="D745" s="282"/>
      <c r="E745" s="282"/>
      <c r="F745" s="282"/>
      <c r="G745" s="282"/>
      <c r="H745" s="282"/>
      <c r="I745" s="282"/>
      <c r="J745" s="282"/>
      <c r="K745" s="282"/>
      <c r="L745" s="282"/>
      <c r="M745" s="282"/>
      <c r="N745" s="282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  <c r="AC745" s="282"/>
      <c r="AD745" s="282"/>
      <c r="AE745" s="282"/>
      <c r="AF745" s="282"/>
      <c r="AG745" s="282"/>
      <c r="AH745" s="281"/>
      <c r="AI745" s="282"/>
      <c r="AJ745" s="282"/>
      <c r="AK745" s="282"/>
      <c r="AL745" s="282"/>
      <c r="AM745" s="282"/>
      <c r="AN745" s="282"/>
      <c r="AO745" s="282"/>
      <c r="AP745" s="282"/>
      <c r="AQ745" s="282"/>
      <c r="AR745" s="282"/>
      <c r="AS745" s="282"/>
      <c r="AT745" s="282"/>
      <c r="AU745" s="282"/>
      <c r="AV745" s="282"/>
      <c r="AW745" s="282"/>
      <c r="AX745" s="282"/>
      <c r="AY745" s="282"/>
      <c r="AZ745" s="282"/>
      <c r="BA745" s="282"/>
    </row>
    <row r="746" spans="1:53">
      <c r="A746" s="282"/>
      <c r="B746" s="282"/>
      <c r="C746" s="282"/>
      <c r="D746" s="282"/>
      <c r="E746" s="282"/>
      <c r="F746" s="282"/>
      <c r="G746" s="282"/>
      <c r="H746" s="282"/>
      <c r="I746" s="282"/>
      <c r="J746" s="282"/>
      <c r="K746" s="282"/>
      <c r="L746" s="282"/>
      <c r="M746" s="282"/>
      <c r="N746" s="282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  <c r="AC746" s="282"/>
      <c r="AD746" s="282"/>
      <c r="AE746" s="282"/>
      <c r="AF746" s="282"/>
      <c r="AG746" s="282"/>
      <c r="AH746" s="281"/>
      <c r="AI746" s="282"/>
      <c r="AJ746" s="282"/>
      <c r="AK746" s="282"/>
      <c r="AL746" s="282"/>
      <c r="AM746" s="282"/>
      <c r="AN746" s="282"/>
      <c r="AO746" s="282"/>
      <c r="AP746" s="282"/>
      <c r="AQ746" s="282"/>
      <c r="AR746" s="282"/>
      <c r="AS746" s="282"/>
      <c r="AT746" s="282"/>
      <c r="AU746" s="282"/>
      <c r="AV746" s="282"/>
      <c r="AW746" s="282"/>
      <c r="AX746" s="282"/>
      <c r="AY746" s="282"/>
      <c r="AZ746" s="282"/>
      <c r="BA746" s="282"/>
    </row>
    <row r="747" spans="1:53">
      <c r="A747" s="282"/>
      <c r="B747" s="282"/>
      <c r="C747" s="282"/>
      <c r="D747" s="282"/>
      <c r="E747" s="282"/>
      <c r="F747" s="282"/>
      <c r="G747" s="282"/>
      <c r="H747" s="282"/>
      <c r="I747" s="282"/>
      <c r="J747" s="282"/>
      <c r="K747" s="282"/>
      <c r="L747" s="282"/>
      <c r="M747" s="282"/>
      <c r="N747" s="282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  <c r="AC747" s="282"/>
      <c r="AD747" s="282"/>
      <c r="AE747" s="282"/>
      <c r="AF747" s="282"/>
      <c r="AG747" s="282"/>
      <c r="AH747" s="281"/>
      <c r="AI747" s="282"/>
      <c r="AJ747" s="282"/>
      <c r="AK747" s="282"/>
      <c r="AL747" s="282"/>
      <c r="AM747" s="282"/>
      <c r="AN747" s="282"/>
      <c r="AO747" s="282"/>
      <c r="AP747" s="282"/>
      <c r="AQ747" s="282"/>
      <c r="AR747" s="282"/>
      <c r="AS747" s="282"/>
      <c r="AT747" s="282"/>
      <c r="AU747" s="282"/>
      <c r="AV747" s="282"/>
      <c r="AW747" s="282"/>
      <c r="AX747" s="282"/>
      <c r="AY747" s="282"/>
      <c r="AZ747" s="282"/>
      <c r="BA747" s="282"/>
    </row>
    <row r="748" spans="1:53">
      <c r="A748" s="282"/>
      <c r="B748" s="282"/>
      <c r="C748" s="282"/>
      <c r="D748" s="282"/>
      <c r="E748" s="282"/>
      <c r="F748" s="282"/>
      <c r="G748" s="282"/>
      <c r="H748" s="282"/>
      <c r="I748" s="282"/>
      <c r="J748" s="282"/>
      <c r="K748" s="282"/>
      <c r="L748" s="282"/>
      <c r="M748" s="282"/>
      <c r="N748" s="282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  <c r="AC748" s="282"/>
      <c r="AD748" s="282"/>
      <c r="AE748" s="282"/>
      <c r="AF748" s="282"/>
      <c r="AG748" s="282"/>
      <c r="AH748" s="281"/>
      <c r="AI748" s="282"/>
      <c r="AJ748" s="282"/>
      <c r="AK748" s="282"/>
      <c r="AL748" s="282"/>
      <c r="AM748" s="282"/>
      <c r="AN748" s="282"/>
      <c r="AO748" s="282"/>
      <c r="AP748" s="282"/>
      <c r="AQ748" s="282"/>
      <c r="AR748" s="282"/>
      <c r="AS748" s="282"/>
      <c r="AT748" s="282"/>
      <c r="AU748" s="282"/>
      <c r="AV748" s="282"/>
      <c r="AW748" s="282"/>
      <c r="AX748" s="282"/>
      <c r="AY748" s="282"/>
      <c r="AZ748" s="282"/>
      <c r="BA748" s="282"/>
    </row>
    <row r="749" spans="1:53">
      <c r="A749" s="282"/>
      <c r="B749" s="282"/>
      <c r="C749" s="282"/>
      <c r="D749" s="282"/>
      <c r="E749" s="282"/>
      <c r="F749" s="282"/>
      <c r="G749" s="282"/>
      <c r="H749" s="282"/>
      <c r="I749" s="282"/>
      <c r="J749" s="282"/>
      <c r="K749" s="282"/>
      <c r="L749" s="282"/>
      <c r="M749" s="282"/>
      <c r="N749" s="282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  <c r="AC749" s="282"/>
      <c r="AD749" s="282"/>
      <c r="AE749" s="282"/>
      <c r="AF749" s="282"/>
      <c r="AG749" s="282"/>
      <c r="AH749" s="281"/>
      <c r="AI749" s="282"/>
      <c r="AJ749" s="282"/>
      <c r="AK749" s="282"/>
      <c r="AL749" s="282"/>
      <c r="AM749" s="282"/>
      <c r="AN749" s="282"/>
      <c r="AO749" s="282"/>
      <c r="AP749" s="282"/>
      <c r="AQ749" s="282"/>
      <c r="AR749" s="282"/>
      <c r="AS749" s="282"/>
      <c r="AT749" s="282"/>
      <c r="AU749" s="282"/>
      <c r="AV749" s="282"/>
      <c r="AW749" s="282"/>
      <c r="AX749" s="282"/>
      <c r="AY749" s="282"/>
      <c r="AZ749" s="282"/>
      <c r="BA749" s="282"/>
    </row>
    <row r="750" spans="1:53">
      <c r="A750" s="282"/>
      <c r="B750" s="282"/>
      <c r="C750" s="282"/>
      <c r="D750" s="282"/>
      <c r="E750" s="282"/>
      <c r="F750" s="282"/>
      <c r="G750" s="282"/>
      <c r="H750" s="282"/>
      <c r="I750" s="282"/>
      <c r="J750" s="282"/>
      <c r="K750" s="282"/>
      <c r="L750" s="282"/>
      <c r="M750" s="282"/>
      <c r="N750" s="282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  <c r="AC750" s="282"/>
      <c r="AD750" s="282"/>
      <c r="AE750" s="282"/>
      <c r="AF750" s="282"/>
      <c r="AG750" s="282"/>
      <c r="AH750" s="281"/>
      <c r="AI750" s="282"/>
      <c r="AJ750" s="282"/>
      <c r="AK750" s="282"/>
      <c r="AL750" s="282"/>
      <c r="AM750" s="282"/>
      <c r="AN750" s="282"/>
      <c r="AO750" s="282"/>
      <c r="AP750" s="282"/>
      <c r="AQ750" s="282"/>
      <c r="AR750" s="282"/>
      <c r="AS750" s="282"/>
      <c r="AT750" s="282"/>
      <c r="AU750" s="282"/>
      <c r="AV750" s="282"/>
      <c r="AW750" s="282"/>
      <c r="AX750" s="282"/>
      <c r="AY750" s="282"/>
      <c r="AZ750" s="282"/>
      <c r="BA750" s="282"/>
    </row>
    <row r="751" spans="1:53">
      <c r="A751" s="282"/>
      <c r="B751" s="282"/>
      <c r="C751" s="282"/>
      <c r="D751" s="282"/>
      <c r="E751" s="282"/>
      <c r="F751" s="282"/>
      <c r="G751" s="282"/>
      <c r="H751" s="282"/>
      <c r="I751" s="282"/>
      <c r="J751" s="282"/>
      <c r="K751" s="282"/>
      <c r="L751" s="282"/>
      <c r="M751" s="282"/>
      <c r="N751" s="282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  <c r="AC751" s="282"/>
      <c r="AD751" s="282"/>
      <c r="AE751" s="282"/>
      <c r="AF751" s="282"/>
      <c r="AG751" s="282"/>
      <c r="AH751" s="281"/>
      <c r="AI751" s="282"/>
      <c r="AJ751" s="282"/>
      <c r="AK751" s="282"/>
      <c r="AL751" s="282"/>
      <c r="AM751" s="282"/>
      <c r="AN751" s="282"/>
      <c r="AO751" s="282"/>
      <c r="AP751" s="282"/>
      <c r="AQ751" s="282"/>
      <c r="AR751" s="282"/>
      <c r="AS751" s="282"/>
      <c r="AT751" s="282"/>
      <c r="AU751" s="282"/>
      <c r="AV751" s="282"/>
      <c r="AW751" s="282"/>
      <c r="AX751" s="282"/>
      <c r="AY751" s="282"/>
      <c r="AZ751" s="282"/>
      <c r="BA751" s="282"/>
    </row>
    <row r="752" spans="1:53">
      <c r="A752" s="282"/>
      <c r="B752" s="282"/>
      <c r="C752" s="282"/>
      <c r="D752" s="282"/>
      <c r="E752" s="282"/>
      <c r="F752" s="282"/>
      <c r="G752" s="282"/>
      <c r="H752" s="282"/>
      <c r="I752" s="282"/>
      <c r="J752" s="282"/>
      <c r="K752" s="282"/>
      <c r="L752" s="282"/>
      <c r="M752" s="282"/>
      <c r="N752" s="282"/>
      <c r="O752" s="282"/>
      <c r="P752" s="282"/>
      <c r="Q752" s="282"/>
      <c r="R752" s="282"/>
      <c r="S752" s="282"/>
      <c r="T752" s="282"/>
      <c r="U752" s="282"/>
      <c r="V752" s="282"/>
      <c r="W752" s="282"/>
      <c r="X752" s="282"/>
      <c r="Y752" s="282"/>
      <c r="Z752" s="282"/>
      <c r="AA752" s="282"/>
      <c r="AB752" s="282"/>
      <c r="AC752" s="282"/>
      <c r="AD752" s="282"/>
      <c r="AE752" s="282"/>
      <c r="AF752" s="282"/>
      <c r="AG752" s="282"/>
      <c r="AH752" s="281"/>
      <c r="AI752" s="282"/>
      <c r="AJ752" s="282"/>
      <c r="AK752" s="282"/>
      <c r="AL752" s="282"/>
      <c r="AM752" s="282"/>
      <c r="AN752" s="282"/>
      <c r="AO752" s="282"/>
      <c r="AP752" s="282"/>
      <c r="AQ752" s="282"/>
      <c r="AR752" s="282"/>
      <c r="AS752" s="282"/>
      <c r="AT752" s="282"/>
      <c r="AU752" s="282"/>
      <c r="AV752" s="282"/>
      <c r="AW752" s="282"/>
      <c r="AX752" s="282"/>
      <c r="AY752" s="282"/>
      <c r="AZ752" s="282"/>
      <c r="BA752" s="282"/>
    </row>
    <row r="753" spans="1:53">
      <c r="A753" s="282"/>
      <c r="B753" s="282"/>
      <c r="C753" s="282"/>
      <c r="D753" s="282"/>
      <c r="E753" s="282"/>
      <c r="F753" s="282"/>
      <c r="G753" s="282"/>
      <c r="H753" s="282"/>
      <c r="I753" s="282"/>
      <c r="J753" s="282"/>
      <c r="K753" s="282"/>
      <c r="L753" s="282"/>
      <c r="M753" s="282"/>
      <c r="N753" s="282"/>
      <c r="O753" s="282"/>
      <c r="P753" s="282"/>
      <c r="Q753" s="282"/>
      <c r="R753" s="282"/>
      <c r="S753" s="282"/>
      <c r="T753" s="282"/>
      <c r="U753" s="282"/>
      <c r="V753" s="282"/>
      <c r="W753" s="282"/>
      <c r="X753" s="282"/>
      <c r="Y753" s="282"/>
      <c r="Z753" s="282"/>
      <c r="AA753" s="282"/>
      <c r="AB753" s="282"/>
      <c r="AC753" s="282"/>
      <c r="AD753" s="282"/>
      <c r="AE753" s="282"/>
      <c r="AF753" s="282"/>
      <c r="AG753" s="282"/>
      <c r="AH753" s="281"/>
      <c r="AI753" s="282"/>
      <c r="AJ753" s="282"/>
      <c r="AK753" s="282"/>
      <c r="AL753" s="282"/>
      <c r="AM753" s="282"/>
      <c r="AN753" s="282"/>
      <c r="AO753" s="282"/>
      <c r="AP753" s="282"/>
      <c r="AQ753" s="282"/>
      <c r="AR753" s="282"/>
      <c r="AS753" s="282"/>
      <c r="AT753" s="282"/>
      <c r="AU753" s="282"/>
      <c r="AV753" s="282"/>
      <c r="AW753" s="282"/>
      <c r="AX753" s="282"/>
      <c r="AY753" s="282"/>
      <c r="AZ753" s="282"/>
      <c r="BA753" s="282"/>
    </row>
    <row r="754" spans="1:53">
      <c r="A754" s="282"/>
      <c r="B754" s="282"/>
      <c r="C754" s="282"/>
      <c r="D754" s="282"/>
      <c r="E754" s="282"/>
      <c r="F754" s="282"/>
      <c r="G754" s="282"/>
      <c r="H754" s="282"/>
      <c r="I754" s="282"/>
      <c r="J754" s="282"/>
      <c r="K754" s="282"/>
      <c r="L754" s="282"/>
      <c r="M754" s="282"/>
      <c r="N754" s="282"/>
      <c r="O754" s="282"/>
      <c r="P754" s="282"/>
      <c r="Q754" s="282"/>
      <c r="R754" s="282"/>
      <c r="S754" s="282"/>
      <c r="T754" s="282"/>
      <c r="U754" s="282"/>
      <c r="V754" s="282"/>
      <c r="W754" s="282"/>
      <c r="X754" s="282"/>
      <c r="Y754" s="282"/>
      <c r="Z754" s="282"/>
      <c r="AA754" s="282"/>
      <c r="AB754" s="282"/>
      <c r="AC754" s="282"/>
      <c r="AD754" s="282"/>
      <c r="AE754" s="282"/>
      <c r="AF754" s="282"/>
      <c r="AG754" s="282"/>
      <c r="AH754" s="281"/>
      <c r="AI754" s="282"/>
      <c r="AJ754" s="282"/>
      <c r="AK754" s="282"/>
      <c r="AL754" s="282"/>
      <c r="AM754" s="282"/>
      <c r="AN754" s="282"/>
      <c r="AO754" s="282"/>
      <c r="AP754" s="282"/>
      <c r="AQ754" s="282"/>
      <c r="AR754" s="282"/>
      <c r="AS754" s="282"/>
      <c r="AT754" s="282"/>
      <c r="AU754" s="282"/>
      <c r="AV754" s="282"/>
      <c r="AW754" s="282"/>
      <c r="AX754" s="282"/>
      <c r="AY754" s="282"/>
      <c r="AZ754" s="282"/>
      <c r="BA754" s="282"/>
    </row>
    <row r="755" spans="1:53">
      <c r="A755" s="282"/>
      <c r="B755" s="282"/>
      <c r="C755" s="282"/>
      <c r="D755" s="282"/>
      <c r="E755" s="282"/>
      <c r="F755" s="282"/>
      <c r="G755" s="282"/>
      <c r="H755" s="282"/>
      <c r="I755" s="282"/>
      <c r="J755" s="282"/>
      <c r="K755" s="282"/>
      <c r="L755" s="282"/>
      <c r="M755" s="282"/>
      <c r="N755" s="282"/>
      <c r="O755" s="282"/>
      <c r="P755" s="282"/>
      <c r="Q755" s="282"/>
      <c r="R755" s="282"/>
      <c r="S755" s="282"/>
      <c r="T755" s="282"/>
      <c r="U755" s="282"/>
      <c r="V755" s="282"/>
      <c r="W755" s="282"/>
      <c r="X755" s="282"/>
      <c r="Y755" s="282"/>
      <c r="Z755" s="282"/>
      <c r="AA755" s="282"/>
      <c r="AB755" s="282"/>
      <c r="AC755" s="282"/>
      <c r="AD755" s="282"/>
      <c r="AE755" s="282"/>
      <c r="AF755" s="282"/>
      <c r="AG755" s="282"/>
      <c r="AH755" s="281"/>
      <c r="AI755" s="282"/>
      <c r="AJ755" s="282"/>
      <c r="AK755" s="282"/>
      <c r="AL755" s="282"/>
      <c r="AM755" s="282"/>
      <c r="AN755" s="282"/>
      <c r="AO755" s="282"/>
      <c r="AP755" s="282"/>
      <c r="AQ755" s="282"/>
      <c r="AR755" s="282"/>
      <c r="AS755" s="282"/>
      <c r="AT755" s="282"/>
      <c r="AU755" s="282"/>
      <c r="AV755" s="282"/>
      <c r="AW755" s="282"/>
      <c r="AX755" s="282"/>
      <c r="AY755" s="282"/>
      <c r="AZ755" s="282"/>
      <c r="BA755" s="282"/>
    </row>
    <row r="756" spans="1:53">
      <c r="A756" s="282"/>
      <c r="B756" s="282"/>
      <c r="C756" s="282"/>
      <c r="D756" s="282"/>
      <c r="E756" s="282"/>
      <c r="F756" s="282"/>
      <c r="G756" s="282"/>
      <c r="H756" s="282"/>
      <c r="I756" s="282"/>
      <c r="J756" s="282"/>
      <c r="K756" s="282"/>
      <c r="L756" s="282"/>
      <c r="M756" s="282"/>
      <c r="N756" s="282"/>
      <c r="O756" s="282"/>
      <c r="P756" s="282"/>
      <c r="Q756" s="282"/>
      <c r="R756" s="282"/>
      <c r="S756" s="282"/>
      <c r="T756" s="282"/>
      <c r="U756" s="282"/>
      <c r="V756" s="282"/>
      <c r="W756" s="282"/>
      <c r="X756" s="282"/>
      <c r="Y756" s="282"/>
      <c r="Z756" s="282"/>
      <c r="AA756" s="282"/>
      <c r="AB756" s="282"/>
      <c r="AC756" s="282"/>
      <c r="AD756" s="282"/>
      <c r="AE756" s="282"/>
      <c r="AF756" s="282"/>
      <c r="AG756" s="282"/>
      <c r="AH756" s="281"/>
      <c r="AI756" s="282"/>
      <c r="AJ756" s="282"/>
      <c r="AK756" s="282"/>
      <c r="AL756" s="282"/>
      <c r="AM756" s="282"/>
      <c r="AN756" s="282"/>
      <c r="AO756" s="282"/>
      <c r="AP756" s="282"/>
      <c r="AQ756" s="282"/>
      <c r="AR756" s="282"/>
      <c r="AS756" s="282"/>
      <c r="AT756" s="282"/>
      <c r="AU756" s="282"/>
      <c r="AV756" s="282"/>
      <c r="AW756" s="282"/>
      <c r="AX756" s="282"/>
      <c r="AY756" s="282"/>
      <c r="AZ756" s="282"/>
      <c r="BA756" s="282"/>
    </row>
    <row r="757" spans="1:53">
      <c r="A757" s="282"/>
      <c r="B757" s="282"/>
      <c r="C757" s="282"/>
      <c r="D757" s="282"/>
      <c r="E757" s="282"/>
      <c r="F757" s="282"/>
      <c r="G757" s="282"/>
      <c r="H757" s="282"/>
      <c r="I757" s="282"/>
      <c r="J757" s="282"/>
      <c r="K757" s="282"/>
      <c r="L757" s="282"/>
      <c r="M757" s="282"/>
      <c r="N757" s="282"/>
      <c r="O757" s="282"/>
      <c r="P757" s="282"/>
      <c r="Q757" s="282"/>
      <c r="R757" s="282"/>
      <c r="S757" s="282"/>
      <c r="T757" s="282"/>
      <c r="U757" s="282"/>
      <c r="V757" s="282"/>
      <c r="W757" s="282"/>
      <c r="X757" s="282"/>
      <c r="Y757" s="282"/>
      <c r="Z757" s="282"/>
      <c r="AA757" s="282"/>
      <c r="AB757" s="282"/>
      <c r="AC757" s="282"/>
      <c r="AD757" s="282"/>
      <c r="AE757" s="282"/>
      <c r="AF757" s="282"/>
      <c r="AG757" s="282"/>
      <c r="AH757" s="281"/>
      <c r="AI757" s="282"/>
      <c r="AJ757" s="282"/>
      <c r="AK757" s="282"/>
      <c r="AL757" s="282"/>
      <c r="AM757" s="282"/>
      <c r="AN757" s="282"/>
      <c r="AO757" s="282"/>
      <c r="AP757" s="282"/>
      <c r="AQ757" s="282"/>
      <c r="AR757" s="282"/>
      <c r="AS757" s="282"/>
      <c r="AT757" s="282"/>
      <c r="AU757" s="282"/>
      <c r="AV757" s="282"/>
      <c r="AW757" s="282"/>
      <c r="AX757" s="282"/>
      <c r="AY757" s="282"/>
      <c r="AZ757" s="282"/>
      <c r="BA757" s="282"/>
    </row>
    <row r="758" spans="1:53">
      <c r="A758" s="282"/>
      <c r="B758" s="282"/>
      <c r="C758" s="282"/>
      <c r="D758" s="282"/>
      <c r="E758" s="282"/>
      <c r="F758" s="282"/>
      <c r="G758" s="282"/>
      <c r="H758" s="282"/>
      <c r="I758" s="282"/>
      <c r="J758" s="282"/>
      <c r="K758" s="282"/>
      <c r="L758" s="282"/>
      <c r="M758" s="282"/>
      <c r="N758" s="282"/>
      <c r="O758" s="282"/>
      <c r="P758" s="282"/>
      <c r="Q758" s="282"/>
      <c r="R758" s="282"/>
      <c r="S758" s="282"/>
      <c r="T758" s="282"/>
      <c r="U758" s="282"/>
      <c r="V758" s="282"/>
      <c r="W758" s="282"/>
      <c r="X758" s="282"/>
      <c r="Y758" s="282"/>
      <c r="Z758" s="282"/>
      <c r="AA758" s="282"/>
      <c r="AB758" s="282"/>
      <c r="AC758" s="282"/>
      <c r="AD758" s="282"/>
      <c r="AE758" s="282"/>
      <c r="AF758" s="282"/>
      <c r="AG758" s="282"/>
      <c r="AH758" s="281"/>
      <c r="AI758" s="282"/>
      <c r="AJ758" s="282"/>
      <c r="AK758" s="282"/>
      <c r="AL758" s="282"/>
      <c r="AM758" s="282"/>
      <c r="AN758" s="282"/>
      <c r="AO758" s="282"/>
      <c r="AP758" s="282"/>
      <c r="AQ758" s="282"/>
      <c r="AR758" s="282"/>
      <c r="AS758" s="282"/>
      <c r="AT758" s="282"/>
      <c r="AU758" s="282"/>
      <c r="AV758" s="282"/>
      <c r="AW758" s="282"/>
      <c r="AX758" s="282"/>
      <c r="AY758" s="282"/>
      <c r="AZ758" s="282"/>
      <c r="BA758" s="282"/>
    </row>
    <row r="759" spans="1:53">
      <c r="A759" s="282"/>
      <c r="B759" s="282"/>
      <c r="C759" s="282"/>
      <c r="D759" s="282"/>
      <c r="E759" s="282"/>
      <c r="F759" s="282"/>
      <c r="G759" s="282"/>
      <c r="H759" s="282"/>
      <c r="I759" s="282"/>
      <c r="J759" s="282"/>
      <c r="K759" s="282"/>
      <c r="L759" s="282"/>
      <c r="M759" s="282"/>
      <c r="N759" s="282"/>
      <c r="O759" s="282"/>
      <c r="P759" s="282"/>
      <c r="Q759" s="282"/>
      <c r="R759" s="282"/>
      <c r="S759" s="282"/>
      <c r="T759" s="282"/>
      <c r="U759" s="282"/>
      <c r="V759" s="282"/>
      <c r="W759" s="282"/>
      <c r="X759" s="282"/>
      <c r="Y759" s="282"/>
      <c r="Z759" s="282"/>
      <c r="AA759" s="282"/>
      <c r="AB759" s="282"/>
      <c r="AC759" s="282"/>
      <c r="AD759" s="282"/>
      <c r="AE759" s="282"/>
      <c r="AF759" s="282"/>
      <c r="AG759" s="282"/>
      <c r="AH759" s="281"/>
      <c r="AI759" s="282"/>
      <c r="AJ759" s="282"/>
      <c r="AK759" s="282"/>
      <c r="AL759" s="282"/>
      <c r="AM759" s="282"/>
      <c r="AN759" s="282"/>
      <c r="AO759" s="282"/>
      <c r="AP759" s="282"/>
      <c r="AQ759" s="282"/>
      <c r="AR759" s="282"/>
      <c r="AS759" s="282"/>
      <c r="AT759" s="282"/>
      <c r="AU759" s="282"/>
      <c r="AV759" s="282"/>
      <c r="AW759" s="282"/>
      <c r="AX759" s="282"/>
      <c r="AY759" s="282"/>
      <c r="AZ759" s="282"/>
      <c r="BA759" s="282"/>
    </row>
    <row r="760" spans="1:53">
      <c r="A760" s="282"/>
      <c r="B760" s="282"/>
      <c r="C760" s="282"/>
      <c r="D760" s="282"/>
      <c r="E760" s="282"/>
      <c r="F760" s="282"/>
      <c r="G760" s="282"/>
      <c r="H760" s="282"/>
      <c r="I760" s="282"/>
      <c r="J760" s="282"/>
      <c r="K760" s="282"/>
      <c r="L760" s="282"/>
      <c r="M760" s="282"/>
      <c r="N760" s="282"/>
      <c r="O760" s="282"/>
      <c r="P760" s="282"/>
      <c r="Q760" s="282"/>
      <c r="R760" s="282"/>
      <c r="S760" s="282"/>
      <c r="T760" s="282"/>
      <c r="U760" s="282"/>
      <c r="V760" s="282"/>
      <c r="W760" s="282"/>
      <c r="X760" s="282"/>
      <c r="Y760" s="282"/>
      <c r="Z760" s="282"/>
      <c r="AA760" s="282"/>
      <c r="AB760" s="282"/>
      <c r="AC760" s="282"/>
      <c r="AD760" s="282"/>
      <c r="AE760" s="282"/>
      <c r="AF760" s="282"/>
      <c r="AG760" s="282"/>
      <c r="AH760" s="281"/>
      <c r="AI760" s="282"/>
      <c r="AJ760" s="282"/>
      <c r="AK760" s="282"/>
      <c r="AL760" s="282"/>
      <c r="AM760" s="282"/>
      <c r="AN760" s="282"/>
      <c r="AO760" s="282"/>
      <c r="AP760" s="282"/>
      <c r="AQ760" s="282"/>
      <c r="AR760" s="282"/>
      <c r="AS760" s="282"/>
      <c r="AT760" s="282"/>
      <c r="AU760" s="282"/>
      <c r="AV760" s="282"/>
      <c r="AW760" s="282"/>
      <c r="AX760" s="282"/>
      <c r="AY760" s="282"/>
      <c r="AZ760" s="282"/>
      <c r="BA760" s="282"/>
    </row>
    <row r="761" spans="1:53">
      <c r="A761" s="282"/>
      <c r="B761" s="282"/>
      <c r="C761" s="282"/>
      <c r="D761" s="282"/>
      <c r="E761" s="282"/>
      <c r="F761" s="282"/>
      <c r="G761" s="282"/>
      <c r="H761" s="282"/>
      <c r="I761" s="282"/>
      <c r="J761" s="282"/>
      <c r="K761" s="282"/>
      <c r="L761" s="282"/>
      <c r="M761" s="282"/>
      <c r="N761" s="282"/>
      <c r="O761" s="282"/>
      <c r="P761" s="282"/>
      <c r="Q761" s="282"/>
      <c r="R761" s="282"/>
      <c r="S761" s="282"/>
      <c r="T761" s="282"/>
      <c r="U761" s="282"/>
      <c r="V761" s="282"/>
      <c r="W761" s="282"/>
      <c r="X761" s="282"/>
      <c r="Y761" s="282"/>
      <c r="Z761" s="282"/>
      <c r="AA761" s="282"/>
      <c r="AB761" s="282"/>
      <c r="AC761" s="282"/>
      <c r="AD761" s="282"/>
      <c r="AE761" s="282"/>
      <c r="AF761" s="282"/>
      <c r="AG761" s="282"/>
      <c r="AH761" s="281"/>
      <c r="AI761" s="282"/>
      <c r="AJ761" s="282"/>
      <c r="AK761" s="282"/>
      <c r="AL761" s="282"/>
      <c r="AM761" s="282"/>
      <c r="AN761" s="282"/>
      <c r="AO761" s="282"/>
      <c r="AP761" s="282"/>
      <c r="AQ761" s="282"/>
      <c r="AR761" s="282"/>
      <c r="AS761" s="282"/>
      <c r="AT761" s="282"/>
      <c r="AU761" s="282"/>
      <c r="AV761" s="282"/>
      <c r="AW761" s="282"/>
      <c r="AX761" s="282"/>
      <c r="AY761" s="282"/>
      <c r="AZ761" s="282"/>
      <c r="BA761" s="282"/>
    </row>
    <row r="762" spans="1:53">
      <c r="A762" s="282"/>
      <c r="B762" s="282"/>
      <c r="C762" s="282"/>
      <c r="D762" s="282"/>
      <c r="E762" s="282"/>
      <c r="F762" s="282"/>
      <c r="G762" s="282"/>
      <c r="H762" s="282"/>
      <c r="I762" s="282"/>
      <c r="J762" s="282"/>
      <c r="K762" s="282"/>
      <c r="L762" s="282"/>
      <c r="M762" s="282"/>
      <c r="N762" s="282"/>
      <c r="O762" s="282"/>
      <c r="P762" s="282"/>
      <c r="Q762" s="282"/>
      <c r="R762" s="282"/>
      <c r="S762" s="282"/>
      <c r="T762" s="282"/>
      <c r="U762" s="282"/>
      <c r="V762" s="282"/>
      <c r="W762" s="282"/>
      <c r="X762" s="282"/>
      <c r="Y762" s="282"/>
      <c r="Z762" s="282"/>
      <c r="AA762" s="282"/>
      <c r="AB762" s="282"/>
      <c r="AC762" s="282"/>
      <c r="AD762" s="282"/>
      <c r="AE762" s="282"/>
      <c r="AF762" s="282"/>
      <c r="AG762" s="282"/>
      <c r="AH762" s="281"/>
      <c r="AI762" s="282"/>
      <c r="AJ762" s="282"/>
      <c r="AK762" s="282"/>
      <c r="AL762" s="282"/>
      <c r="AM762" s="282"/>
      <c r="AN762" s="282"/>
      <c r="AO762" s="282"/>
      <c r="AP762" s="282"/>
      <c r="AQ762" s="282"/>
      <c r="AR762" s="282"/>
      <c r="AS762" s="282"/>
      <c r="AT762" s="282"/>
      <c r="AU762" s="282"/>
      <c r="AV762" s="282"/>
      <c r="AW762" s="282"/>
      <c r="AX762" s="282"/>
      <c r="AY762" s="282"/>
      <c r="AZ762" s="282"/>
      <c r="BA762" s="282"/>
    </row>
    <row r="763" spans="1:53">
      <c r="A763" s="282"/>
      <c r="B763" s="282"/>
      <c r="C763" s="282"/>
      <c r="D763" s="282"/>
      <c r="E763" s="282"/>
      <c r="F763" s="282"/>
      <c r="G763" s="282"/>
      <c r="H763" s="282"/>
      <c r="I763" s="282"/>
      <c r="J763" s="282"/>
      <c r="K763" s="282"/>
      <c r="L763" s="282"/>
      <c r="M763" s="282"/>
      <c r="N763" s="282"/>
      <c r="O763" s="282"/>
      <c r="P763" s="282"/>
      <c r="Q763" s="282"/>
      <c r="R763" s="282"/>
      <c r="S763" s="282"/>
      <c r="T763" s="282"/>
      <c r="U763" s="282"/>
      <c r="V763" s="282"/>
      <c r="W763" s="282"/>
      <c r="X763" s="282"/>
      <c r="Y763" s="282"/>
      <c r="Z763" s="282"/>
      <c r="AA763" s="282"/>
      <c r="AB763" s="282"/>
      <c r="AC763" s="282"/>
      <c r="AD763" s="282"/>
      <c r="AE763" s="282"/>
      <c r="AF763" s="282"/>
      <c r="AG763" s="282"/>
      <c r="AH763" s="281"/>
      <c r="AI763" s="282"/>
      <c r="AJ763" s="282"/>
      <c r="AK763" s="282"/>
      <c r="AL763" s="282"/>
      <c r="AM763" s="282"/>
      <c r="AN763" s="282"/>
      <c r="AO763" s="282"/>
      <c r="AP763" s="282"/>
      <c r="AQ763" s="282"/>
      <c r="AR763" s="282"/>
      <c r="AS763" s="282"/>
      <c r="AT763" s="282"/>
      <c r="AU763" s="282"/>
      <c r="AV763" s="282"/>
      <c r="AW763" s="282"/>
      <c r="AX763" s="282"/>
      <c r="AY763" s="282"/>
      <c r="AZ763" s="282"/>
      <c r="BA763" s="282"/>
    </row>
    <row r="764" spans="1:53">
      <c r="A764" s="282"/>
      <c r="B764" s="282"/>
      <c r="C764" s="282"/>
      <c r="D764" s="282"/>
      <c r="E764" s="282"/>
      <c r="F764" s="282"/>
      <c r="G764" s="282"/>
      <c r="H764" s="282"/>
      <c r="I764" s="282"/>
      <c r="J764" s="282"/>
      <c r="K764" s="282"/>
      <c r="L764" s="282"/>
      <c r="M764" s="282"/>
      <c r="N764" s="282"/>
      <c r="O764" s="282"/>
      <c r="P764" s="282"/>
      <c r="Q764" s="282"/>
      <c r="R764" s="282"/>
      <c r="S764" s="282"/>
      <c r="T764" s="282"/>
      <c r="U764" s="282"/>
      <c r="V764" s="282"/>
      <c r="W764" s="282"/>
      <c r="X764" s="282"/>
      <c r="Y764" s="282"/>
      <c r="Z764" s="282"/>
      <c r="AA764" s="282"/>
      <c r="AB764" s="282"/>
      <c r="AC764" s="282"/>
      <c r="AD764" s="282"/>
      <c r="AE764" s="282"/>
      <c r="AF764" s="282"/>
      <c r="AG764" s="282"/>
      <c r="AH764" s="281"/>
      <c r="AI764" s="282"/>
      <c r="AJ764" s="282"/>
      <c r="AK764" s="282"/>
      <c r="AL764" s="282"/>
      <c r="AM764" s="282"/>
      <c r="AN764" s="282"/>
      <c r="AO764" s="282"/>
      <c r="AP764" s="282"/>
      <c r="AQ764" s="282"/>
      <c r="AR764" s="282"/>
      <c r="AS764" s="282"/>
      <c r="AT764" s="282"/>
      <c r="AU764" s="282"/>
      <c r="AV764" s="282"/>
      <c r="AW764" s="282"/>
      <c r="AX764" s="282"/>
      <c r="AY764" s="282"/>
      <c r="AZ764" s="282"/>
      <c r="BA764" s="282"/>
    </row>
    <row r="765" spans="1:53">
      <c r="A765" s="282"/>
      <c r="B765" s="282"/>
      <c r="C765" s="282"/>
      <c r="D765" s="282"/>
      <c r="E765" s="282"/>
      <c r="F765" s="282"/>
      <c r="G765" s="282"/>
      <c r="H765" s="282"/>
      <c r="I765" s="282"/>
      <c r="J765" s="282"/>
      <c r="K765" s="282"/>
      <c r="L765" s="282"/>
      <c r="M765" s="282"/>
      <c r="N765" s="282"/>
      <c r="O765" s="282"/>
      <c r="P765" s="282"/>
      <c r="Q765" s="282"/>
      <c r="R765" s="282"/>
      <c r="S765" s="282"/>
      <c r="T765" s="282"/>
      <c r="U765" s="282"/>
      <c r="V765" s="282"/>
      <c r="W765" s="282"/>
      <c r="X765" s="282"/>
      <c r="Y765" s="282"/>
      <c r="Z765" s="282"/>
      <c r="AA765" s="282"/>
      <c r="AB765" s="282"/>
      <c r="AC765" s="282"/>
      <c r="AD765" s="282"/>
      <c r="AE765" s="282"/>
      <c r="AF765" s="282"/>
      <c r="AG765" s="282"/>
      <c r="AH765" s="281"/>
      <c r="AI765" s="282"/>
      <c r="AJ765" s="282"/>
      <c r="AK765" s="282"/>
      <c r="AL765" s="282"/>
      <c r="AM765" s="282"/>
      <c r="AN765" s="282"/>
      <c r="AO765" s="282"/>
      <c r="AP765" s="282"/>
      <c r="AQ765" s="282"/>
      <c r="AR765" s="282"/>
      <c r="AS765" s="282"/>
      <c r="AT765" s="282"/>
      <c r="AU765" s="282"/>
      <c r="AV765" s="282"/>
      <c r="AW765" s="282"/>
      <c r="AX765" s="282"/>
      <c r="AY765" s="282"/>
      <c r="AZ765" s="282"/>
      <c r="BA765" s="282"/>
    </row>
    <row r="766" spans="1:53">
      <c r="A766" s="282"/>
      <c r="B766" s="282"/>
      <c r="C766" s="282"/>
      <c r="D766" s="282"/>
      <c r="E766" s="282"/>
      <c r="F766" s="282"/>
      <c r="G766" s="282"/>
      <c r="H766" s="282"/>
      <c r="I766" s="282"/>
      <c r="J766" s="282"/>
      <c r="K766" s="282"/>
      <c r="L766" s="282"/>
      <c r="M766" s="282"/>
      <c r="N766" s="282"/>
      <c r="O766" s="282"/>
      <c r="P766" s="282"/>
      <c r="Q766" s="282"/>
      <c r="R766" s="282"/>
      <c r="S766" s="282"/>
      <c r="T766" s="282"/>
      <c r="U766" s="282"/>
      <c r="V766" s="282"/>
      <c r="W766" s="282"/>
      <c r="X766" s="282"/>
      <c r="Y766" s="282"/>
      <c r="Z766" s="282"/>
      <c r="AA766" s="282"/>
      <c r="AB766" s="282"/>
      <c r="AC766" s="282"/>
      <c r="AD766" s="282"/>
      <c r="AE766" s="282"/>
      <c r="AF766" s="282"/>
      <c r="AG766" s="282"/>
      <c r="AH766" s="281"/>
      <c r="AI766" s="282"/>
      <c r="AJ766" s="282"/>
      <c r="AK766" s="282"/>
      <c r="AL766" s="282"/>
      <c r="AM766" s="282"/>
      <c r="AN766" s="282"/>
      <c r="AO766" s="282"/>
      <c r="AP766" s="282"/>
      <c r="AQ766" s="282"/>
      <c r="AR766" s="282"/>
      <c r="AS766" s="282"/>
      <c r="AT766" s="282"/>
      <c r="AU766" s="282"/>
      <c r="AV766" s="282"/>
      <c r="AW766" s="282"/>
      <c r="AX766" s="282"/>
      <c r="AY766" s="282"/>
      <c r="AZ766" s="282"/>
      <c r="BA766" s="282"/>
    </row>
    <row r="767" spans="1:53">
      <c r="A767" s="282"/>
      <c r="B767" s="282"/>
      <c r="C767" s="282"/>
      <c r="D767" s="282"/>
      <c r="E767" s="282"/>
      <c r="F767" s="282"/>
      <c r="G767" s="282"/>
      <c r="H767" s="282"/>
      <c r="I767" s="282"/>
      <c r="J767" s="282"/>
      <c r="K767" s="282"/>
      <c r="L767" s="282"/>
      <c r="M767" s="282"/>
      <c r="N767" s="282"/>
      <c r="O767" s="282"/>
      <c r="P767" s="282"/>
      <c r="Q767" s="282"/>
      <c r="R767" s="282"/>
      <c r="S767" s="282"/>
      <c r="T767" s="282"/>
      <c r="U767" s="282"/>
      <c r="V767" s="282"/>
      <c r="W767" s="282"/>
      <c r="X767" s="282"/>
      <c r="Y767" s="282"/>
      <c r="Z767" s="282"/>
      <c r="AA767" s="282"/>
      <c r="AB767" s="282"/>
      <c r="AC767" s="282"/>
      <c r="AD767" s="282"/>
      <c r="AE767" s="282"/>
      <c r="AF767" s="282"/>
      <c r="AG767" s="282"/>
      <c r="AH767" s="281"/>
      <c r="AI767" s="282"/>
      <c r="AJ767" s="282"/>
      <c r="AK767" s="282"/>
      <c r="AL767" s="282"/>
      <c r="AM767" s="282"/>
      <c r="AN767" s="282"/>
      <c r="AO767" s="282"/>
      <c r="AP767" s="282"/>
      <c r="AQ767" s="282"/>
      <c r="AR767" s="282"/>
      <c r="AS767" s="282"/>
      <c r="AT767" s="282"/>
      <c r="AU767" s="282"/>
      <c r="AV767" s="282"/>
      <c r="AW767" s="282"/>
      <c r="AX767" s="282"/>
      <c r="AY767" s="282"/>
      <c r="AZ767" s="282"/>
      <c r="BA767" s="282"/>
    </row>
    <row r="768" spans="1:53">
      <c r="A768" s="282"/>
      <c r="B768" s="282"/>
      <c r="C768" s="282"/>
      <c r="D768" s="282"/>
      <c r="E768" s="282"/>
      <c r="F768" s="282"/>
      <c r="G768" s="282"/>
      <c r="H768" s="282"/>
      <c r="I768" s="282"/>
      <c r="J768" s="282"/>
      <c r="K768" s="282"/>
      <c r="L768" s="282"/>
      <c r="M768" s="282"/>
      <c r="N768" s="282"/>
      <c r="O768" s="282"/>
      <c r="P768" s="282"/>
      <c r="Q768" s="282"/>
      <c r="R768" s="282"/>
      <c r="S768" s="282"/>
      <c r="T768" s="282"/>
      <c r="U768" s="282"/>
      <c r="V768" s="282"/>
      <c r="W768" s="282"/>
      <c r="X768" s="282"/>
      <c r="Y768" s="282"/>
      <c r="Z768" s="282"/>
      <c r="AA768" s="282"/>
      <c r="AB768" s="282"/>
      <c r="AC768" s="282"/>
      <c r="AD768" s="282"/>
      <c r="AE768" s="282"/>
      <c r="AF768" s="282"/>
      <c r="AG768" s="282"/>
      <c r="AH768" s="281"/>
      <c r="AI768" s="282"/>
      <c r="AJ768" s="282"/>
      <c r="AK768" s="282"/>
      <c r="AL768" s="282"/>
      <c r="AM768" s="282"/>
      <c r="AN768" s="282"/>
      <c r="AO768" s="282"/>
      <c r="AP768" s="282"/>
      <c r="AQ768" s="282"/>
      <c r="AR768" s="282"/>
      <c r="AS768" s="282"/>
      <c r="AT768" s="282"/>
      <c r="AU768" s="282"/>
      <c r="AV768" s="282"/>
      <c r="AW768" s="282"/>
      <c r="AX768" s="282"/>
      <c r="AY768" s="282"/>
      <c r="AZ768" s="282"/>
      <c r="BA768" s="282"/>
    </row>
    <row r="769" spans="1:53">
      <c r="A769" s="282"/>
      <c r="B769" s="282"/>
      <c r="C769" s="282"/>
      <c r="D769" s="282"/>
      <c r="E769" s="282"/>
      <c r="F769" s="282"/>
      <c r="G769" s="282"/>
      <c r="H769" s="282"/>
      <c r="I769" s="282"/>
      <c r="J769" s="282"/>
      <c r="K769" s="282"/>
      <c r="L769" s="282"/>
      <c r="M769" s="282"/>
      <c r="N769" s="282"/>
      <c r="O769" s="282"/>
      <c r="P769" s="282"/>
      <c r="Q769" s="282"/>
      <c r="R769" s="282"/>
      <c r="S769" s="282"/>
      <c r="T769" s="282"/>
      <c r="U769" s="282"/>
      <c r="V769" s="282"/>
      <c r="W769" s="282"/>
      <c r="X769" s="282"/>
      <c r="Y769" s="282"/>
      <c r="Z769" s="282"/>
      <c r="AA769" s="282"/>
      <c r="AB769" s="282"/>
      <c r="AC769" s="282"/>
      <c r="AD769" s="282"/>
      <c r="AE769" s="282"/>
      <c r="AF769" s="282"/>
      <c r="AG769" s="282"/>
      <c r="AH769" s="281"/>
      <c r="AI769" s="282"/>
      <c r="AJ769" s="282"/>
      <c r="AK769" s="282"/>
      <c r="AL769" s="282"/>
      <c r="AM769" s="282"/>
      <c r="AN769" s="282"/>
      <c r="AO769" s="282"/>
      <c r="AP769" s="282"/>
      <c r="AQ769" s="282"/>
      <c r="AR769" s="282"/>
      <c r="AS769" s="282"/>
      <c r="AT769" s="282"/>
      <c r="AU769" s="282"/>
      <c r="AV769" s="282"/>
      <c r="AW769" s="282"/>
      <c r="AX769" s="282"/>
      <c r="AY769" s="282"/>
      <c r="AZ769" s="282"/>
      <c r="BA769" s="282"/>
    </row>
    <row r="770" spans="1:53">
      <c r="A770" s="282"/>
      <c r="B770" s="282"/>
      <c r="C770" s="282"/>
      <c r="D770" s="282"/>
      <c r="E770" s="282"/>
      <c r="F770" s="282"/>
      <c r="G770" s="282"/>
      <c r="H770" s="282"/>
      <c r="I770" s="282"/>
      <c r="J770" s="282"/>
      <c r="K770" s="282"/>
      <c r="L770" s="282"/>
      <c r="M770" s="282"/>
      <c r="N770" s="282"/>
      <c r="O770" s="282"/>
      <c r="P770" s="282"/>
      <c r="Q770" s="282"/>
      <c r="R770" s="282"/>
      <c r="S770" s="282"/>
      <c r="T770" s="282"/>
      <c r="U770" s="282"/>
      <c r="V770" s="282"/>
      <c r="W770" s="282"/>
      <c r="X770" s="282"/>
      <c r="Y770" s="282"/>
      <c r="Z770" s="282"/>
      <c r="AA770" s="282"/>
      <c r="AB770" s="282"/>
      <c r="AC770" s="282"/>
      <c r="AD770" s="282"/>
      <c r="AE770" s="282"/>
      <c r="AF770" s="282"/>
      <c r="AG770" s="282"/>
      <c r="AH770" s="281"/>
      <c r="AI770" s="282"/>
      <c r="AJ770" s="282"/>
      <c r="AK770" s="282"/>
      <c r="AL770" s="282"/>
      <c r="AM770" s="282"/>
      <c r="AN770" s="282"/>
      <c r="AO770" s="282"/>
      <c r="AP770" s="282"/>
      <c r="AQ770" s="282"/>
      <c r="AR770" s="282"/>
      <c r="AS770" s="282"/>
      <c r="AT770" s="282"/>
      <c r="AU770" s="282"/>
      <c r="AV770" s="282"/>
      <c r="AW770" s="282"/>
      <c r="AX770" s="282"/>
      <c r="AY770" s="282"/>
      <c r="AZ770" s="282"/>
      <c r="BA770" s="282"/>
    </row>
    <row r="771" spans="1:53">
      <c r="A771" s="282"/>
      <c r="B771" s="282"/>
      <c r="C771" s="282"/>
      <c r="D771" s="282"/>
      <c r="E771" s="282"/>
      <c r="F771" s="282"/>
      <c r="G771" s="282"/>
      <c r="H771" s="282"/>
      <c r="I771" s="282"/>
      <c r="J771" s="282"/>
      <c r="K771" s="282"/>
      <c r="L771" s="282"/>
      <c r="M771" s="282"/>
      <c r="N771" s="282"/>
      <c r="O771" s="282"/>
      <c r="P771" s="282"/>
      <c r="Q771" s="282"/>
      <c r="R771" s="282"/>
      <c r="S771" s="282"/>
      <c r="T771" s="282"/>
      <c r="U771" s="282"/>
      <c r="V771" s="282"/>
      <c r="W771" s="282"/>
      <c r="X771" s="282"/>
      <c r="Y771" s="282"/>
      <c r="Z771" s="282"/>
      <c r="AA771" s="282"/>
      <c r="AB771" s="282"/>
      <c r="AC771" s="282"/>
      <c r="AD771" s="282"/>
      <c r="AE771" s="282"/>
      <c r="AF771" s="282"/>
      <c r="AG771" s="282"/>
      <c r="AH771" s="281"/>
      <c r="AI771" s="282"/>
      <c r="AJ771" s="282"/>
      <c r="AK771" s="282"/>
      <c r="AL771" s="282"/>
      <c r="AM771" s="282"/>
      <c r="AN771" s="282"/>
      <c r="AO771" s="282"/>
      <c r="AP771" s="282"/>
      <c r="AQ771" s="282"/>
      <c r="AR771" s="282"/>
      <c r="AS771" s="282"/>
      <c r="AT771" s="282"/>
      <c r="AU771" s="282"/>
      <c r="AV771" s="282"/>
      <c r="AW771" s="282"/>
      <c r="AX771" s="282"/>
      <c r="AY771" s="282"/>
      <c r="AZ771" s="282"/>
      <c r="BA771" s="282"/>
    </row>
    <row r="772" spans="1:53">
      <c r="A772" s="282"/>
      <c r="B772" s="282"/>
      <c r="C772" s="282"/>
      <c r="D772" s="282"/>
      <c r="E772" s="282"/>
      <c r="F772" s="282"/>
      <c r="G772" s="282"/>
      <c r="H772" s="282"/>
      <c r="I772" s="282"/>
      <c r="J772" s="282"/>
      <c r="K772" s="282"/>
      <c r="L772" s="282"/>
      <c r="M772" s="282"/>
      <c r="N772" s="282"/>
      <c r="O772" s="282"/>
      <c r="P772" s="282"/>
      <c r="Q772" s="282"/>
      <c r="R772" s="282"/>
      <c r="S772" s="282"/>
      <c r="T772" s="282"/>
      <c r="U772" s="282"/>
      <c r="V772" s="282"/>
      <c r="W772" s="282"/>
      <c r="X772" s="282"/>
      <c r="Y772" s="282"/>
      <c r="Z772" s="282"/>
      <c r="AA772" s="282"/>
      <c r="AB772" s="282"/>
      <c r="AC772" s="282"/>
      <c r="AD772" s="282"/>
      <c r="AE772" s="282"/>
      <c r="AF772" s="282"/>
      <c r="AG772" s="282"/>
      <c r="AH772" s="281"/>
      <c r="AI772" s="282"/>
      <c r="AJ772" s="282"/>
      <c r="AK772" s="282"/>
      <c r="AL772" s="282"/>
      <c r="AM772" s="282"/>
      <c r="AN772" s="282"/>
      <c r="AO772" s="282"/>
      <c r="AP772" s="282"/>
      <c r="AQ772" s="282"/>
      <c r="AR772" s="282"/>
      <c r="AS772" s="282"/>
      <c r="AT772" s="282"/>
      <c r="AU772" s="282"/>
      <c r="AV772" s="282"/>
      <c r="AW772" s="282"/>
      <c r="AX772" s="282"/>
      <c r="AY772" s="282"/>
      <c r="AZ772" s="282"/>
      <c r="BA772" s="282"/>
    </row>
    <row r="773" spans="1:53">
      <c r="A773" s="282"/>
      <c r="B773" s="282"/>
      <c r="C773" s="282"/>
      <c r="D773" s="282"/>
      <c r="E773" s="282"/>
      <c r="F773" s="282"/>
      <c r="G773" s="282"/>
      <c r="H773" s="282"/>
      <c r="I773" s="282"/>
      <c r="J773" s="282"/>
      <c r="K773" s="282"/>
      <c r="L773" s="282"/>
      <c r="M773" s="282"/>
      <c r="N773" s="282"/>
      <c r="O773" s="282"/>
      <c r="P773" s="282"/>
      <c r="Q773" s="282"/>
      <c r="R773" s="282"/>
      <c r="S773" s="282"/>
      <c r="T773" s="282"/>
      <c r="U773" s="282"/>
      <c r="V773" s="282"/>
      <c r="W773" s="282"/>
      <c r="X773" s="282"/>
      <c r="Y773" s="282"/>
      <c r="Z773" s="282"/>
      <c r="AA773" s="282"/>
      <c r="AB773" s="282"/>
      <c r="AC773" s="282"/>
      <c r="AD773" s="282"/>
      <c r="AE773" s="282"/>
      <c r="AF773" s="282"/>
      <c r="AG773" s="282"/>
      <c r="AH773" s="281"/>
      <c r="AI773" s="282"/>
      <c r="AJ773" s="282"/>
      <c r="AK773" s="282"/>
      <c r="AL773" s="282"/>
      <c r="AM773" s="282"/>
      <c r="AN773" s="282"/>
      <c r="AO773" s="282"/>
      <c r="AP773" s="282"/>
      <c r="AQ773" s="282"/>
      <c r="AR773" s="282"/>
      <c r="AS773" s="282"/>
      <c r="AT773" s="282"/>
      <c r="AU773" s="282"/>
      <c r="AV773" s="282"/>
      <c r="AW773" s="282"/>
      <c r="AX773" s="282"/>
      <c r="AY773" s="282"/>
      <c r="AZ773" s="282"/>
      <c r="BA773" s="282"/>
    </row>
    <row r="774" spans="1:53">
      <c r="A774" s="282"/>
      <c r="B774" s="282"/>
      <c r="C774" s="282"/>
      <c r="D774" s="282"/>
      <c r="E774" s="282"/>
      <c r="F774" s="282"/>
      <c r="G774" s="282"/>
      <c r="H774" s="282"/>
      <c r="I774" s="282"/>
      <c r="J774" s="282"/>
      <c r="K774" s="282"/>
      <c r="L774" s="282"/>
      <c r="M774" s="282"/>
      <c r="N774" s="282"/>
      <c r="O774" s="282"/>
      <c r="P774" s="282"/>
      <c r="Q774" s="282"/>
      <c r="R774" s="282"/>
      <c r="S774" s="282"/>
      <c r="T774" s="282"/>
      <c r="U774" s="282"/>
      <c r="V774" s="282"/>
      <c r="W774" s="282"/>
      <c r="X774" s="282"/>
      <c r="Y774" s="282"/>
      <c r="Z774" s="282"/>
      <c r="AA774" s="282"/>
      <c r="AB774" s="282"/>
      <c r="AC774" s="282"/>
      <c r="AD774" s="282"/>
      <c r="AE774" s="282"/>
      <c r="AF774" s="282"/>
      <c r="AG774" s="282"/>
      <c r="AH774" s="281"/>
      <c r="AI774" s="282"/>
      <c r="AJ774" s="282"/>
      <c r="AK774" s="282"/>
      <c r="AL774" s="282"/>
      <c r="AM774" s="282"/>
      <c r="AN774" s="282"/>
      <c r="AO774" s="282"/>
      <c r="AP774" s="282"/>
      <c r="AQ774" s="282"/>
      <c r="AR774" s="282"/>
      <c r="AS774" s="282"/>
      <c r="AT774" s="282"/>
      <c r="AU774" s="282"/>
      <c r="AV774" s="282"/>
      <c r="AW774" s="282"/>
      <c r="AX774" s="282"/>
      <c r="AY774" s="282"/>
      <c r="AZ774" s="282"/>
      <c r="BA774" s="282"/>
    </row>
    <row r="775" spans="1:53">
      <c r="A775" s="282"/>
      <c r="B775" s="282"/>
      <c r="C775" s="282"/>
      <c r="D775" s="282"/>
      <c r="E775" s="282"/>
      <c r="F775" s="282"/>
      <c r="G775" s="282"/>
      <c r="H775" s="282"/>
      <c r="I775" s="282"/>
      <c r="J775" s="282"/>
      <c r="K775" s="282"/>
      <c r="L775" s="282"/>
      <c r="M775" s="282"/>
      <c r="N775" s="282"/>
      <c r="O775" s="282"/>
      <c r="P775" s="282"/>
      <c r="Q775" s="282"/>
      <c r="R775" s="282"/>
      <c r="S775" s="282"/>
      <c r="T775" s="282"/>
      <c r="U775" s="282"/>
      <c r="V775" s="282"/>
      <c r="W775" s="282"/>
      <c r="X775" s="282"/>
      <c r="Y775" s="282"/>
      <c r="Z775" s="282"/>
      <c r="AA775" s="282"/>
      <c r="AB775" s="282"/>
      <c r="AC775" s="282"/>
      <c r="AD775" s="282"/>
      <c r="AE775" s="282"/>
      <c r="AF775" s="282"/>
      <c r="AG775" s="282"/>
      <c r="AH775" s="281"/>
      <c r="AI775" s="282"/>
      <c r="AJ775" s="282"/>
      <c r="AK775" s="282"/>
      <c r="AL775" s="282"/>
      <c r="AM775" s="282"/>
      <c r="AN775" s="282"/>
      <c r="AO775" s="282"/>
      <c r="AP775" s="282"/>
      <c r="AQ775" s="282"/>
      <c r="AR775" s="282"/>
      <c r="AS775" s="282"/>
      <c r="AT775" s="282"/>
      <c r="AU775" s="282"/>
      <c r="AV775" s="282"/>
      <c r="AW775" s="282"/>
      <c r="AX775" s="282"/>
      <c r="AY775" s="282"/>
      <c r="AZ775" s="282"/>
      <c r="BA775" s="282"/>
    </row>
    <row r="776" spans="1:53">
      <c r="A776" s="282"/>
      <c r="B776" s="282"/>
      <c r="C776" s="282"/>
      <c r="D776" s="282"/>
      <c r="E776" s="282"/>
      <c r="F776" s="282"/>
      <c r="G776" s="282"/>
      <c r="H776" s="282"/>
      <c r="I776" s="282"/>
      <c r="J776" s="282"/>
      <c r="K776" s="282"/>
      <c r="L776" s="282"/>
      <c r="M776" s="282"/>
      <c r="N776" s="282"/>
      <c r="O776" s="282"/>
      <c r="P776" s="282"/>
      <c r="Q776" s="282"/>
      <c r="R776" s="282"/>
      <c r="S776" s="282"/>
      <c r="T776" s="282"/>
      <c r="U776" s="282"/>
      <c r="V776" s="282"/>
      <c r="W776" s="282"/>
      <c r="X776" s="282"/>
      <c r="Y776" s="282"/>
      <c r="Z776" s="282"/>
      <c r="AA776" s="282"/>
      <c r="AB776" s="282"/>
      <c r="AC776" s="282"/>
      <c r="AD776" s="282"/>
      <c r="AE776" s="282"/>
      <c r="AF776" s="282"/>
      <c r="AG776" s="282"/>
      <c r="AH776" s="281"/>
      <c r="AI776" s="282"/>
      <c r="AJ776" s="282"/>
      <c r="AK776" s="282"/>
      <c r="AL776" s="282"/>
      <c r="AM776" s="282"/>
      <c r="AN776" s="282"/>
      <c r="AO776" s="282"/>
      <c r="AP776" s="282"/>
      <c r="AQ776" s="282"/>
      <c r="AR776" s="282"/>
      <c r="AS776" s="282"/>
      <c r="AT776" s="282"/>
      <c r="AU776" s="282"/>
      <c r="AV776" s="282"/>
      <c r="AW776" s="282"/>
      <c r="AX776" s="282"/>
      <c r="AY776" s="282"/>
      <c r="AZ776" s="282"/>
      <c r="BA776" s="282"/>
    </row>
    <row r="777" spans="1:53">
      <c r="A777" s="282"/>
      <c r="B777" s="282"/>
      <c r="C777" s="282"/>
      <c r="D777" s="282"/>
      <c r="E777" s="282"/>
      <c r="F777" s="282"/>
      <c r="G777" s="282"/>
      <c r="H777" s="282"/>
      <c r="I777" s="282"/>
      <c r="J777" s="282"/>
      <c r="K777" s="282"/>
      <c r="L777" s="282"/>
      <c r="M777" s="282"/>
      <c r="N777" s="282"/>
      <c r="O777" s="282"/>
      <c r="P777" s="282"/>
      <c r="Q777" s="282"/>
      <c r="R777" s="282"/>
      <c r="S777" s="282"/>
      <c r="T777" s="282"/>
      <c r="U777" s="282"/>
      <c r="V777" s="282"/>
      <c r="W777" s="282"/>
      <c r="X777" s="282"/>
      <c r="Y777" s="282"/>
      <c r="Z777" s="282"/>
      <c r="AA777" s="282"/>
      <c r="AB777" s="282"/>
      <c r="AC777" s="282"/>
      <c r="AD777" s="282"/>
      <c r="AE777" s="282"/>
      <c r="AF777" s="282"/>
      <c r="AG777" s="282"/>
      <c r="AH777" s="281"/>
      <c r="AI777" s="282"/>
      <c r="AJ777" s="282"/>
      <c r="AK777" s="282"/>
      <c r="AL777" s="282"/>
      <c r="AM777" s="282"/>
      <c r="AN777" s="282"/>
      <c r="AO777" s="282"/>
      <c r="AP777" s="282"/>
      <c r="AQ777" s="282"/>
      <c r="AR777" s="282"/>
      <c r="AS777" s="282"/>
      <c r="AT777" s="282"/>
      <c r="AU777" s="282"/>
      <c r="AV777" s="282"/>
      <c r="AW777" s="282"/>
      <c r="AX777" s="282"/>
      <c r="AY777" s="282"/>
      <c r="AZ777" s="282"/>
      <c r="BA777" s="282"/>
    </row>
    <row r="778" spans="1:53">
      <c r="A778" s="282"/>
      <c r="B778" s="282"/>
      <c r="C778" s="282"/>
      <c r="D778" s="282"/>
      <c r="E778" s="282"/>
      <c r="F778" s="282"/>
      <c r="G778" s="282"/>
      <c r="H778" s="282"/>
      <c r="I778" s="282"/>
      <c r="J778" s="282"/>
      <c r="K778" s="282"/>
      <c r="L778" s="282"/>
      <c r="M778" s="282"/>
      <c r="N778" s="282"/>
      <c r="O778" s="282"/>
      <c r="P778" s="282"/>
      <c r="Q778" s="282"/>
      <c r="R778" s="282"/>
      <c r="S778" s="282"/>
      <c r="T778" s="282"/>
      <c r="U778" s="282"/>
      <c r="V778" s="282"/>
      <c r="W778" s="282"/>
      <c r="X778" s="282"/>
      <c r="Y778" s="282"/>
      <c r="Z778" s="282"/>
      <c r="AA778" s="282"/>
      <c r="AB778" s="282"/>
      <c r="AC778" s="282"/>
      <c r="AD778" s="282"/>
      <c r="AE778" s="282"/>
      <c r="AF778" s="282"/>
      <c r="AG778" s="282"/>
      <c r="AH778" s="281"/>
      <c r="AI778" s="282"/>
      <c r="AJ778" s="282"/>
      <c r="AK778" s="282"/>
      <c r="AL778" s="282"/>
      <c r="AM778" s="282"/>
      <c r="AN778" s="282"/>
      <c r="AO778" s="282"/>
      <c r="AP778" s="282"/>
      <c r="AQ778" s="282"/>
      <c r="AR778" s="282"/>
      <c r="AS778" s="282"/>
      <c r="AT778" s="282"/>
      <c r="AU778" s="282"/>
      <c r="AV778" s="282"/>
      <c r="AW778" s="282"/>
      <c r="AX778" s="282"/>
      <c r="AY778" s="282"/>
      <c r="AZ778" s="282"/>
      <c r="BA778" s="282"/>
    </row>
    <row r="779" spans="1:53">
      <c r="A779" s="282"/>
      <c r="B779" s="282"/>
      <c r="C779" s="282"/>
      <c r="D779" s="282"/>
      <c r="E779" s="282"/>
      <c r="F779" s="282"/>
      <c r="G779" s="282"/>
      <c r="H779" s="282"/>
      <c r="I779" s="282"/>
      <c r="J779" s="282"/>
      <c r="K779" s="282"/>
      <c r="L779" s="282"/>
      <c r="M779" s="282"/>
      <c r="N779" s="282"/>
      <c r="O779" s="282"/>
      <c r="P779" s="282"/>
      <c r="Q779" s="282"/>
      <c r="R779" s="282"/>
      <c r="S779" s="282"/>
      <c r="T779" s="282"/>
      <c r="U779" s="282"/>
      <c r="V779" s="282"/>
      <c r="W779" s="282"/>
      <c r="X779" s="282"/>
      <c r="Y779" s="282"/>
      <c r="Z779" s="282"/>
      <c r="AA779" s="282"/>
      <c r="AB779" s="282"/>
      <c r="AC779" s="282"/>
      <c r="AD779" s="282"/>
      <c r="AE779" s="282"/>
      <c r="AF779" s="282"/>
      <c r="AG779" s="282"/>
      <c r="AH779" s="281"/>
      <c r="AI779" s="282"/>
      <c r="AJ779" s="282"/>
      <c r="AK779" s="282"/>
      <c r="AL779" s="282"/>
      <c r="AM779" s="282"/>
      <c r="AN779" s="282"/>
      <c r="AO779" s="282"/>
      <c r="AP779" s="282"/>
      <c r="AQ779" s="282"/>
      <c r="AR779" s="282"/>
      <c r="AS779" s="282"/>
      <c r="AT779" s="282"/>
      <c r="AU779" s="282"/>
      <c r="AV779" s="282"/>
      <c r="AW779" s="282"/>
      <c r="AX779" s="282"/>
      <c r="AY779" s="282"/>
      <c r="AZ779" s="282"/>
      <c r="BA779" s="282"/>
    </row>
    <row r="780" spans="1:53">
      <c r="A780" s="282"/>
      <c r="B780" s="282"/>
      <c r="C780" s="282"/>
      <c r="D780" s="282"/>
      <c r="E780" s="282"/>
      <c r="F780" s="282"/>
      <c r="G780" s="282"/>
      <c r="H780" s="282"/>
      <c r="I780" s="282"/>
      <c r="J780" s="282"/>
      <c r="K780" s="282"/>
      <c r="L780" s="282"/>
      <c r="M780" s="282"/>
      <c r="N780" s="282"/>
      <c r="O780" s="282"/>
      <c r="P780" s="282"/>
      <c r="Q780" s="282"/>
      <c r="R780" s="282"/>
      <c r="S780" s="282"/>
      <c r="T780" s="282"/>
      <c r="U780" s="282"/>
      <c r="V780" s="282"/>
      <c r="W780" s="282"/>
      <c r="X780" s="282"/>
      <c r="Y780" s="282"/>
      <c r="Z780" s="282"/>
      <c r="AA780" s="282"/>
      <c r="AB780" s="282"/>
      <c r="AC780" s="282"/>
      <c r="AD780" s="282"/>
      <c r="AE780" s="282"/>
      <c r="AF780" s="282"/>
      <c r="AG780" s="282"/>
      <c r="AH780" s="281"/>
      <c r="AI780" s="282"/>
      <c r="AJ780" s="282"/>
      <c r="AK780" s="282"/>
      <c r="AL780" s="282"/>
      <c r="AM780" s="282"/>
      <c r="AN780" s="282"/>
      <c r="AO780" s="282"/>
      <c r="AP780" s="282"/>
      <c r="AQ780" s="282"/>
      <c r="AR780" s="282"/>
      <c r="AS780" s="282"/>
      <c r="AT780" s="282"/>
      <c r="AU780" s="282"/>
      <c r="AV780" s="282"/>
      <c r="AW780" s="282"/>
      <c r="AX780" s="282"/>
      <c r="AY780" s="282"/>
      <c r="AZ780" s="282"/>
      <c r="BA780" s="282"/>
    </row>
    <row r="781" spans="1:53">
      <c r="A781" s="282"/>
      <c r="B781" s="282"/>
      <c r="C781" s="282"/>
      <c r="D781" s="282"/>
      <c r="E781" s="282"/>
      <c r="F781" s="282"/>
      <c r="G781" s="282"/>
      <c r="H781" s="282"/>
      <c r="I781" s="282"/>
      <c r="J781" s="282"/>
      <c r="K781" s="282"/>
      <c r="L781" s="282"/>
      <c r="M781" s="282"/>
      <c r="N781" s="282"/>
      <c r="O781" s="282"/>
      <c r="P781" s="282"/>
      <c r="Q781" s="282"/>
      <c r="R781" s="282"/>
      <c r="S781" s="282"/>
      <c r="T781" s="282"/>
      <c r="U781" s="282"/>
      <c r="V781" s="282"/>
      <c r="W781" s="282"/>
      <c r="X781" s="282"/>
      <c r="Y781" s="282"/>
      <c r="Z781" s="282"/>
      <c r="AA781" s="282"/>
      <c r="AB781" s="282"/>
      <c r="AC781" s="282"/>
      <c r="AD781" s="282"/>
      <c r="AE781" s="282"/>
      <c r="AF781" s="282"/>
      <c r="AG781" s="282"/>
      <c r="AH781" s="281"/>
      <c r="AI781" s="282"/>
      <c r="AJ781" s="282"/>
      <c r="AK781" s="282"/>
      <c r="AL781" s="282"/>
      <c r="AM781" s="282"/>
      <c r="AN781" s="282"/>
      <c r="AO781" s="282"/>
      <c r="AP781" s="282"/>
      <c r="AQ781" s="282"/>
      <c r="AR781" s="282"/>
      <c r="AS781" s="282"/>
      <c r="AT781" s="282"/>
      <c r="AU781" s="282"/>
      <c r="AV781" s="282"/>
      <c r="AW781" s="282"/>
      <c r="AX781" s="282"/>
      <c r="AY781" s="282"/>
      <c r="AZ781" s="282"/>
      <c r="BA781" s="282"/>
    </row>
    <row r="782" spans="1:53">
      <c r="A782" s="282"/>
      <c r="B782" s="282"/>
      <c r="C782" s="282"/>
      <c r="D782" s="282"/>
      <c r="E782" s="282"/>
      <c r="F782" s="282"/>
      <c r="G782" s="282"/>
      <c r="H782" s="282"/>
      <c r="I782" s="282"/>
      <c r="J782" s="282"/>
      <c r="K782" s="282"/>
      <c r="L782" s="282"/>
      <c r="M782" s="282"/>
      <c r="N782" s="282"/>
      <c r="O782" s="282"/>
      <c r="P782" s="282"/>
      <c r="Q782" s="282"/>
      <c r="R782" s="282"/>
      <c r="S782" s="282"/>
      <c r="T782" s="282"/>
      <c r="U782" s="282"/>
      <c r="V782" s="282"/>
      <c r="W782" s="282"/>
      <c r="X782" s="282"/>
      <c r="Y782" s="282"/>
      <c r="Z782" s="282"/>
      <c r="AA782" s="282"/>
      <c r="AB782" s="282"/>
      <c r="AC782" s="282"/>
      <c r="AD782" s="282"/>
      <c r="AE782" s="282"/>
      <c r="AF782" s="282"/>
      <c r="AG782" s="282"/>
      <c r="AH782" s="281"/>
      <c r="AI782" s="282"/>
      <c r="AJ782" s="282"/>
      <c r="AK782" s="282"/>
      <c r="AL782" s="282"/>
      <c r="AM782" s="282"/>
      <c r="AN782" s="282"/>
      <c r="AO782" s="282"/>
      <c r="AP782" s="282"/>
      <c r="AQ782" s="282"/>
      <c r="AR782" s="282"/>
      <c r="AS782" s="282"/>
      <c r="AT782" s="282"/>
      <c r="AU782" s="282"/>
      <c r="AV782" s="282"/>
      <c r="AW782" s="282"/>
      <c r="AX782" s="282"/>
      <c r="AY782" s="282"/>
      <c r="AZ782" s="282"/>
      <c r="BA782" s="282"/>
    </row>
    <row r="783" spans="1:53">
      <c r="A783" s="282"/>
      <c r="B783" s="282"/>
      <c r="C783" s="282"/>
      <c r="D783" s="282"/>
      <c r="E783" s="282"/>
      <c r="F783" s="282"/>
      <c r="G783" s="282"/>
      <c r="H783" s="282"/>
      <c r="I783" s="282"/>
      <c r="J783" s="282"/>
      <c r="K783" s="282"/>
      <c r="L783" s="282"/>
      <c r="M783" s="282"/>
      <c r="N783" s="282"/>
      <c r="O783" s="282"/>
      <c r="P783" s="282"/>
      <c r="Q783" s="282"/>
      <c r="R783" s="282"/>
      <c r="S783" s="282"/>
      <c r="T783" s="282"/>
      <c r="U783" s="282"/>
      <c r="V783" s="282"/>
      <c r="W783" s="282"/>
      <c r="X783" s="282"/>
      <c r="Y783" s="282"/>
      <c r="Z783" s="282"/>
      <c r="AA783" s="282"/>
      <c r="AB783" s="282"/>
      <c r="AC783" s="282"/>
      <c r="AD783" s="282"/>
      <c r="AE783" s="282"/>
      <c r="AF783" s="282"/>
      <c r="AG783" s="282"/>
      <c r="AH783" s="281"/>
      <c r="AI783" s="282"/>
      <c r="AJ783" s="282"/>
      <c r="AK783" s="282"/>
      <c r="AL783" s="282"/>
      <c r="AM783" s="282"/>
      <c r="AN783" s="282"/>
      <c r="AO783" s="282"/>
      <c r="AP783" s="282"/>
      <c r="AQ783" s="282"/>
      <c r="AR783" s="282"/>
      <c r="AS783" s="282"/>
      <c r="AT783" s="282"/>
      <c r="AU783" s="282"/>
      <c r="AV783" s="282"/>
      <c r="AW783" s="282"/>
      <c r="AX783" s="282"/>
      <c r="AY783" s="282"/>
      <c r="AZ783" s="282"/>
      <c r="BA783" s="282"/>
    </row>
    <row r="784" spans="1:53">
      <c r="A784" s="282"/>
      <c r="B784" s="282"/>
      <c r="C784" s="282"/>
      <c r="D784" s="282"/>
      <c r="E784" s="282"/>
      <c r="F784" s="282"/>
      <c r="G784" s="282"/>
      <c r="H784" s="282"/>
      <c r="I784" s="282"/>
      <c r="J784" s="282"/>
      <c r="K784" s="282"/>
      <c r="L784" s="282"/>
      <c r="M784" s="282"/>
      <c r="N784" s="282"/>
      <c r="O784" s="282"/>
      <c r="P784" s="282"/>
      <c r="Q784" s="282"/>
      <c r="R784" s="282"/>
      <c r="S784" s="282"/>
      <c r="T784" s="282"/>
      <c r="U784" s="282"/>
      <c r="V784" s="282"/>
      <c r="W784" s="282"/>
      <c r="X784" s="282"/>
      <c r="Y784" s="282"/>
      <c r="Z784" s="282"/>
      <c r="AA784" s="282"/>
      <c r="AB784" s="282"/>
      <c r="AC784" s="282"/>
      <c r="AD784" s="282"/>
      <c r="AE784" s="282"/>
      <c r="AF784" s="282"/>
      <c r="AG784" s="282"/>
      <c r="AH784" s="281"/>
      <c r="AI784" s="282"/>
      <c r="AJ784" s="282"/>
      <c r="AK784" s="282"/>
      <c r="AL784" s="282"/>
      <c r="AM784" s="282"/>
      <c r="AN784" s="282"/>
      <c r="AO784" s="282"/>
      <c r="AP784" s="282"/>
      <c r="AQ784" s="282"/>
      <c r="AR784" s="282"/>
      <c r="AS784" s="282"/>
      <c r="AT784" s="282"/>
      <c r="AU784" s="282"/>
      <c r="AV784" s="282"/>
      <c r="AW784" s="282"/>
      <c r="AX784" s="282"/>
      <c r="AY784" s="282"/>
      <c r="AZ784" s="282"/>
      <c r="BA784" s="282"/>
    </row>
    <row r="785" spans="1:53">
      <c r="A785" s="282"/>
      <c r="B785" s="282"/>
      <c r="C785" s="282"/>
      <c r="D785" s="282"/>
      <c r="E785" s="282"/>
      <c r="F785" s="282"/>
      <c r="G785" s="282"/>
      <c r="H785" s="282"/>
      <c r="I785" s="282"/>
      <c r="J785" s="282"/>
      <c r="K785" s="282"/>
      <c r="L785" s="282"/>
      <c r="M785" s="282"/>
      <c r="N785" s="282"/>
      <c r="O785" s="282"/>
      <c r="P785" s="282"/>
      <c r="Q785" s="282"/>
      <c r="R785" s="282"/>
      <c r="S785" s="282"/>
      <c r="T785" s="282"/>
      <c r="U785" s="282"/>
      <c r="V785" s="282"/>
      <c r="W785" s="282"/>
      <c r="X785" s="282"/>
      <c r="Y785" s="282"/>
      <c r="Z785" s="282"/>
      <c r="AA785" s="282"/>
      <c r="AB785" s="282"/>
      <c r="AC785" s="282"/>
      <c r="AD785" s="282"/>
      <c r="AE785" s="282"/>
      <c r="AF785" s="282"/>
      <c r="AG785" s="282"/>
      <c r="AH785" s="281"/>
      <c r="AI785" s="282"/>
      <c r="AJ785" s="282"/>
      <c r="AK785" s="282"/>
      <c r="AL785" s="282"/>
      <c r="AM785" s="282"/>
      <c r="AN785" s="282"/>
      <c r="AO785" s="282"/>
      <c r="AP785" s="282"/>
      <c r="AQ785" s="282"/>
      <c r="AR785" s="282"/>
      <c r="AS785" s="282"/>
      <c r="AT785" s="282"/>
      <c r="AU785" s="282"/>
      <c r="AV785" s="282"/>
      <c r="AW785" s="282"/>
      <c r="AX785" s="282"/>
      <c r="AY785" s="282"/>
      <c r="AZ785" s="282"/>
      <c r="BA785" s="282"/>
    </row>
    <row r="786" spans="1:53">
      <c r="A786" s="282"/>
      <c r="B786" s="282"/>
      <c r="C786" s="282"/>
      <c r="D786" s="282"/>
      <c r="E786" s="282"/>
      <c r="F786" s="282"/>
      <c r="G786" s="282"/>
      <c r="H786" s="282"/>
      <c r="I786" s="282"/>
      <c r="J786" s="282"/>
      <c r="K786" s="282"/>
      <c r="L786" s="282"/>
      <c r="M786" s="282"/>
      <c r="N786" s="282"/>
      <c r="O786" s="282"/>
      <c r="P786" s="282"/>
      <c r="Q786" s="282"/>
      <c r="R786" s="282"/>
      <c r="S786" s="282"/>
      <c r="T786" s="282"/>
      <c r="U786" s="282"/>
      <c r="V786" s="282"/>
      <c r="W786" s="282"/>
      <c r="X786" s="282"/>
      <c r="Y786" s="282"/>
      <c r="Z786" s="282"/>
      <c r="AA786" s="282"/>
      <c r="AB786" s="282"/>
      <c r="AC786" s="282"/>
      <c r="AD786" s="282"/>
      <c r="AE786" s="282"/>
      <c r="AF786" s="282"/>
      <c r="AG786" s="282"/>
      <c r="AH786" s="281"/>
      <c r="AI786" s="282"/>
      <c r="AJ786" s="282"/>
      <c r="AK786" s="282"/>
      <c r="AL786" s="282"/>
      <c r="AM786" s="282"/>
      <c r="AN786" s="282"/>
      <c r="AO786" s="282"/>
      <c r="AP786" s="282"/>
      <c r="AQ786" s="282"/>
      <c r="AR786" s="282"/>
      <c r="AS786" s="282"/>
      <c r="AT786" s="282"/>
      <c r="AU786" s="282"/>
      <c r="AV786" s="282"/>
      <c r="AW786" s="282"/>
      <c r="AX786" s="282"/>
      <c r="AY786" s="282"/>
      <c r="AZ786" s="282"/>
      <c r="BA786" s="282"/>
    </row>
    <row r="787" spans="1:53">
      <c r="A787" s="282"/>
      <c r="B787" s="282"/>
      <c r="C787" s="282"/>
      <c r="D787" s="282"/>
      <c r="E787" s="282"/>
      <c r="F787" s="282"/>
      <c r="G787" s="282"/>
      <c r="H787" s="282"/>
      <c r="I787" s="282"/>
      <c r="J787" s="282"/>
      <c r="K787" s="282"/>
      <c r="L787" s="282"/>
      <c r="M787" s="282"/>
      <c r="N787" s="282"/>
      <c r="O787" s="282"/>
      <c r="P787" s="282"/>
      <c r="Q787" s="282"/>
      <c r="R787" s="282"/>
      <c r="S787" s="282"/>
      <c r="T787" s="282"/>
      <c r="U787" s="282"/>
      <c r="V787" s="282"/>
      <c r="W787" s="282"/>
      <c r="X787" s="282"/>
      <c r="Y787" s="282"/>
      <c r="Z787" s="282"/>
      <c r="AA787" s="282"/>
      <c r="AB787" s="282"/>
      <c r="AC787" s="282"/>
      <c r="AD787" s="282"/>
      <c r="AE787" s="282"/>
      <c r="AF787" s="282"/>
      <c r="AG787" s="282"/>
      <c r="AH787" s="281"/>
      <c r="AI787" s="282"/>
      <c r="AJ787" s="282"/>
      <c r="AK787" s="282"/>
      <c r="AL787" s="282"/>
      <c r="AM787" s="282"/>
      <c r="AN787" s="282"/>
      <c r="AO787" s="282"/>
      <c r="AP787" s="282"/>
      <c r="AQ787" s="282"/>
      <c r="AR787" s="282"/>
      <c r="AS787" s="282"/>
      <c r="AT787" s="282"/>
      <c r="AU787" s="282"/>
      <c r="AV787" s="282"/>
      <c r="AW787" s="282"/>
      <c r="AX787" s="282"/>
      <c r="AY787" s="282"/>
      <c r="AZ787" s="282"/>
      <c r="BA787" s="282"/>
    </row>
    <row r="788" spans="1:53">
      <c r="A788" s="282"/>
      <c r="B788" s="282"/>
      <c r="C788" s="282"/>
      <c r="D788" s="282"/>
      <c r="E788" s="282"/>
      <c r="F788" s="282"/>
      <c r="G788" s="282"/>
      <c r="H788" s="282"/>
      <c r="I788" s="282"/>
      <c r="J788" s="282"/>
      <c r="K788" s="282"/>
      <c r="L788" s="282"/>
      <c r="M788" s="282"/>
      <c r="N788" s="282"/>
      <c r="O788" s="282"/>
      <c r="P788" s="282"/>
      <c r="Q788" s="282"/>
      <c r="R788" s="282"/>
      <c r="S788" s="282"/>
      <c r="T788" s="282"/>
      <c r="U788" s="282"/>
      <c r="V788" s="282"/>
      <c r="W788" s="282"/>
      <c r="X788" s="282"/>
      <c r="Y788" s="282"/>
      <c r="Z788" s="282"/>
      <c r="AA788" s="282"/>
      <c r="AB788" s="282"/>
      <c r="AC788" s="282"/>
      <c r="AD788" s="282"/>
      <c r="AE788" s="282"/>
      <c r="AF788" s="282"/>
      <c r="AG788" s="282"/>
      <c r="AH788" s="281"/>
      <c r="AI788" s="282"/>
      <c r="AJ788" s="282"/>
      <c r="AK788" s="282"/>
      <c r="AL788" s="282"/>
      <c r="AM788" s="282"/>
      <c r="AN788" s="282"/>
      <c r="AO788" s="282"/>
      <c r="AP788" s="282"/>
      <c r="AQ788" s="282"/>
      <c r="AR788" s="282"/>
      <c r="AS788" s="282"/>
      <c r="AT788" s="282"/>
      <c r="AU788" s="282"/>
      <c r="AV788" s="282"/>
      <c r="AW788" s="282"/>
      <c r="AX788" s="282"/>
      <c r="AY788" s="282"/>
      <c r="AZ788" s="282"/>
      <c r="BA788" s="282"/>
    </row>
    <row r="789" spans="1:53">
      <c r="A789" s="282"/>
      <c r="B789" s="282"/>
      <c r="C789" s="282"/>
      <c r="D789" s="282"/>
      <c r="E789" s="282"/>
      <c r="F789" s="282"/>
      <c r="G789" s="282"/>
      <c r="H789" s="282"/>
      <c r="I789" s="282"/>
      <c r="J789" s="282"/>
      <c r="K789" s="282"/>
      <c r="L789" s="282"/>
      <c r="M789" s="282"/>
      <c r="N789" s="282"/>
      <c r="O789" s="282"/>
      <c r="P789" s="282"/>
      <c r="Q789" s="282"/>
      <c r="R789" s="282"/>
      <c r="S789" s="282"/>
      <c r="T789" s="282"/>
      <c r="U789" s="282"/>
      <c r="V789" s="282"/>
      <c r="W789" s="282"/>
      <c r="X789" s="282"/>
      <c r="Y789" s="282"/>
      <c r="Z789" s="282"/>
      <c r="AA789" s="282"/>
      <c r="AB789" s="282"/>
      <c r="AC789" s="282"/>
      <c r="AD789" s="282"/>
      <c r="AE789" s="282"/>
      <c r="AF789" s="282"/>
      <c r="AG789" s="282"/>
      <c r="AH789" s="281"/>
      <c r="AI789" s="282"/>
      <c r="AJ789" s="282"/>
      <c r="AK789" s="282"/>
      <c r="AL789" s="282"/>
      <c r="AM789" s="282"/>
      <c r="AN789" s="282"/>
      <c r="AO789" s="282"/>
      <c r="AP789" s="282"/>
      <c r="AQ789" s="282"/>
      <c r="AR789" s="282"/>
      <c r="AS789" s="282"/>
      <c r="AT789" s="282"/>
      <c r="AU789" s="282"/>
      <c r="AV789" s="282"/>
      <c r="AW789" s="282"/>
      <c r="AX789" s="282"/>
      <c r="AY789" s="282"/>
      <c r="AZ789" s="282"/>
      <c r="BA789" s="282"/>
    </row>
    <row r="790" spans="1:53">
      <c r="A790" s="282"/>
      <c r="B790" s="282"/>
      <c r="C790" s="282"/>
      <c r="D790" s="282"/>
      <c r="E790" s="282"/>
      <c r="F790" s="282"/>
      <c r="G790" s="282"/>
      <c r="H790" s="282"/>
      <c r="I790" s="282"/>
      <c r="J790" s="282"/>
      <c r="K790" s="282"/>
      <c r="L790" s="282"/>
      <c r="M790" s="282"/>
      <c r="N790" s="282"/>
      <c r="O790" s="282"/>
      <c r="P790" s="282"/>
      <c r="Q790" s="282"/>
      <c r="R790" s="282"/>
      <c r="S790" s="282"/>
      <c r="T790" s="282"/>
      <c r="U790" s="282"/>
      <c r="V790" s="282"/>
      <c r="W790" s="282"/>
      <c r="X790" s="282"/>
      <c r="Y790" s="282"/>
      <c r="Z790" s="282"/>
      <c r="AA790" s="282"/>
      <c r="AB790" s="282"/>
      <c r="AC790" s="282"/>
      <c r="AD790" s="282"/>
      <c r="AE790" s="282"/>
      <c r="AF790" s="282"/>
      <c r="AG790" s="282"/>
      <c r="AH790" s="281"/>
      <c r="AI790" s="282"/>
      <c r="AJ790" s="282"/>
      <c r="AK790" s="282"/>
      <c r="AL790" s="282"/>
      <c r="AM790" s="282"/>
      <c r="AN790" s="282"/>
      <c r="AO790" s="282"/>
      <c r="AP790" s="282"/>
      <c r="AQ790" s="282"/>
      <c r="AR790" s="282"/>
      <c r="AS790" s="282"/>
      <c r="AT790" s="282"/>
      <c r="AU790" s="282"/>
      <c r="AV790" s="282"/>
      <c r="AW790" s="282"/>
      <c r="AX790" s="282"/>
      <c r="AY790" s="282"/>
      <c r="AZ790" s="282"/>
      <c r="BA790" s="282"/>
    </row>
    <row r="791" spans="1:53">
      <c r="A791" s="282"/>
      <c r="B791" s="282"/>
      <c r="C791" s="282"/>
      <c r="D791" s="282"/>
      <c r="E791" s="282"/>
      <c r="F791" s="282"/>
      <c r="G791" s="282"/>
      <c r="H791" s="282"/>
      <c r="I791" s="282"/>
      <c r="J791" s="282"/>
      <c r="K791" s="282"/>
      <c r="L791" s="282"/>
      <c r="M791" s="282"/>
      <c r="N791" s="282"/>
      <c r="O791" s="282"/>
      <c r="P791" s="282"/>
      <c r="Q791" s="282"/>
      <c r="R791" s="282"/>
      <c r="S791" s="282"/>
      <c r="T791" s="282"/>
      <c r="U791" s="282"/>
      <c r="V791" s="282"/>
      <c r="W791" s="282"/>
      <c r="X791" s="282"/>
      <c r="Y791" s="282"/>
      <c r="Z791" s="282"/>
      <c r="AA791" s="282"/>
      <c r="AB791" s="282"/>
      <c r="AC791" s="282"/>
      <c r="AD791" s="282"/>
      <c r="AE791" s="282"/>
      <c r="AF791" s="282"/>
      <c r="AG791" s="282"/>
      <c r="AH791" s="281"/>
      <c r="AI791" s="282"/>
      <c r="AJ791" s="282"/>
      <c r="AK791" s="282"/>
      <c r="AL791" s="282"/>
      <c r="AM791" s="282"/>
      <c r="AN791" s="282"/>
      <c r="AO791" s="282"/>
      <c r="AP791" s="282"/>
      <c r="AQ791" s="282"/>
      <c r="AR791" s="282"/>
      <c r="AS791" s="282"/>
      <c r="AT791" s="282"/>
      <c r="AU791" s="282"/>
      <c r="AV791" s="282"/>
      <c r="AW791" s="282"/>
      <c r="AX791" s="282"/>
      <c r="AY791" s="282"/>
      <c r="AZ791" s="282"/>
      <c r="BA791" s="282"/>
    </row>
    <row r="792" spans="1:53">
      <c r="A792" s="282"/>
      <c r="B792" s="282"/>
      <c r="C792" s="282"/>
      <c r="D792" s="282"/>
      <c r="E792" s="282"/>
      <c r="F792" s="282"/>
      <c r="G792" s="282"/>
      <c r="H792" s="282"/>
      <c r="I792" s="282"/>
      <c r="J792" s="282"/>
      <c r="K792" s="282"/>
      <c r="L792" s="282"/>
      <c r="M792" s="282"/>
      <c r="N792" s="282"/>
      <c r="O792" s="282"/>
      <c r="P792" s="282"/>
      <c r="Q792" s="282"/>
      <c r="R792" s="282"/>
      <c r="S792" s="282"/>
      <c r="T792" s="282"/>
      <c r="U792" s="282"/>
      <c r="V792" s="282"/>
      <c r="W792" s="282"/>
      <c r="X792" s="282"/>
      <c r="Y792" s="282"/>
      <c r="Z792" s="282"/>
      <c r="AA792" s="282"/>
      <c r="AB792" s="282"/>
      <c r="AC792" s="282"/>
      <c r="AD792" s="282"/>
      <c r="AE792" s="282"/>
      <c r="AF792" s="282"/>
      <c r="AG792" s="282"/>
      <c r="AH792" s="281"/>
      <c r="AI792" s="282"/>
      <c r="AJ792" s="282"/>
      <c r="AK792" s="282"/>
      <c r="AL792" s="282"/>
      <c r="AM792" s="282"/>
      <c r="AN792" s="282"/>
      <c r="AO792" s="282"/>
      <c r="AP792" s="282"/>
      <c r="AQ792" s="282"/>
      <c r="AR792" s="282"/>
      <c r="AS792" s="282"/>
      <c r="AT792" s="282"/>
      <c r="AU792" s="282"/>
      <c r="AV792" s="282"/>
      <c r="AW792" s="282"/>
      <c r="AX792" s="282"/>
      <c r="AY792" s="282"/>
      <c r="AZ792" s="282"/>
      <c r="BA792" s="282"/>
    </row>
    <row r="793" spans="1:53">
      <c r="A793" s="282"/>
      <c r="B793" s="282"/>
      <c r="C793" s="282"/>
      <c r="D793" s="282"/>
      <c r="E793" s="282"/>
      <c r="F793" s="282"/>
      <c r="G793" s="282"/>
      <c r="H793" s="282"/>
      <c r="I793" s="282"/>
      <c r="J793" s="282"/>
      <c r="K793" s="282"/>
      <c r="L793" s="282"/>
      <c r="M793" s="282"/>
      <c r="N793" s="282"/>
      <c r="O793" s="282"/>
      <c r="P793" s="282"/>
      <c r="Q793" s="282"/>
      <c r="R793" s="282"/>
      <c r="S793" s="282"/>
      <c r="T793" s="282"/>
      <c r="U793" s="282"/>
      <c r="V793" s="282"/>
      <c r="W793" s="282"/>
      <c r="X793" s="282"/>
      <c r="Y793" s="282"/>
      <c r="Z793" s="282"/>
      <c r="AA793" s="282"/>
      <c r="AB793" s="282"/>
      <c r="AC793" s="282"/>
      <c r="AD793" s="282"/>
      <c r="AE793" s="282"/>
      <c r="AF793" s="282"/>
      <c r="AG793" s="282"/>
      <c r="AH793" s="281"/>
      <c r="AI793" s="282"/>
      <c r="AJ793" s="282"/>
      <c r="AK793" s="282"/>
      <c r="AL793" s="282"/>
      <c r="AM793" s="282"/>
      <c r="AN793" s="282"/>
      <c r="AO793" s="282"/>
      <c r="AP793" s="282"/>
      <c r="AQ793" s="282"/>
      <c r="AR793" s="282"/>
      <c r="AS793" s="282"/>
      <c r="AT793" s="282"/>
      <c r="AU793" s="282"/>
      <c r="AV793" s="282"/>
      <c r="AW793" s="282"/>
      <c r="AX793" s="282"/>
      <c r="AY793" s="282"/>
      <c r="AZ793" s="282"/>
      <c r="BA793" s="282"/>
    </row>
    <row r="794" spans="1:53">
      <c r="A794" s="282"/>
      <c r="B794" s="282"/>
      <c r="C794" s="282"/>
      <c r="D794" s="282"/>
      <c r="E794" s="282"/>
      <c r="F794" s="282"/>
      <c r="G794" s="282"/>
      <c r="H794" s="282"/>
      <c r="I794" s="282"/>
      <c r="J794" s="282"/>
      <c r="K794" s="282"/>
      <c r="L794" s="282"/>
      <c r="M794" s="282"/>
      <c r="N794" s="282"/>
      <c r="O794" s="282"/>
      <c r="P794" s="282"/>
      <c r="Q794" s="282"/>
      <c r="R794" s="282"/>
      <c r="S794" s="282"/>
      <c r="T794" s="282"/>
      <c r="U794" s="282"/>
      <c r="V794" s="282"/>
      <c r="W794" s="282"/>
      <c r="X794" s="282"/>
      <c r="Y794" s="282"/>
      <c r="Z794" s="282"/>
      <c r="AA794" s="282"/>
      <c r="AB794" s="282"/>
      <c r="AC794" s="282"/>
      <c r="AD794" s="282"/>
      <c r="AE794" s="282"/>
      <c r="AF794" s="282"/>
      <c r="AG794" s="282"/>
      <c r="AH794" s="281"/>
      <c r="AI794" s="282"/>
      <c r="AJ794" s="282"/>
      <c r="AK794" s="282"/>
      <c r="AL794" s="282"/>
      <c r="AM794" s="282"/>
      <c r="AN794" s="282"/>
      <c r="AO794" s="282"/>
      <c r="AP794" s="282"/>
      <c r="AQ794" s="282"/>
      <c r="AR794" s="282"/>
      <c r="AS794" s="282"/>
      <c r="AT794" s="282"/>
      <c r="AU794" s="282"/>
      <c r="AV794" s="282"/>
      <c r="AW794" s="282"/>
      <c r="AX794" s="282"/>
      <c r="AY794" s="282"/>
      <c r="AZ794" s="282"/>
      <c r="BA794" s="282"/>
    </row>
    <row r="795" spans="1:53">
      <c r="A795" s="282"/>
      <c r="B795" s="282"/>
      <c r="C795" s="282"/>
      <c r="D795" s="282"/>
      <c r="E795" s="282"/>
      <c r="F795" s="282"/>
      <c r="G795" s="282"/>
      <c r="H795" s="282"/>
      <c r="I795" s="282"/>
      <c r="J795" s="282"/>
      <c r="K795" s="282"/>
      <c r="L795" s="282"/>
      <c r="M795" s="282"/>
      <c r="N795" s="282"/>
      <c r="O795" s="282"/>
      <c r="P795" s="282"/>
      <c r="Q795" s="282"/>
      <c r="R795" s="282"/>
      <c r="S795" s="282"/>
      <c r="T795" s="282"/>
      <c r="U795" s="282"/>
      <c r="V795" s="282"/>
      <c r="W795" s="282"/>
      <c r="X795" s="282"/>
      <c r="Y795" s="282"/>
      <c r="Z795" s="282"/>
      <c r="AA795" s="282"/>
      <c r="AB795" s="282"/>
      <c r="AC795" s="282"/>
      <c r="AD795" s="282"/>
      <c r="AE795" s="282"/>
      <c r="AF795" s="282"/>
      <c r="AG795" s="282"/>
      <c r="AH795" s="281"/>
      <c r="AI795" s="282"/>
      <c r="AJ795" s="282"/>
      <c r="AK795" s="282"/>
      <c r="AL795" s="282"/>
      <c r="AM795" s="282"/>
      <c r="AN795" s="282"/>
      <c r="AO795" s="282"/>
      <c r="AP795" s="282"/>
      <c r="AQ795" s="282"/>
      <c r="AR795" s="282"/>
      <c r="AS795" s="282"/>
      <c r="AT795" s="282"/>
      <c r="AU795" s="282"/>
      <c r="AV795" s="282"/>
      <c r="AW795" s="282"/>
      <c r="AX795" s="282"/>
      <c r="AY795" s="282"/>
      <c r="AZ795" s="282"/>
      <c r="BA795" s="282"/>
    </row>
    <row r="796" spans="1:53">
      <c r="A796" s="282"/>
      <c r="B796" s="282"/>
      <c r="C796" s="282"/>
      <c r="D796" s="282"/>
      <c r="E796" s="282"/>
      <c r="F796" s="282"/>
      <c r="G796" s="282"/>
      <c r="H796" s="282"/>
      <c r="I796" s="282"/>
      <c r="J796" s="282"/>
      <c r="K796" s="282"/>
      <c r="L796" s="282"/>
      <c r="M796" s="282"/>
      <c r="N796" s="282"/>
      <c r="O796" s="282"/>
      <c r="P796" s="282"/>
      <c r="Q796" s="282"/>
      <c r="R796" s="282"/>
      <c r="S796" s="282"/>
      <c r="T796" s="282"/>
      <c r="U796" s="282"/>
      <c r="V796" s="282"/>
      <c r="W796" s="282"/>
      <c r="X796" s="282"/>
      <c r="Y796" s="282"/>
      <c r="Z796" s="282"/>
      <c r="AA796" s="282"/>
      <c r="AB796" s="282"/>
      <c r="AC796" s="282"/>
      <c r="AD796" s="282"/>
      <c r="AE796" s="282"/>
      <c r="AF796" s="282"/>
      <c r="AG796" s="282"/>
      <c r="AH796" s="281"/>
      <c r="AI796" s="282"/>
      <c r="AJ796" s="282"/>
      <c r="AK796" s="282"/>
      <c r="AL796" s="282"/>
      <c r="AM796" s="282"/>
      <c r="AN796" s="282"/>
      <c r="AO796" s="282"/>
      <c r="AP796" s="282"/>
      <c r="AQ796" s="282"/>
      <c r="AR796" s="282"/>
      <c r="AS796" s="282"/>
      <c r="AT796" s="282"/>
      <c r="AU796" s="282"/>
      <c r="AV796" s="282"/>
      <c r="AW796" s="282"/>
      <c r="AX796" s="282"/>
      <c r="AY796" s="282"/>
      <c r="AZ796" s="282"/>
      <c r="BA796" s="282"/>
    </row>
    <row r="797" spans="1:53">
      <c r="A797" s="282"/>
      <c r="B797" s="282"/>
      <c r="C797" s="282"/>
      <c r="D797" s="282"/>
      <c r="E797" s="282"/>
      <c r="F797" s="282"/>
      <c r="G797" s="282"/>
      <c r="H797" s="282"/>
      <c r="I797" s="282"/>
      <c r="J797" s="282"/>
      <c r="K797" s="282"/>
      <c r="L797" s="282"/>
      <c r="M797" s="282"/>
      <c r="N797" s="282"/>
      <c r="O797" s="282"/>
      <c r="P797" s="282"/>
      <c r="Q797" s="282"/>
      <c r="R797" s="282"/>
      <c r="S797" s="282"/>
      <c r="T797" s="282"/>
      <c r="U797" s="282"/>
      <c r="V797" s="282"/>
      <c r="W797" s="282"/>
      <c r="X797" s="282"/>
      <c r="Y797" s="282"/>
      <c r="Z797" s="282"/>
      <c r="AA797" s="282"/>
      <c r="AB797" s="282"/>
      <c r="AC797" s="282"/>
      <c r="AD797" s="282"/>
      <c r="AE797" s="282"/>
      <c r="AF797" s="282"/>
      <c r="AG797" s="282"/>
      <c r="AH797" s="281"/>
      <c r="AI797" s="282"/>
      <c r="AJ797" s="282"/>
      <c r="AK797" s="282"/>
      <c r="AL797" s="282"/>
      <c r="AM797" s="282"/>
      <c r="AN797" s="282"/>
      <c r="AO797" s="282"/>
      <c r="AP797" s="282"/>
      <c r="AQ797" s="282"/>
      <c r="AR797" s="282"/>
      <c r="AS797" s="282"/>
      <c r="AT797" s="282"/>
      <c r="AU797" s="282"/>
      <c r="AV797" s="282"/>
      <c r="AW797" s="282"/>
      <c r="AX797" s="282"/>
      <c r="AY797" s="282"/>
      <c r="AZ797" s="282"/>
      <c r="BA797" s="282"/>
    </row>
    <row r="798" spans="1:53">
      <c r="A798" s="282"/>
      <c r="B798" s="282"/>
      <c r="C798" s="282"/>
      <c r="D798" s="282"/>
      <c r="E798" s="282"/>
      <c r="F798" s="282"/>
      <c r="G798" s="282"/>
      <c r="H798" s="282"/>
      <c r="I798" s="282"/>
      <c r="J798" s="282"/>
      <c r="K798" s="282"/>
      <c r="L798" s="282"/>
      <c r="M798" s="282"/>
      <c r="N798" s="282"/>
      <c r="O798" s="282"/>
      <c r="P798" s="282"/>
      <c r="Q798" s="282"/>
      <c r="R798" s="282"/>
      <c r="S798" s="282"/>
      <c r="T798" s="282"/>
      <c r="U798" s="282"/>
      <c r="V798" s="282"/>
      <c r="W798" s="282"/>
      <c r="X798" s="282"/>
      <c r="Y798" s="282"/>
      <c r="Z798" s="282"/>
      <c r="AA798" s="282"/>
      <c r="AB798" s="282"/>
      <c r="AC798" s="282"/>
      <c r="AD798" s="282"/>
      <c r="AE798" s="282"/>
      <c r="AF798" s="282"/>
      <c r="AG798" s="282"/>
      <c r="AH798" s="281"/>
      <c r="AI798" s="282"/>
      <c r="AJ798" s="282"/>
      <c r="AK798" s="282"/>
      <c r="AL798" s="282"/>
      <c r="AM798" s="282"/>
      <c r="AN798" s="282"/>
      <c r="AO798" s="282"/>
      <c r="AP798" s="282"/>
      <c r="AQ798" s="282"/>
      <c r="AR798" s="282"/>
      <c r="AS798" s="282"/>
      <c r="AT798" s="282"/>
      <c r="AU798" s="282"/>
      <c r="AV798" s="282"/>
      <c r="AW798" s="282"/>
      <c r="AX798" s="282"/>
      <c r="AY798" s="282"/>
      <c r="AZ798" s="282"/>
      <c r="BA798" s="282"/>
    </row>
    <row r="799" spans="1:53">
      <c r="A799" s="282"/>
      <c r="B799" s="282"/>
      <c r="C799" s="282"/>
      <c r="D799" s="282"/>
      <c r="E799" s="282"/>
      <c r="F799" s="282"/>
      <c r="G799" s="282"/>
      <c r="H799" s="282"/>
      <c r="I799" s="282"/>
      <c r="J799" s="282"/>
      <c r="K799" s="282"/>
      <c r="L799" s="282"/>
      <c r="M799" s="282"/>
      <c r="N799" s="282"/>
      <c r="O799" s="282"/>
      <c r="P799" s="282"/>
      <c r="Q799" s="282"/>
      <c r="R799" s="282"/>
      <c r="S799" s="282"/>
      <c r="T799" s="282"/>
      <c r="U799" s="282"/>
      <c r="V799" s="282"/>
      <c r="W799" s="282"/>
      <c r="X799" s="282"/>
      <c r="Y799" s="282"/>
      <c r="Z799" s="282"/>
      <c r="AA799" s="282"/>
      <c r="AB799" s="282"/>
      <c r="AC799" s="282"/>
      <c r="AD799" s="282"/>
      <c r="AE799" s="282"/>
      <c r="AF799" s="282"/>
      <c r="AG799" s="282"/>
      <c r="AH799" s="281"/>
      <c r="AI799" s="282"/>
      <c r="AJ799" s="282"/>
      <c r="AK799" s="282"/>
      <c r="AL799" s="282"/>
      <c r="AM799" s="282"/>
      <c r="AN799" s="282"/>
      <c r="AO799" s="282"/>
      <c r="AP799" s="282"/>
      <c r="AQ799" s="282"/>
      <c r="AR799" s="282"/>
      <c r="AS799" s="282"/>
      <c r="AT799" s="282"/>
      <c r="AU799" s="282"/>
      <c r="AV799" s="282"/>
      <c r="AW799" s="282"/>
      <c r="AX799" s="282"/>
      <c r="AY799" s="282"/>
      <c r="AZ799" s="282"/>
      <c r="BA799" s="282"/>
    </row>
    <row r="800" spans="1:53">
      <c r="A800" s="282"/>
      <c r="B800" s="282"/>
      <c r="C800" s="282"/>
      <c r="D800" s="282"/>
      <c r="E800" s="282"/>
      <c r="F800" s="282"/>
      <c r="G800" s="282"/>
      <c r="H800" s="282"/>
      <c r="I800" s="282"/>
      <c r="J800" s="282"/>
      <c r="K800" s="282"/>
      <c r="L800" s="282"/>
      <c r="M800" s="282"/>
      <c r="N800" s="282"/>
      <c r="O800" s="282"/>
      <c r="P800" s="282"/>
      <c r="Q800" s="282"/>
      <c r="R800" s="282"/>
      <c r="S800" s="282"/>
      <c r="T800" s="282"/>
      <c r="U800" s="282"/>
      <c r="V800" s="282"/>
      <c r="W800" s="282"/>
      <c r="X800" s="282"/>
      <c r="Y800" s="282"/>
      <c r="Z800" s="282"/>
      <c r="AA800" s="282"/>
      <c r="AB800" s="282"/>
      <c r="AC800" s="282"/>
      <c r="AD800" s="282"/>
      <c r="AE800" s="282"/>
      <c r="AF800" s="282"/>
      <c r="AG800" s="282"/>
      <c r="AH800" s="281"/>
      <c r="AI800" s="282"/>
      <c r="AJ800" s="282"/>
      <c r="AK800" s="282"/>
      <c r="AL800" s="282"/>
      <c r="AM800" s="282"/>
      <c r="AN800" s="282"/>
      <c r="AO800" s="282"/>
      <c r="AP800" s="282"/>
      <c r="AQ800" s="282"/>
      <c r="AR800" s="282"/>
      <c r="AS800" s="282"/>
      <c r="AT800" s="282"/>
      <c r="AU800" s="282"/>
      <c r="AV800" s="282"/>
      <c r="AW800" s="282"/>
      <c r="AX800" s="282"/>
      <c r="AY800" s="282"/>
      <c r="AZ800" s="282"/>
      <c r="BA800" s="282"/>
    </row>
    <row r="801" spans="1:53">
      <c r="A801" s="282"/>
      <c r="B801" s="282"/>
      <c r="C801" s="282"/>
      <c r="D801" s="282"/>
      <c r="E801" s="282"/>
      <c r="F801" s="282"/>
      <c r="G801" s="282"/>
      <c r="H801" s="282"/>
      <c r="I801" s="282"/>
      <c r="J801" s="282"/>
      <c r="K801" s="282"/>
      <c r="L801" s="282"/>
      <c r="M801" s="282"/>
      <c r="N801" s="282"/>
      <c r="O801" s="282"/>
      <c r="P801" s="282"/>
      <c r="Q801" s="282"/>
      <c r="R801" s="282"/>
      <c r="S801" s="282"/>
      <c r="T801" s="282"/>
      <c r="U801" s="282"/>
      <c r="V801" s="282"/>
      <c r="W801" s="282"/>
      <c r="X801" s="282"/>
      <c r="Y801" s="282"/>
      <c r="Z801" s="282"/>
      <c r="AA801" s="282"/>
      <c r="AB801" s="282"/>
      <c r="AC801" s="282"/>
      <c r="AD801" s="282"/>
      <c r="AE801" s="282"/>
      <c r="AF801" s="282"/>
      <c r="AG801" s="282"/>
      <c r="AH801" s="281"/>
      <c r="AI801" s="282"/>
      <c r="AJ801" s="282"/>
      <c r="AK801" s="282"/>
      <c r="AL801" s="282"/>
      <c r="AM801" s="282"/>
      <c r="AN801" s="282"/>
      <c r="AO801" s="282"/>
      <c r="AP801" s="282"/>
      <c r="AQ801" s="282"/>
      <c r="AR801" s="282"/>
      <c r="AS801" s="282"/>
      <c r="AT801" s="282"/>
      <c r="AU801" s="282"/>
      <c r="AV801" s="282"/>
      <c r="AW801" s="282"/>
      <c r="AX801" s="282"/>
      <c r="AY801" s="282"/>
      <c r="AZ801" s="282"/>
      <c r="BA801" s="282"/>
    </row>
    <row r="802" spans="1:53">
      <c r="A802" s="282"/>
      <c r="B802" s="282"/>
      <c r="C802" s="282"/>
      <c r="D802" s="282"/>
      <c r="E802" s="282"/>
      <c r="F802" s="282"/>
      <c r="G802" s="282"/>
      <c r="H802" s="282"/>
      <c r="I802" s="282"/>
      <c r="J802" s="282"/>
      <c r="K802" s="282"/>
      <c r="L802" s="282"/>
      <c r="M802" s="282"/>
      <c r="N802" s="282"/>
      <c r="O802" s="282"/>
      <c r="P802" s="282"/>
      <c r="Q802" s="282"/>
      <c r="R802" s="282"/>
      <c r="S802" s="282"/>
      <c r="T802" s="282"/>
      <c r="U802" s="282"/>
      <c r="V802" s="282"/>
      <c r="W802" s="282"/>
      <c r="X802" s="282"/>
      <c r="Y802" s="282"/>
      <c r="Z802" s="282"/>
      <c r="AA802" s="282"/>
      <c r="AB802" s="282"/>
      <c r="AC802" s="282"/>
      <c r="AD802" s="282"/>
      <c r="AE802" s="282"/>
      <c r="AF802" s="282"/>
      <c r="AG802" s="282"/>
      <c r="AH802" s="281"/>
      <c r="AI802" s="282"/>
      <c r="AJ802" s="282"/>
      <c r="AK802" s="282"/>
      <c r="AL802" s="282"/>
      <c r="AM802" s="282"/>
      <c r="AN802" s="282"/>
      <c r="AO802" s="282"/>
      <c r="AP802" s="282"/>
      <c r="AQ802" s="282"/>
      <c r="AR802" s="282"/>
      <c r="AS802" s="282"/>
      <c r="AT802" s="282"/>
      <c r="AU802" s="282"/>
      <c r="AV802" s="282"/>
      <c r="AW802" s="282"/>
      <c r="AX802" s="282"/>
      <c r="AY802" s="282"/>
      <c r="AZ802" s="282"/>
      <c r="BA802" s="282"/>
    </row>
    <row r="803" spans="1:53">
      <c r="A803" s="282"/>
      <c r="B803" s="282"/>
      <c r="C803" s="282"/>
      <c r="D803" s="282"/>
      <c r="E803" s="282"/>
      <c r="F803" s="282"/>
      <c r="G803" s="282"/>
      <c r="H803" s="282"/>
      <c r="I803" s="282"/>
      <c r="J803" s="282"/>
      <c r="K803" s="282"/>
      <c r="L803" s="282"/>
      <c r="M803" s="282"/>
      <c r="N803" s="282"/>
      <c r="O803" s="282"/>
      <c r="P803" s="282"/>
      <c r="Q803" s="282"/>
      <c r="R803" s="282"/>
      <c r="S803" s="282"/>
      <c r="T803" s="282"/>
      <c r="U803" s="282"/>
      <c r="V803" s="282"/>
      <c r="W803" s="282"/>
      <c r="X803" s="282"/>
      <c r="Y803" s="282"/>
      <c r="Z803" s="282"/>
      <c r="AA803" s="282"/>
      <c r="AB803" s="282"/>
      <c r="AC803" s="282"/>
      <c r="AD803" s="282"/>
      <c r="AE803" s="282"/>
      <c r="AF803" s="282"/>
      <c r="AG803" s="282"/>
      <c r="AH803" s="281"/>
      <c r="AI803" s="282"/>
      <c r="AJ803" s="282"/>
      <c r="AK803" s="282"/>
      <c r="AL803" s="282"/>
      <c r="AM803" s="282"/>
      <c r="AN803" s="282"/>
      <c r="AO803" s="282"/>
      <c r="AP803" s="282"/>
      <c r="AQ803" s="282"/>
      <c r="AR803" s="282"/>
      <c r="AS803" s="282"/>
      <c r="AT803" s="282"/>
      <c r="AU803" s="282"/>
      <c r="AV803" s="282"/>
      <c r="AW803" s="282"/>
      <c r="AX803" s="282"/>
      <c r="AY803" s="282"/>
      <c r="AZ803" s="282"/>
      <c r="BA803" s="282"/>
    </row>
    <row r="804" spans="1:53">
      <c r="A804" s="282"/>
      <c r="B804" s="282"/>
      <c r="C804" s="282"/>
      <c r="D804" s="282"/>
      <c r="E804" s="282"/>
      <c r="F804" s="282"/>
      <c r="G804" s="282"/>
      <c r="H804" s="282"/>
      <c r="I804" s="282"/>
      <c r="J804" s="282"/>
      <c r="K804" s="282"/>
      <c r="L804" s="282"/>
      <c r="M804" s="282"/>
      <c r="N804" s="282"/>
      <c r="O804" s="282"/>
      <c r="P804" s="282"/>
      <c r="Q804" s="282"/>
      <c r="R804" s="282"/>
      <c r="S804" s="282"/>
      <c r="T804" s="282"/>
      <c r="U804" s="282"/>
      <c r="V804" s="282"/>
      <c r="W804" s="282"/>
      <c r="X804" s="282"/>
      <c r="Y804" s="282"/>
      <c r="Z804" s="282"/>
      <c r="AA804" s="282"/>
      <c r="AB804" s="282"/>
      <c r="AC804" s="282"/>
      <c r="AD804" s="282"/>
      <c r="AE804" s="282"/>
      <c r="AF804" s="282"/>
      <c r="AG804" s="282"/>
      <c r="AH804" s="281"/>
      <c r="AI804" s="282"/>
      <c r="AJ804" s="282"/>
      <c r="AK804" s="282"/>
      <c r="AL804" s="282"/>
      <c r="AM804" s="282"/>
      <c r="AN804" s="282"/>
      <c r="AO804" s="282"/>
      <c r="AP804" s="282"/>
      <c r="AQ804" s="282"/>
      <c r="AR804" s="282"/>
      <c r="AS804" s="282"/>
      <c r="AT804" s="282"/>
      <c r="AU804" s="282"/>
      <c r="AV804" s="282"/>
      <c r="AW804" s="282"/>
      <c r="AX804" s="282"/>
      <c r="AY804" s="282"/>
      <c r="AZ804" s="282"/>
      <c r="BA804" s="282"/>
    </row>
    <row r="805" spans="1:53">
      <c r="A805" s="282"/>
      <c r="B805" s="282"/>
      <c r="C805" s="282"/>
      <c r="D805" s="282"/>
      <c r="E805" s="282"/>
      <c r="F805" s="282"/>
      <c r="G805" s="282"/>
      <c r="H805" s="282"/>
      <c r="I805" s="282"/>
      <c r="J805" s="282"/>
      <c r="K805" s="282"/>
      <c r="L805" s="282"/>
      <c r="M805" s="282"/>
      <c r="N805" s="282"/>
      <c r="O805" s="282"/>
      <c r="P805" s="282"/>
      <c r="Q805" s="282"/>
      <c r="R805" s="282"/>
      <c r="S805" s="282"/>
      <c r="T805" s="282"/>
      <c r="U805" s="282"/>
      <c r="V805" s="282"/>
      <c r="W805" s="282"/>
      <c r="X805" s="282"/>
      <c r="Y805" s="282"/>
      <c r="Z805" s="282"/>
      <c r="AA805" s="282"/>
      <c r="AB805" s="282"/>
      <c r="AC805" s="282"/>
      <c r="AD805" s="282"/>
      <c r="AE805" s="282"/>
      <c r="AF805" s="282"/>
      <c r="AG805" s="282"/>
      <c r="AH805" s="281"/>
      <c r="AI805" s="282"/>
      <c r="AJ805" s="282"/>
      <c r="AK805" s="282"/>
      <c r="AL805" s="282"/>
      <c r="AM805" s="282"/>
      <c r="AN805" s="282"/>
      <c r="AO805" s="282"/>
      <c r="AP805" s="282"/>
      <c r="AQ805" s="282"/>
      <c r="AR805" s="282"/>
      <c r="AS805" s="282"/>
      <c r="AT805" s="282"/>
      <c r="AU805" s="282"/>
      <c r="AV805" s="282"/>
      <c r="AW805" s="282"/>
      <c r="AX805" s="282"/>
      <c r="AY805" s="282"/>
      <c r="AZ805" s="282"/>
      <c r="BA805" s="282"/>
    </row>
    <row r="806" spans="1:53">
      <c r="A806" s="282"/>
      <c r="B806" s="282"/>
      <c r="C806" s="282"/>
      <c r="D806" s="282"/>
      <c r="E806" s="282"/>
      <c r="F806" s="282"/>
      <c r="G806" s="282"/>
      <c r="H806" s="282"/>
      <c r="I806" s="282"/>
      <c r="J806" s="282"/>
      <c r="K806" s="282"/>
      <c r="L806" s="282"/>
      <c r="M806" s="282"/>
      <c r="N806" s="282"/>
      <c r="O806" s="282"/>
      <c r="P806" s="282"/>
      <c r="Q806" s="282"/>
      <c r="R806" s="282"/>
      <c r="S806" s="282"/>
      <c r="T806" s="282"/>
      <c r="U806" s="282"/>
      <c r="V806" s="282"/>
      <c r="W806" s="282"/>
      <c r="X806" s="282"/>
      <c r="Y806" s="282"/>
      <c r="Z806" s="282"/>
      <c r="AA806" s="282"/>
      <c r="AB806" s="282"/>
      <c r="AC806" s="282"/>
      <c r="AD806" s="282"/>
      <c r="AE806" s="282"/>
      <c r="AF806" s="282"/>
      <c r="AG806" s="282"/>
      <c r="AH806" s="281"/>
      <c r="AI806" s="282"/>
      <c r="AJ806" s="282"/>
      <c r="AK806" s="282"/>
      <c r="AL806" s="282"/>
      <c r="AM806" s="282"/>
      <c r="AN806" s="282"/>
      <c r="AO806" s="282"/>
      <c r="AP806" s="282"/>
      <c r="AQ806" s="282"/>
      <c r="AR806" s="282"/>
      <c r="AS806" s="282"/>
      <c r="AT806" s="282"/>
      <c r="AU806" s="282"/>
      <c r="AV806" s="282"/>
      <c r="AW806" s="282"/>
      <c r="AX806" s="282"/>
      <c r="AY806" s="282"/>
      <c r="AZ806" s="282"/>
      <c r="BA806" s="282"/>
    </row>
    <row r="807" spans="1:53">
      <c r="A807" s="282"/>
      <c r="B807" s="282"/>
      <c r="C807" s="282"/>
      <c r="D807" s="282"/>
      <c r="E807" s="282"/>
      <c r="F807" s="282"/>
      <c r="G807" s="282"/>
      <c r="H807" s="282"/>
      <c r="I807" s="282"/>
      <c r="J807" s="282"/>
      <c r="K807" s="282"/>
      <c r="L807" s="282"/>
      <c r="M807" s="282"/>
      <c r="N807" s="282"/>
      <c r="O807" s="282"/>
      <c r="P807" s="282"/>
      <c r="Q807" s="282"/>
      <c r="R807" s="282"/>
      <c r="S807" s="282"/>
      <c r="T807" s="282"/>
      <c r="U807" s="282"/>
      <c r="V807" s="282"/>
      <c r="W807" s="282"/>
      <c r="X807" s="282"/>
      <c r="Y807" s="282"/>
      <c r="Z807" s="282"/>
      <c r="AA807" s="282"/>
      <c r="AB807" s="282"/>
      <c r="AC807" s="282"/>
      <c r="AD807" s="282"/>
      <c r="AE807" s="282"/>
      <c r="AF807" s="282"/>
      <c r="AG807" s="282"/>
      <c r="AH807" s="281"/>
      <c r="AI807" s="282"/>
      <c r="AJ807" s="282"/>
      <c r="AK807" s="282"/>
      <c r="AL807" s="282"/>
      <c r="AM807" s="282"/>
      <c r="AN807" s="282"/>
      <c r="AO807" s="282"/>
      <c r="AP807" s="282"/>
      <c r="AQ807" s="282"/>
      <c r="AR807" s="282"/>
      <c r="AS807" s="282"/>
      <c r="AT807" s="282"/>
      <c r="AU807" s="282"/>
      <c r="AV807" s="282"/>
      <c r="AW807" s="282"/>
      <c r="AX807" s="282"/>
      <c r="AY807" s="282"/>
      <c r="AZ807" s="282"/>
      <c r="BA807" s="282"/>
    </row>
    <row r="808" spans="1:53">
      <c r="A808" s="282"/>
      <c r="B808" s="282"/>
      <c r="C808" s="282"/>
      <c r="D808" s="282"/>
      <c r="E808" s="282"/>
      <c r="F808" s="282"/>
      <c r="G808" s="282"/>
      <c r="H808" s="282"/>
      <c r="I808" s="282"/>
      <c r="J808" s="282"/>
      <c r="K808" s="282"/>
      <c r="L808" s="282"/>
      <c r="M808" s="282"/>
      <c r="N808" s="282"/>
      <c r="O808" s="282"/>
      <c r="P808" s="282"/>
      <c r="Q808" s="282"/>
      <c r="R808" s="282"/>
      <c r="S808" s="282"/>
      <c r="T808" s="282"/>
      <c r="U808" s="282"/>
      <c r="V808" s="282"/>
      <c r="W808" s="282"/>
      <c r="X808" s="282"/>
      <c r="Y808" s="282"/>
      <c r="Z808" s="282"/>
      <c r="AA808" s="282"/>
      <c r="AB808" s="282"/>
      <c r="AC808" s="282"/>
      <c r="AD808" s="282"/>
      <c r="AE808" s="282"/>
      <c r="AF808" s="282"/>
      <c r="AG808" s="282"/>
      <c r="AH808" s="281"/>
      <c r="AI808" s="282"/>
      <c r="AJ808" s="282"/>
      <c r="AK808" s="282"/>
      <c r="AL808" s="282"/>
      <c r="AM808" s="282"/>
      <c r="AN808" s="282"/>
      <c r="AO808" s="282"/>
      <c r="AP808" s="282"/>
      <c r="AQ808" s="282"/>
      <c r="AR808" s="282"/>
      <c r="AS808" s="282"/>
      <c r="AT808" s="282"/>
      <c r="AU808" s="282"/>
      <c r="AV808" s="282"/>
      <c r="AW808" s="282"/>
      <c r="AX808" s="282"/>
      <c r="AY808" s="282"/>
      <c r="AZ808" s="282"/>
      <c r="BA808" s="282"/>
    </row>
    <row r="809" spans="1:53">
      <c r="A809" s="282"/>
      <c r="B809" s="282"/>
      <c r="C809" s="282"/>
      <c r="D809" s="282"/>
      <c r="E809" s="282"/>
      <c r="F809" s="282"/>
      <c r="G809" s="282"/>
      <c r="H809" s="282"/>
      <c r="I809" s="282"/>
      <c r="J809" s="282"/>
      <c r="K809" s="282"/>
      <c r="L809" s="282"/>
      <c r="M809" s="282"/>
      <c r="N809" s="282"/>
      <c r="O809" s="282"/>
      <c r="P809" s="282"/>
      <c r="Q809" s="282"/>
      <c r="R809" s="282"/>
      <c r="S809" s="282"/>
      <c r="T809" s="282"/>
      <c r="U809" s="282"/>
      <c r="V809" s="282"/>
      <c r="W809" s="282"/>
      <c r="X809" s="282"/>
      <c r="Y809" s="282"/>
      <c r="Z809" s="282"/>
      <c r="AA809" s="282"/>
      <c r="AB809" s="282"/>
      <c r="AC809" s="282"/>
      <c r="AD809" s="282"/>
      <c r="AE809" s="282"/>
      <c r="AF809" s="282"/>
      <c r="AG809" s="282"/>
      <c r="AH809" s="281"/>
      <c r="AI809" s="282"/>
      <c r="AJ809" s="282"/>
      <c r="AK809" s="282"/>
      <c r="AL809" s="282"/>
      <c r="AM809" s="282"/>
      <c r="AN809" s="282"/>
      <c r="AO809" s="282"/>
      <c r="AP809" s="282"/>
      <c r="AQ809" s="282"/>
      <c r="AR809" s="282"/>
      <c r="AS809" s="282"/>
      <c r="AT809" s="282"/>
      <c r="AU809" s="282"/>
      <c r="AV809" s="282"/>
      <c r="AW809" s="282"/>
      <c r="AX809" s="282"/>
      <c r="AY809" s="282"/>
      <c r="AZ809" s="282"/>
      <c r="BA809" s="282"/>
    </row>
    <row r="810" spans="1:53">
      <c r="A810" s="282"/>
      <c r="B810" s="282"/>
      <c r="C810" s="282"/>
      <c r="D810" s="282"/>
      <c r="E810" s="282"/>
      <c r="F810" s="282"/>
      <c r="G810" s="282"/>
      <c r="H810" s="282"/>
      <c r="I810" s="282"/>
      <c r="J810" s="282"/>
      <c r="K810" s="282"/>
      <c r="L810" s="282"/>
      <c r="M810" s="282"/>
      <c r="N810" s="282"/>
      <c r="O810" s="282"/>
      <c r="P810" s="282"/>
      <c r="Q810" s="282"/>
      <c r="R810" s="282"/>
      <c r="S810" s="282"/>
      <c r="T810" s="282"/>
      <c r="U810" s="282"/>
      <c r="V810" s="282"/>
      <c r="W810" s="282"/>
      <c r="X810" s="282"/>
      <c r="Y810" s="282"/>
      <c r="Z810" s="282"/>
      <c r="AA810" s="282"/>
      <c r="AB810" s="282"/>
      <c r="AC810" s="282"/>
      <c r="AD810" s="282"/>
      <c r="AE810" s="282"/>
      <c r="AF810" s="282"/>
      <c r="AG810" s="282"/>
      <c r="AH810" s="281"/>
      <c r="AI810" s="282"/>
      <c r="AJ810" s="282"/>
      <c r="AK810" s="282"/>
      <c r="AL810" s="282"/>
      <c r="AM810" s="282"/>
      <c r="AN810" s="282"/>
      <c r="AO810" s="282"/>
      <c r="AP810" s="282"/>
      <c r="AQ810" s="282"/>
      <c r="AR810" s="282"/>
      <c r="AS810" s="282"/>
      <c r="AT810" s="282"/>
      <c r="AU810" s="282"/>
      <c r="AV810" s="282"/>
      <c r="AW810" s="282"/>
      <c r="AX810" s="282"/>
      <c r="AY810" s="282"/>
      <c r="AZ810" s="282"/>
      <c r="BA810" s="282"/>
    </row>
    <row r="811" spans="1:53">
      <c r="A811" s="282"/>
      <c r="B811" s="282"/>
      <c r="C811" s="282"/>
      <c r="D811" s="282"/>
      <c r="E811" s="282"/>
      <c r="F811" s="282"/>
      <c r="G811" s="282"/>
      <c r="H811" s="282"/>
      <c r="I811" s="282"/>
      <c r="J811" s="282"/>
      <c r="K811" s="282"/>
      <c r="L811" s="282"/>
      <c r="M811" s="282"/>
      <c r="N811" s="282"/>
      <c r="O811" s="282"/>
      <c r="P811" s="282"/>
      <c r="Q811" s="282"/>
      <c r="R811" s="282"/>
      <c r="S811" s="282"/>
      <c r="T811" s="282"/>
      <c r="U811" s="282"/>
      <c r="V811" s="282"/>
      <c r="W811" s="282"/>
      <c r="X811" s="282"/>
      <c r="Y811" s="282"/>
      <c r="Z811" s="282"/>
      <c r="AA811" s="282"/>
      <c r="AB811" s="282"/>
      <c r="AC811" s="282"/>
      <c r="AD811" s="282"/>
      <c r="AE811" s="282"/>
      <c r="AF811" s="282"/>
      <c r="AG811" s="282"/>
      <c r="AH811" s="281"/>
      <c r="AI811" s="282"/>
      <c r="AJ811" s="282"/>
      <c r="AK811" s="282"/>
      <c r="AL811" s="282"/>
      <c r="AM811" s="282"/>
      <c r="AN811" s="282"/>
      <c r="AO811" s="282"/>
      <c r="AP811" s="282"/>
      <c r="AQ811" s="282"/>
      <c r="AR811" s="282"/>
      <c r="AS811" s="282"/>
      <c r="AT811" s="282"/>
      <c r="AU811" s="282"/>
      <c r="AV811" s="282"/>
      <c r="AW811" s="282"/>
      <c r="AX811" s="282"/>
      <c r="AY811" s="282"/>
      <c r="AZ811" s="282"/>
      <c r="BA811" s="282"/>
    </row>
    <row r="812" spans="1:53">
      <c r="A812" s="282"/>
      <c r="B812" s="282"/>
      <c r="C812" s="282"/>
      <c r="D812" s="282"/>
      <c r="E812" s="282"/>
      <c r="F812" s="282"/>
      <c r="G812" s="282"/>
      <c r="H812" s="282"/>
      <c r="I812" s="282"/>
      <c r="J812" s="282"/>
      <c r="K812" s="282"/>
      <c r="L812" s="282"/>
      <c r="M812" s="282"/>
      <c r="N812" s="282"/>
      <c r="O812" s="282"/>
      <c r="P812" s="282"/>
      <c r="Q812" s="282"/>
      <c r="R812" s="282"/>
      <c r="S812" s="282"/>
      <c r="T812" s="282"/>
      <c r="U812" s="282"/>
      <c r="V812" s="282"/>
      <c r="W812" s="282"/>
      <c r="X812" s="282"/>
      <c r="Y812" s="282"/>
      <c r="Z812" s="282"/>
      <c r="AA812" s="282"/>
      <c r="AB812" s="282"/>
      <c r="AC812" s="282"/>
      <c r="AD812" s="282"/>
      <c r="AE812" s="282"/>
      <c r="AF812" s="282"/>
      <c r="AG812" s="282"/>
      <c r="AH812" s="281"/>
      <c r="AI812" s="282"/>
      <c r="AJ812" s="282"/>
      <c r="AK812" s="282"/>
      <c r="AL812" s="282"/>
      <c r="AM812" s="282"/>
      <c r="AN812" s="282"/>
      <c r="AO812" s="282"/>
      <c r="AP812" s="282"/>
      <c r="AQ812" s="282"/>
      <c r="AR812" s="282"/>
      <c r="AS812" s="282"/>
      <c r="AT812" s="282"/>
      <c r="AU812" s="282"/>
      <c r="AV812" s="282"/>
      <c r="AW812" s="282"/>
      <c r="AX812" s="282"/>
      <c r="AY812" s="282"/>
      <c r="AZ812" s="282"/>
      <c r="BA812" s="282"/>
    </row>
    <row r="813" spans="1:53">
      <c r="A813" s="282"/>
      <c r="B813" s="282"/>
      <c r="C813" s="282"/>
      <c r="D813" s="282"/>
      <c r="E813" s="282"/>
      <c r="F813" s="282"/>
      <c r="G813" s="282"/>
      <c r="H813" s="282"/>
      <c r="I813" s="282"/>
      <c r="J813" s="282"/>
      <c r="K813" s="282"/>
      <c r="L813" s="282"/>
      <c r="M813" s="282"/>
      <c r="N813" s="282"/>
      <c r="O813" s="282"/>
      <c r="P813" s="282"/>
      <c r="Q813" s="282"/>
      <c r="R813" s="282"/>
      <c r="S813" s="282"/>
      <c r="T813" s="282"/>
      <c r="U813" s="282"/>
      <c r="V813" s="282"/>
      <c r="W813" s="282"/>
      <c r="X813" s="282"/>
      <c r="Y813" s="282"/>
      <c r="Z813" s="282"/>
      <c r="AA813" s="282"/>
      <c r="AB813" s="282"/>
      <c r="AC813" s="282"/>
      <c r="AD813" s="282"/>
      <c r="AE813" s="282"/>
      <c r="AF813" s="282"/>
      <c r="AG813" s="282"/>
      <c r="AH813" s="281"/>
      <c r="AI813" s="282"/>
      <c r="AJ813" s="282"/>
      <c r="AK813" s="282"/>
      <c r="AL813" s="282"/>
      <c r="AM813" s="282"/>
      <c r="AN813" s="282"/>
      <c r="AO813" s="282"/>
      <c r="AP813" s="282"/>
      <c r="AQ813" s="282"/>
      <c r="AR813" s="282"/>
      <c r="AS813" s="282"/>
      <c r="AT813" s="282"/>
      <c r="AU813" s="282"/>
      <c r="AV813" s="282"/>
      <c r="AW813" s="282"/>
      <c r="AX813" s="282"/>
      <c r="AY813" s="282"/>
      <c r="AZ813" s="282"/>
      <c r="BA813" s="282"/>
    </row>
    <row r="814" spans="1:53">
      <c r="A814" s="282"/>
      <c r="B814" s="282"/>
      <c r="C814" s="282"/>
      <c r="D814" s="282"/>
      <c r="E814" s="282"/>
      <c r="F814" s="282"/>
      <c r="G814" s="282"/>
      <c r="H814" s="282"/>
      <c r="I814" s="282"/>
      <c r="J814" s="282"/>
      <c r="K814" s="282"/>
      <c r="L814" s="282"/>
      <c r="M814" s="282"/>
      <c r="N814" s="282"/>
      <c r="O814" s="282"/>
      <c r="P814" s="282"/>
      <c r="Q814" s="282"/>
      <c r="R814" s="282"/>
      <c r="S814" s="282"/>
      <c r="T814" s="282"/>
      <c r="U814" s="282"/>
      <c r="V814" s="282"/>
      <c r="W814" s="282"/>
      <c r="X814" s="282"/>
      <c r="Y814" s="282"/>
      <c r="Z814" s="282"/>
      <c r="AA814" s="282"/>
      <c r="AB814" s="282"/>
      <c r="AC814" s="282"/>
      <c r="AD814" s="282"/>
      <c r="AE814" s="282"/>
      <c r="AF814" s="282"/>
      <c r="AG814" s="282"/>
      <c r="AH814" s="281"/>
      <c r="AI814" s="282"/>
      <c r="AJ814" s="282"/>
      <c r="AK814" s="282"/>
      <c r="AL814" s="282"/>
      <c r="AM814" s="282"/>
      <c r="AN814" s="282"/>
      <c r="AO814" s="282"/>
      <c r="AP814" s="282"/>
      <c r="AQ814" s="282"/>
      <c r="AR814" s="282"/>
      <c r="AS814" s="282"/>
      <c r="AT814" s="282"/>
      <c r="AU814" s="282"/>
      <c r="AV814" s="282"/>
      <c r="AW814" s="282"/>
      <c r="AX814" s="282"/>
      <c r="AY814" s="282"/>
      <c r="AZ814" s="282"/>
      <c r="BA814" s="282"/>
    </row>
    <row r="815" spans="1:53">
      <c r="A815" s="282"/>
      <c r="B815" s="282"/>
      <c r="C815" s="282"/>
      <c r="D815" s="282"/>
      <c r="E815" s="282"/>
      <c r="F815" s="282"/>
      <c r="G815" s="282"/>
      <c r="H815" s="282"/>
      <c r="I815" s="282"/>
      <c r="J815" s="282"/>
      <c r="K815" s="282"/>
      <c r="L815" s="282"/>
      <c r="M815" s="282"/>
      <c r="N815" s="282"/>
      <c r="O815" s="282"/>
      <c r="P815" s="282"/>
      <c r="Q815" s="282"/>
      <c r="R815" s="282"/>
      <c r="S815" s="282"/>
      <c r="T815" s="282"/>
      <c r="U815" s="282"/>
      <c r="V815" s="282"/>
      <c r="W815" s="282"/>
      <c r="X815" s="282"/>
      <c r="Y815" s="282"/>
      <c r="Z815" s="282"/>
      <c r="AA815" s="282"/>
      <c r="AB815" s="282"/>
      <c r="AC815" s="282"/>
      <c r="AD815" s="282"/>
      <c r="AE815" s="282"/>
      <c r="AF815" s="282"/>
      <c r="AG815" s="282"/>
      <c r="AH815" s="281"/>
      <c r="AI815" s="282"/>
      <c r="AJ815" s="282"/>
      <c r="AK815" s="282"/>
      <c r="AL815" s="282"/>
      <c r="AM815" s="282"/>
      <c r="AN815" s="282"/>
      <c r="AO815" s="282"/>
      <c r="AP815" s="282"/>
      <c r="AQ815" s="282"/>
      <c r="AR815" s="282"/>
      <c r="AS815" s="282"/>
      <c r="AT815" s="282"/>
      <c r="AU815" s="282"/>
      <c r="AV815" s="282"/>
      <c r="AW815" s="282"/>
      <c r="AX815" s="282"/>
      <c r="AY815" s="282"/>
      <c r="AZ815" s="282"/>
      <c r="BA815" s="282"/>
    </row>
    <row r="816" spans="1:53">
      <c r="A816" s="282"/>
      <c r="B816" s="282"/>
      <c r="C816" s="282"/>
      <c r="D816" s="282"/>
      <c r="E816" s="282"/>
      <c r="F816" s="282"/>
      <c r="G816" s="282"/>
      <c r="H816" s="282"/>
      <c r="I816" s="282"/>
      <c r="J816" s="282"/>
      <c r="K816" s="282"/>
      <c r="L816" s="282"/>
      <c r="M816" s="282"/>
      <c r="N816" s="282"/>
      <c r="O816" s="282"/>
      <c r="P816" s="282"/>
      <c r="Q816" s="282"/>
      <c r="R816" s="282"/>
      <c r="S816" s="282"/>
      <c r="T816" s="282"/>
      <c r="U816" s="282"/>
      <c r="V816" s="282"/>
      <c r="W816" s="282"/>
      <c r="X816" s="282"/>
      <c r="Y816" s="282"/>
      <c r="Z816" s="282"/>
      <c r="AA816" s="282"/>
      <c r="AB816" s="282"/>
      <c r="AC816" s="282"/>
      <c r="AD816" s="282"/>
      <c r="AE816" s="282"/>
      <c r="AF816" s="282"/>
      <c r="AG816" s="282"/>
      <c r="AH816" s="281"/>
      <c r="AI816" s="282"/>
      <c r="AJ816" s="282"/>
      <c r="AK816" s="282"/>
      <c r="AL816" s="282"/>
      <c r="AM816" s="282"/>
      <c r="AN816" s="282"/>
      <c r="AO816" s="282"/>
      <c r="AP816" s="282"/>
      <c r="AQ816" s="282"/>
      <c r="AR816" s="282"/>
      <c r="AS816" s="282"/>
      <c r="AT816" s="282"/>
      <c r="AU816" s="282"/>
      <c r="AV816" s="282"/>
      <c r="AW816" s="282"/>
      <c r="AX816" s="282"/>
      <c r="AY816" s="282"/>
      <c r="AZ816" s="282"/>
      <c r="BA816" s="282"/>
    </row>
    <row r="817" spans="1:53">
      <c r="A817" s="282"/>
      <c r="B817" s="282"/>
      <c r="C817" s="282"/>
      <c r="D817" s="282"/>
      <c r="E817" s="282"/>
      <c r="F817" s="282"/>
      <c r="G817" s="282"/>
      <c r="H817" s="282"/>
      <c r="I817" s="282"/>
      <c r="J817" s="282"/>
      <c r="K817" s="282"/>
      <c r="L817" s="282"/>
      <c r="M817" s="282"/>
      <c r="N817" s="282"/>
      <c r="O817" s="282"/>
      <c r="P817" s="282"/>
      <c r="Q817" s="282"/>
      <c r="R817" s="282"/>
      <c r="S817" s="282"/>
      <c r="T817" s="282"/>
      <c r="U817" s="282"/>
      <c r="V817" s="282"/>
      <c r="W817" s="282"/>
      <c r="X817" s="282"/>
      <c r="Y817" s="282"/>
      <c r="Z817" s="282"/>
      <c r="AA817" s="282"/>
      <c r="AB817" s="282"/>
      <c r="AC817" s="282"/>
      <c r="AD817" s="282"/>
      <c r="AE817" s="282"/>
      <c r="AF817" s="282"/>
      <c r="AG817" s="282"/>
      <c r="AH817" s="281"/>
      <c r="AI817" s="282"/>
      <c r="AJ817" s="282"/>
      <c r="AK817" s="282"/>
      <c r="AL817" s="282"/>
      <c r="AM817" s="282"/>
      <c r="AN817" s="282"/>
      <c r="AO817" s="282"/>
      <c r="AP817" s="282"/>
      <c r="AQ817" s="282"/>
      <c r="AR817" s="282"/>
      <c r="AS817" s="282"/>
      <c r="AT817" s="282"/>
      <c r="AU817" s="282"/>
      <c r="AV817" s="282"/>
      <c r="AW817" s="282"/>
      <c r="AX817" s="282"/>
      <c r="AY817" s="282"/>
      <c r="AZ817" s="282"/>
      <c r="BA817" s="282"/>
    </row>
    <row r="818" spans="1:53">
      <c r="A818" s="282"/>
      <c r="B818" s="282"/>
      <c r="C818" s="282"/>
      <c r="D818" s="282"/>
      <c r="E818" s="282"/>
      <c r="F818" s="282"/>
      <c r="G818" s="282"/>
      <c r="H818" s="282"/>
      <c r="I818" s="282"/>
      <c r="J818" s="282"/>
      <c r="K818" s="282"/>
      <c r="L818" s="282"/>
      <c r="M818" s="282"/>
      <c r="N818" s="282"/>
      <c r="O818" s="282"/>
      <c r="P818" s="282"/>
      <c r="Q818" s="282"/>
      <c r="R818" s="282"/>
      <c r="S818" s="282"/>
      <c r="T818" s="282"/>
      <c r="U818" s="282"/>
      <c r="V818" s="282"/>
      <c r="W818" s="282"/>
      <c r="X818" s="282"/>
      <c r="Y818" s="282"/>
      <c r="Z818" s="282"/>
      <c r="AA818" s="282"/>
      <c r="AB818" s="282"/>
      <c r="AC818" s="282"/>
      <c r="AD818" s="282"/>
      <c r="AE818" s="282"/>
      <c r="AF818" s="282"/>
      <c r="AG818" s="282"/>
      <c r="AH818" s="281"/>
      <c r="AI818" s="282"/>
      <c r="AJ818" s="282"/>
      <c r="AK818" s="282"/>
      <c r="AL818" s="282"/>
      <c r="AM818" s="282"/>
      <c r="AN818" s="282"/>
      <c r="AO818" s="282"/>
      <c r="AP818" s="282"/>
      <c r="AQ818" s="282"/>
      <c r="AR818" s="282"/>
      <c r="AS818" s="282"/>
      <c r="AT818" s="282"/>
      <c r="AU818" s="282"/>
      <c r="AV818" s="282"/>
      <c r="AW818" s="282"/>
      <c r="AX818" s="282"/>
      <c r="AY818" s="282"/>
      <c r="AZ818" s="282"/>
      <c r="BA818" s="282"/>
    </row>
  </sheetData>
  <mergeCells count="10">
    <mergeCell ref="A1:AG1"/>
    <mergeCell ref="A2:B2"/>
    <mergeCell ref="C2:M2"/>
    <mergeCell ref="N2:P2"/>
    <mergeCell ref="Q2:S2"/>
    <mergeCell ref="T2:V2"/>
    <mergeCell ref="W2:Y2"/>
    <mergeCell ref="Z2:AA2"/>
    <mergeCell ref="AB2:AC2"/>
    <mergeCell ref="AD2:AG2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821"/>
  <sheetViews>
    <sheetView workbookViewId="0">
      <pane xSplit="2" ySplit="4" topLeftCell="C67" activePane="bottomRight" state="frozen"/>
      <selection/>
      <selection pane="topRight"/>
      <selection pane="bottomLeft"/>
      <selection pane="bottomRight" activeCell="M43" sqref="M43:M49"/>
    </sheetView>
  </sheetViews>
  <sheetFormatPr defaultColWidth="9" defaultRowHeight="14.25"/>
  <cols>
    <col min="1" max="1" width="9.625" style="165" customWidth="1"/>
    <col min="2" max="2" width="6" style="165" customWidth="1"/>
    <col min="3" max="3" width="10.375" style="165" customWidth="1"/>
    <col min="4" max="4" width="8.75" style="165" customWidth="1"/>
    <col min="5" max="5" width="10.5" style="165" customWidth="1"/>
    <col min="6" max="6" width="9.5" style="166" customWidth="1"/>
    <col min="7" max="7" width="9.5" style="165" customWidth="1"/>
    <col min="8" max="8" width="7.5" style="165" hidden="1" customWidth="1"/>
    <col min="9" max="9" width="8.5" style="165" hidden="1" customWidth="1"/>
    <col min="10" max="10" width="11.25" style="165" customWidth="1"/>
    <col min="11" max="12" width="9" style="165"/>
    <col min="13" max="13" width="11.625" style="167" customWidth="1"/>
    <col min="14" max="14" width="11" style="165" customWidth="1"/>
    <col min="15" max="15" width="12.75" style="165" customWidth="1"/>
    <col min="16" max="16" width="10.625" style="165" customWidth="1"/>
    <col min="17" max="17" width="11.875" style="165" customWidth="1"/>
    <col min="18" max="18" width="10.125" style="165" customWidth="1"/>
    <col min="19" max="19" width="12.25" style="165" customWidth="1"/>
    <col min="20" max="25" width="10.625" style="165" customWidth="1"/>
    <col min="26" max="26" width="8.75" style="168" customWidth="1"/>
    <col min="27" max="27" width="10.75" style="168" customWidth="1"/>
    <col min="28" max="28" width="9.75" style="165" customWidth="1"/>
    <col min="29" max="29" width="15.125" style="165" customWidth="1"/>
    <col min="30" max="30" width="13.25" style="165" customWidth="1"/>
    <col min="31" max="33" width="9" style="165"/>
    <col min="34" max="34" width="16.25" style="162" customWidth="1"/>
    <col min="35" max="35" width="13.875" style="165" customWidth="1"/>
    <col min="36" max="36" width="12.75" style="165" customWidth="1"/>
    <col min="37" max="16384" width="9" style="165"/>
  </cols>
  <sheetData>
    <row r="1" ht="15" customHeight="1" spans="1:5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281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</row>
    <row r="2" ht="15" customHeight="1" spans="1:55">
      <c r="A2" s="170"/>
      <c r="B2" s="171"/>
      <c r="C2" s="170" t="s"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208"/>
      <c r="N2" s="170" t="s">
        <v>2</v>
      </c>
      <c r="O2" s="171"/>
      <c r="P2" s="208"/>
      <c r="Q2" s="171" t="s">
        <v>3</v>
      </c>
      <c r="R2" s="171"/>
      <c r="S2" s="208"/>
      <c r="T2" s="170" t="s">
        <v>4</v>
      </c>
      <c r="U2" s="171"/>
      <c r="V2" s="208"/>
      <c r="W2" s="234" t="s">
        <v>5</v>
      </c>
      <c r="X2" s="235"/>
      <c r="Y2" s="250"/>
      <c r="Z2" s="251"/>
      <c r="AA2" s="252"/>
      <c r="AB2" s="253"/>
      <c r="AC2" s="254"/>
      <c r="AD2" s="170"/>
      <c r="AE2" s="171"/>
      <c r="AF2" s="171"/>
      <c r="AG2" s="208"/>
      <c r="AH2" s="281"/>
      <c r="AI2" s="282"/>
      <c r="AJ2" s="282"/>
      <c r="AK2" s="282"/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V2" s="282"/>
      <c r="AW2" s="282"/>
      <c r="AX2" s="282"/>
      <c r="AY2" s="282"/>
      <c r="AZ2" s="282"/>
      <c r="BA2" s="282"/>
      <c r="BB2" s="282"/>
      <c r="BC2" s="282"/>
    </row>
    <row r="3" s="162" customFormat="1" ht="24.75" customHeight="1" spans="1:55">
      <c r="A3" s="172" t="s">
        <v>6</v>
      </c>
      <c r="B3" s="173" t="s">
        <v>7</v>
      </c>
      <c r="C3" s="174" t="s">
        <v>8</v>
      </c>
      <c r="D3" s="175" t="s">
        <v>9</v>
      </c>
      <c r="E3" s="175" t="s">
        <v>10</v>
      </c>
      <c r="F3" s="176" t="s">
        <v>11</v>
      </c>
      <c r="G3" s="177" t="s">
        <v>12</v>
      </c>
      <c r="H3" s="178" t="s">
        <v>13</v>
      </c>
      <c r="I3" s="178" t="s">
        <v>14</v>
      </c>
      <c r="J3" s="172" t="s">
        <v>15</v>
      </c>
      <c r="K3" s="177" t="s">
        <v>16</v>
      </c>
      <c r="L3" s="177" t="s">
        <v>17</v>
      </c>
      <c r="M3" s="209" t="s">
        <v>18</v>
      </c>
      <c r="N3" s="210" t="s">
        <v>8</v>
      </c>
      <c r="O3" s="173" t="s">
        <v>9</v>
      </c>
      <c r="P3" s="211" t="s">
        <v>10</v>
      </c>
      <c r="Q3" s="236" t="s">
        <v>8</v>
      </c>
      <c r="R3" s="173" t="s">
        <v>9</v>
      </c>
      <c r="S3" s="211" t="s">
        <v>10</v>
      </c>
      <c r="T3" s="210" t="s">
        <v>8</v>
      </c>
      <c r="U3" s="173" t="s">
        <v>9</v>
      </c>
      <c r="V3" s="173" t="s">
        <v>10</v>
      </c>
      <c r="W3" s="173" t="s">
        <v>8</v>
      </c>
      <c r="X3" s="173" t="s">
        <v>9</v>
      </c>
      <c r="Y3" s="211" t="s">
        <v>10</v>
      </c>
      <c r="Z3" s="255" t="s">
        <v>19</v>
      </c>
      <c r="AA3" s="256" t="s">
        <v>20</v>
      </c>
      <c r="AB3" s="257" t="s">
        <v>21</v>
      </c>
      <c r="AC3" s="258" t="s">
        <v>22</v>
      </c>
      <c r="AD3" s="257" t="s">
        <v>23</v>
      </c>
      <c r="AE3" s="259" t="s">
        <v>24</v>
      </c>
      <c r="AF3" s="259" t="s">
        <v>25</v>
      </c>
      <c r="AG3" s="258" t="s">
        <v>26</v>
      </c>
      <c r="AH3" s="281" t="s">
        <v>27</v>
      </c>
      <c r="AI3" s="282" t="s">
        <v>28</v>
      </c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</row>
    <row r="4" s="162" customFormat="1" ht="15" customHeight="1" spans="1:55">
      <c r="A4" s="179"/>
      <c r="B4" s="180"/>
      <c r="C4" s="181" t="s">
        <v>29</v>
      </c>
      <c r="D4" s="179" t="s">
        <v>29</v>
      </c>
      <c r="E4" s="179" t="s">
        <v>29</v>
      </c>
      <c r="F4" s="182" t="s">
        <v>30</v>
      </c>
      <c r="G4" s="179" t="s">
        <v>30</v>
      </c>
      <c r="H4" s="179" t="s">
        <v>30</v>
      </c>
      <c r="I4" s="179" t="s">
        <v>30</v>
      </c>
      <c r="J4" s="179" t="s">
        <v>29</v>
      </c>
      <c r="K4" s="179" t="s">
        <v>29</v>
      </c>
      <c r="L4" s="179" t="s">
        <v>29</v>
      </c>
      <c r="M4" s="212" t="s">
        <v>29</v>
      </c>
      <c r="N4" s="181" t="s">
        <v>29</v>
      </c>
      <c r="O4" s="179" t="s">
        <v>29</v>
      </c>
      <c r="P4" s="213" t="s">
        <v>29</v>
      </c>
      <c r="Q4" s="237" t="s">
        <v>29</v>
      </c>
      <c r="R4" s="179" t="s">
        <v>29</v>
      </c>
      <c r="S4" s="213" t="s">
        <v>29</v>
      </c>
      <c r="T4" s="181" t="s">
        <v>31</v>
      </c>
      <c r="U4" s="179" t="s">
        <v>31</v>
      </c>
      <c r="V4" s="179" t="s">
        <v>31</v>
      </c>
      <c r="W4" s="179" t="s">
        <v>31</v>
      </c>
      <c r="X4" s="179" t="s">
        <v>31</v>
      </c>
      <c r="Y4" s="213" t="s">
        <v>31</v>
      </c>
      <c r="Z4" s="260" t="s">
        <v>32</v>
      </c>
      <c r="AA4" s="261" t="s">
        <v>32</v>
      </c>
      <c r="AB4" s="181" t="s">
        <v>30</v>
      </c>
      <c r="AC4" s="213" t="s">
        <v>33</v>
      </c>
      <c r="AD4" s="181" t="s">
        <v>29</v>
      </c>
      <c r="AE4" s="179" t="s">
        <v>29</v>
      </c>
      <c r="AF4" s="179" t="s">
        <v>29</v>
      </c>
      <c r="AG4" s="213" t="s">
        <v>29</v>
      </c>
      <c r="AH4" s="281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  <c r="BA4" s="282"/>
      <c r="BB4" s="282"/>
      <c r="BC4" s="282"/>
    </row>
    <row r="5" ht="15" customHeight="1" spans="1:55">
      <c r="A5" s="183">
        <v>42736</v>
      </c>
      <c r="B5" s="184" t="s">
        <v>39</v>
      </c>
      <c r="C5" s="185">
        <v>54475</v>
      </c>
      <c r="D5" s="186">
        <v>28247</v>
      </c>
      <c r="E5" s="186">
        <v>84371</v>
      </c>
      <c r="F5" s="187">
        <v>3959</v>
      </c>
      <c r="G5" s="186">
        <v>3143</v>
      </c>
      <c r="H5" s="188"/>
      <c r="I5" s="188"/>
      <c r="J5" s="214">
        <f t="shared" ref="J5:J68" si="0">E5-D5</f>
        <v>56124</v>
      </c>
      <c r="K5" s="186">
        <v>212</v>
      </c>
      <c r="L5" s="186">
        <v>717</v>
      </c>
      <c r="M5" s="215">
        <f>J5-K5-L5-C5</f>
        <v>720</v>
      </c>
      <c r="N5" s="216">
        <f>C5</f>
        <v>54475</v>
      </c>
      <c r="O5" s="217">
        <f>D5</f>
        <v>28247</v>
      </c>
      <c r="P5" s="218">
        <f>E5</f>
        <v>84371</v>
      </c>
      <c r="Q5" s="238">
        <f>N5</f>
        <v>54475</v>
      </c>
      <c r="R5" s="217">
        <f>O5</f>
        <v>28247</v>
      </c>
      <c r="S5" s="239">
        <f>P5</f>
        <v>84371</v>
      </c>
      <c r="T5" s="240">
        <f>N5/'2017'!N5-1</f>
        <v>0.0302990184025873</v>
      </c>
      <c r="U5" s="241">
        <f>O5/'2017'!O5-1</f>
        <v>0.163241774080632</v>
      </c>
      <c r="V5" s="241">
        <f>P5/'2017'!P5-1</f>
        <v>0.0712281459097777</v>
      </c>
      <c r="W5" s="241">
        <f>Q5/'2017'!Q5-1</f>
        <v>0.0302990184025873</v>
      </c>
      <c r="X5" s="241">
        <f>R5/'2017'!R5-1</f>
        <v>0.163241774080632</v>
      </c>
      <c r="Y5" s="262">
        <f>S5/'2017'!S5-1</f>
        <v>0.0712281459097777</v>
      </c>
      <c r="Z5" s="263"/>
      <c r="AA5" s="264">
        <f t="shared" ref="AA5:AA8" si="1">Q5/10000-Z5</f>
        <v>5.4475</v>
      </c>
      <c r="AB5" s="265">
        <v>4269.48</v>
      </c>
      <c r="AC5" s="266">
        <f t="shared" ref="AC5:AC8" si="2">AA5*10000/AB5</f>
        <v>12.7591650505448</v>
      </c>
      <c r="AD5" s="265">
        <f>S5-R5</f>
        <v>56124</v>
      </c>
      <c r="AE5" s="186">
        <f>K5</f>
        <v>212</v>
      </c>
      <c r="AF5" s="186">
        <f>L5</f>
        <v>717</v>
      </c>
      <c r="AG5" s="266">
        <f>AD5-Q5-AE5-AF5</f>
        <v>720</v>
      </c>
      <c r="AH5" s="281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282"/>
      <c r="AW5" s="282"/>
      <c r="AX5" s="282"/>
      <c r="AY5" s="282"/>
      <c r="AZ5" s="282"/>
      <c r="BA5" s="282"/>
      <c r="BB5" s="282"/>
      <c r="BC5" s="282"/>
    </row>
    <row r="6" ht="15" customHeight="1" spans="1:55">
      <c r="A6" s="189">
        <v>42737</v>
      </c>
      <c r="B6" s="184" t="s">
        <v>34</v>
      </c>
      <c r="C6" s="185">
        <v>67248</v>
      </c>
      <c r="D6" s="186">
        <v>34711</v>
      </c>
      <c r="E6" s="186">
        <v>103369</v>
      </c>
      <c r="F6" s="187">
        <v>5422</v>
      </c>
      <c r="G6" s="186">
        <v>2814</v>
      </c>
      <c r="H6" s="188"/>
      <c r="I6" s="188"/>
      <c r="J6" s="214">
        <f t="shared" si="0"/>
        <v>68658</v>
      </c>
      <c r="K6" s="186">
        <v>189</v>
      </c>
      <c r="L6" s="186">
        <v>792</v>
      </c>
      <c r="M6" s="215">
        <f t="shared" ref="M6:M69" si="3">J6-K6-L6-C6</f>
        <v>429</v>
      </c>
      <c r="N6" s="216">
        <f t="shared" ref="N6:P21" si="4">N5+C6</f>
        <v>121723</v>
      </c>
      <c r="O6" s="219">
        <f t="shared" si="4"/>
        <v>62958</v>
      </c>
      <c r="P6" s="218">
        <f t="shared" si="4"/>
        <v>187740</v>
      </c>
      <c r="Q6" s="238">
        <f t="shared" ref="Q6:S35" si="5">N6</f>
        <v>121723</v>
      </c>
      <c r="R6" s="217">
        <f t="shared" si="5"/>
        <v>62958</v>
      </c>
      <c r="S6" s="239">
        <f t="shared" si="5"/>
        <v>187740</v>
      </c>
      <c r="T6" s="240">
        <f>N6/'2017'!N6-1</f>
        <v>0.04095472659791</v>
      </c>
      <c r="U6" s="241">
        <f>O6/'2017'!O6-1</f>
        <v>0.29831724820589</v>
      </c>
      <c r="V6" s="241">
        <f>P6/'2017'!P6-1</f>
        <v>0.112948834231446</v>
      </c>
      <c r="W6" s="241">
        <f>Q6/'2017'!Q6-1</f>
        <v>0.04095472659791</v>
      </c>
      <c r="X6" s="241">
        <f>R6/'2017'!R6-1</f>
        <v>0.29831724820589</v>
      </c>
      <c r="Y6" s="262">
        <f>S6/'2017'!S6-1</f>
        <v>0.112948834231446</v>
      </c>
      <c r="Z6" s="263"/>
      <c r="AA6" s="264">
        <f t="shared" si="1"/>
        <v>12.1723</v>
      </c>
      <c r="AB6" s="265"/>
      <c r="AC6" s="266"/>
      <c r="AD6" s="265">
        <f t="shared" ref="AD6:AD69" si="6">S6-R6</f>
        <v>124782</v>
      </c>
      <c r="AE6" s="186">
        <f>AE5+K6</f>
        <v>401</v>
      </c>
      <c r="AF6" s="186">
        <f>AF5+L6</f>
        <v>1509</v>
      </c>
      <c r="AG6" s="266">
        <f>AD6-Q6-AE6-AF6</f>
        <v>1149</v>
      </c>
      <c r="AH6" s="281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2"/>
      <c r="BA6" s="282"/>
      <c r="BB6" s="282"/>
      <c r="BC6" s="282"/>
    </row>
    <row r="7" ht="15" customHeight="1" spans="1:55">
      <c r="A7" s="189">
        <v>42738</v>
      </c>
      <c r="B7" s="184" t="s">
        <v>35</v>
      </c>
      <c r="C7" s="185">
        <v>75259</v>
      </c>
      <c r="D7" s="186">
        <v>35409</v>
      </c>
      <c r="E7" s="186">
        <v>112157</v>
      </c>
      <c r="F7" s="187">
        <v>5761</v>
      </c>
      <c r="G7" s="186">
        <v>3391</v>
      </c>
      <c r="H7" s="188"/>
      <c r="I7" s="188"/>
      <c r="J7" s="214">
        <f t="shared" si="0"/>
        <v>76748</v>
      </c>
      <c r="K7" s="186">
        <v>466</v>
      </c>
      <c r="L7" s="186">
        <v>794</v>
      </c>
      <c r="M7" s="215">
        <f t="shared" si="3"/>
        <v>229</v>
      </c>
      <c r="N7" s="216">
        <f t="shared" si="4"/>
        <v>196982</v>
      </c>
      <c r="O7" s="219">
        <f t="shared" si="4"/>
        <v>98367</v>
      </c>
      <c r="P7" s="218">
        <f t="shared" si="4"/>
        <v>299897</v>
      </c>
      <c r="Q7" s="238">
        <f t="shared" si="5"/>
        <v>196982</v>
      </c>
      <c r="R7" s="217">
        <f t="shared" si="5"/>
        <v>98367</v>
      </c>
      <c r="S7" s="239">
        <f t="shared" si="5"/>
        <v>299897</v>
      </c>
      <c r="T7" s="240">
        <f>N7/'2017'!N7-1</f>
        <v>0.0677688638334779</v>
      </c>
      <c r="U7" s="241">
        <f>O7/'2017'!O7-1</f>
        <v>0.317356368019285</v>
      </c>
      <c r="V7" s="241">
        <f>P7/'2017'!P7-1</f>
        <v>0.134701244059691</v>
      </c>
      <c r="W7" s="241">
        <f>Q7/'2017'!Q7-1</f>
        <v>0.0677688638334779</v>
      </c>
      <c r="X7" s="241">
        <f>R7/'2017'!R7-1</f>
        <v>0.317356368019285</v>
      </c>
      <c r="Y7" s="262">
        <f>S7/'2017'!S7-1</f>
        <v>0.134701244059691</v>
      </c>
      <c r="Z7" s="263"/>
      <c r="AA7" s="264">
        <f t="shared" si="1"/>
        <v>19.6982</v>
      </c>
      <c r="AB7" s="265"/>
      <c r="AC7" s="266"/>
      <c r="AD7" s="265">
        <f t="shared" si="6"/>
        <v>201530</v>
      </c>
      <c r="AE7" s="186">
        <f t="shared" ref="AE7:AE70" si="7">AE6+K7</f>
        <v>867</v>
      </c>
      <c r="AF7" s="186">
        <f t="shared" ref="AF7:AF22" si="8">AF6+L7</f>
        <v>2303</v>
      </c>
      <c r="AG7" s="266">
        <f t="shared" ref="AG7:AG69" si="9">AD7-Q7-AE7-AF7</f>
        <v>1378</v>
      </c>
      <c r="AH7" s="281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2"/>
    </row>
    <row r="8" s="163" customFormat="1" ht="15" customHeight="1" spans="1:55">
      <c r="A8" s="190">
        <v>42739</v>
      </c>
      <c r="B8" s="191" t="s">
        <v>36</v>
      </c>
      <c r="C8" s="192">
        <v>77845</v>
      </c>
      <c r="D8" s="193">
        <v>36293</v>
      </c>
      <c r="E8" s="193">
        <v>115997</v>
      </c>
      <c r="F8" s="194">
        <v>5988</v>
      </c>
      <c r="G8" s="193">
        <v>3516</v>
      </c>
      <c r="H8" s="195"/>
      <c r="I8" s="195"/>
      <c r="J8" s="220">
        <f t="shared" si="0"/>
        <v>79704</v>
      </c>
      <c r="K8" s="193">
        <v>841</v>
      </c>
      <c r="L8" s="193">
        <v>792</v>
      </c>
      <c r="M8" s="221">
        <f t="shared" si="3"/>
        <v>226</v>
      </c>
      <c r="N8" s="222">
        <f t="shared" si="4"/>
        <v>274827</v>
      </c>
      <c r="O8" s="223">
        <f>O7+D8</f>
        <v>134660</v>
      </c>
      <c r="P8" s="224">
        <f t="shared" si="4"/>
        <v>415894</v>
      </c>
      <c r="Q8" s="242">
        <f t="shared" si="5"/>
        <v>274827</v>
      </c>
      <c r="R8" s="223">
        <f t="shared" si="5"/>
        <v>134660</v>
      </c>
      <c r="S8" s="243">
        <f t="shared" si="5"/>
        <v>415894</v>
      </c>
      <c r="T8" s="244">
        <f>N8/'2017'!N8-1</f>
        <v>0.0845366113533672</v>
      </c>
      <c r="U8" s="245">
        <f>O8/'2017'!O8-1</f>
        <v>0.334310995729333</v>
      </c>
      <c r="V8" s="245">
        <f>P8/'2017'!P8-1</f>
        <v>0.153022326094611</v>
      </c>
      <c r="W8" s="245">
        <f>Q8/'2017'!Q8-1</f>
        <v>0.0845366113533672</v>
      </c>
      <c r="X8" s="245">
        <f>R8/'2017'!R8-1</f>
        <v>0.334310995729333</v>
      </c>
      <c r="Y8" s="267">
        <f>S8/'2017'!S8-1</f>
        <v>0.153022326094611</v>
      </c>
      <c r="Z8" s="268">
        <v>0.78</v>
      </c>
      <c r="AA8" s="269">
        <f t="shared" si="1"/>
        <v>26.7027</v>
      </c>
      <c r="AB8" s="270">
        <v>4269.48</v>
      </c>
      <c r="AC8" s="221">
        <f t="shared" si="2"/>
        <v>62.5432136934709</v>
      </c>
      <c r="AD8" s="270">
        <f t="shared" si="6"/>
        <v>281234</v>
      </c>
      <c r="AE8" s="193">
        <f t="shared" si="7"/>
        <v>1708</v>
      </c>
      <c r="AF8" s="193">
        <f t="shared" si="8"/>
        <v>3095</v>
      </c>
      <c r="AG8" s="221">
        <f t="shared" si="9"/>
        <v>1604</v>
      </c>
      <c r="AH8" s="281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2"/>
      <c r="AU8" s="282"/>
      <c r="AV8" s="282"/>
      <c r="AW8" s="282"/>
      <c r="AX8" s="282"/>
      <c r="AY8" s="282"/>
      <c r="AZ8" s="282"/>
      <c r="BA8" s="282"/>
      <c r="BB8" s="282"/>
      <c r="BC8" s="282"/>
    </row>
    <row r="9" ht="15" customHeight="1" spans="1:55">
      <c r="A9" s="189">
        <v>42740</v>
      </c>
      <c r="B9" s="184" t="s">
        <v>37</v>
      </c>
      <c r="C9" s="185">
        <v>78434</v>
      </c>
      <c r="D9" s="186">
        <v>38172</v>
      </c>
      <c r="E9" s="186">
        <v>118071</v>
      </c>
      <c r="F9" s="187">
        <v>6023</v>
      </c>
      <c r="G9" s="186">
        <v>3535</v>
      </c>
      <c r="H9" s="188"/>
      <c r="I9" s="188"/>
      <c r="J9" s="214">
        <f t="shared" si="0"/>
        <v>79899</v>
      </c>
      <c r="K9" s="186">
        <v>462</v>
      </c>
      <c r="L9" s="186">
        <v>793</v>
      </c>
      <c r="M9" s="215">
        <f t="shared" si="3"/>
        <v>210</v>
      </c>
      <c r="N9" s="216">
        <f t="shared" si="4"/>
        <v>353261</v>
      </c>
      <c r="O9" s="219">
        <f t="shared" si="4"/>
        <v>172832</v>
      </c>
      <c r="P9" s="218">
        <f t="shared" si="4"/>
        <v>533965</v>
      </c>
      <c r="Q9" s="238">
        <f t="shared" si="5"/>
        <v>353261</v>
      </c>
      <c r="R9" s="217">
        <f t="shared" si="5"/>
        <v>172832</v>
      </c>
      <c r="S9" s="239">
        <f t="shared" si="5"/>
        <v>533965</v>
      </c>
      <c r="T9" s="240">
        <f>N9/'2017'!N9-1</f>
        <v>0.0963688277831227</v>
      </c>
      <c r="U9" s="241">
        <f>O9/'2017'!O9-1</f>
        <v>0.355885398688298</v>
      </c>
      <c r="V9" s="241">
        <f>P9/'2017'!P9-1</f>
        <v>0.167718557007645</v>
      </c>
      <c r="W9" s="241">
        <f>Q9/'2017'!Q9-1</f>
        <v>0.0963688277831227</v>
      </c>
      <c r="X9" s="241">
        <f>R9/'2017'!R9-1</f>
        <v>0.355885398688298</v>
      </c>
      <c r="Y9" s="271">
        <f>S9/'2017'!S9-1</f>
        <v>0.167718557007645</v>
      </c>
      <c r="Z9" s="263"/>
      <c r="AA9" s="264">
        <f t="shared" ref="AA9:AA72" si="10">Q9/10000-Z9</f>
        <v>35.3261</v>
      </c>
      <c r="AB9" s="265"/>
      <c r="AC9" s="266"/>
      <c r="AD9" s="265">
        <f t="shared" si="6"/>
        <v>361133</v>
      </c>
      <c r="AE9" s="186">
        <f t="shared" si="7"/>
        <v>2170</v>
      </c>
      <c r="AF9" s="186">
        <f t="shared" si="8"/>
        <v>3888</v>
      </c>
      <c r="AG9" s="266">
        <f t="shared" si="9"/>
        <v>1814</v>
      </c>
      <c r="AH9" s="281"/>
      <c r="AI9" s="282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2"/>
    </row>
    <row r="10" ht="15" customHeight="1" spans="1:55">
      <c r="A10" s="189">
        <v>42741</v>
      </c>
      <c r="B10" s="184" t="s">
        <v>38</v>
      </c>
      <c r="C10" s="185">
        <v>78871</v>
      </c>
      <c r="D10" s="186">
        <v>37382</v>
      </c>
      <c r="E10" s="186">
        <v>117812</v>
      </c>
      <c r="F10" s="187">
        <v>5856</v>
      </c>
      <c r="G10" s="186">
        <v>3665</v>
      </c>
      <c r="H10" s="188"/>
      <c r="I10" s="188"/>
      <c r="J10" s="214">
        <f t="shared" si="0"/>
        <v>80430</v>
      </c>
      <c r="K10" s="186">
        <v>440</v>
      </c>
      <c r="L10" s="186">
        <v>793</v>
      </c>
      <c r="M10" s="215">
        <f t="shared" si="3"/>
        <v>326</v>
      </c>
      <c r="N10" s="216">
        <f t="shared" si="4"/>
        <v>432132</v>
      </c>
      <c r="O10" s="219">
        <f t="shared" si="4"/>
        <v>210214</v>
      </c>
      <c r="P10" s="218">
        <f t="shared" si="4"/>
        <v>651777</v>
      </c>
      <c r="Q10" s="238">
        <f t="shared" si="5"/>
        <v>432132</v>
      </c>
      <c r="R10" s="217">
        <f t="shared" si="5"/>
        <v>210214</v>
      </c>
      <c r="S10" s="239">
        <f t="shared" si="5"/>
        <v>651777</v>
      </c>
      <c r="T10" s="240">
        <f>N10/'2017'!N10-1</f>
        <v>0.103734694190305</v>
      </c>
      <c r="U10" s="241">
        <f>O10/'2017'!O10-1</f>
        <v>0.36227488643065</v>
      </c>
      <c r="V10" s="241">
        <f>P10/'2017'!P10-1</f>
        <v>0.17500599422031</v>
      </c>
      <c r="W10" s="241">
        <f>Q10/'2017'!Q10-1</f>
        <v>0.103734694190305</v>
      </c>
      <c r="X10" s="241">
        <f>R10/'2017'!R10-1</f>
        <v>0.36227488643065</v>
      </c>
      <c r="Y10" s="262">
        <f>S10/'2017'!S10-1</f>
        <v>0.17500599422031</v>
      </c>
      <c r="Z10" s="263"/>
      <c r="AA10" s="264">
        <f t="shared" si="10"/>
        <v>43.2132</v>
      </c>
      <c r="AB10" s="265"/>
      <c r="AC10" s="266"/>
      <c r="AD10" s="265">
        <f t="shared" si="6"/>
        <v>441563</v>
      </c>
      <c r="AE10" s="186">
        <f t="shared" si="7"/>
        <v>2610</v>
      </c>
      <c r="AF10" s="186">
        <f t="shared" si="8"/>
        <v>4681</v>
      </c>
      <c r="AG10" s="266">
        <f t="shared" si="9"/>
        <v>2140</v>
      </c>
      <c r="AH10" s="281"/>
      <c r="AI10" s="282"/>
      <c r="AJ10" s="282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  <c r="AZ10" s="282"/>
      <c r="BA10" s="282"/>
      <c r="BB10" s="282"/>
      <c r="BC10" s="282"/>
    </row>
    <row r="11" ht="15" customHeight="1" spans="1:55">
      <c r="A11" s="189">
        <v>42742</v>
      </c>
      <c r="B11" s="184" t="s">
        <v>1</v>
      </c>
      <c r="C11" s="185">
        <v>74912</v>
      </c>
      <c r="D11" s="186">
        <f>9428+26736</f>
        <v>36164</v>
      </c>
      <c r="E11" s="186">
        <v>112478</v>
      </c>
      <c r="F11" s="187">
        <v>5684</v>
      </c>
      <c r="G11" s="186">
        <v>3587</v>
      </c>
      <c r="H11" s="188"/>
      <c r="I11" s="188"/>
      <c r="J11" s="214">
        <f t="shared" si="0"/>
        <v>76314</v>
      </c>
      <c r="K11" s="186">
        <v>359</v>
      </c>
      <c r="L11" s="186">
        <v>791</v>
      </c>
      <c r="M11" s="215">
        <f t="shared" si="3"/>
        <v>252</v>
      </c>
      <c r="N11" s="216">
        <f t="shared" si="4"/>
        <v>507044</v>
      </c>
      <c r="O11" s="219">
        <f t="shared" si="4"/>
        <v>246378</v>
      </c>
      <c r="P11" s="218">
        <f t="shared" si="4"/>
        <v>764255</v>
      </c>
      <c r="Q11" s="238">
        <f t="shared" si="5"/>
        <v>507044</v>
      </c>
      <c r="R11" s="217">
        <f t="shared" si="5"/>
        <v>246378</v>
      </c>
      <c r="S11" s="239">
        <f t="shared" si="5"/>
        <v>764255</v>
      </c>
      <c r="T11" s="240">
        <f>N11/'2017'!N11-1</f>
        <v>0.106505557143761</v>
      </c>
      <c r="U11" s="241">
        <f>O11/'2017'!O11-1</f>
        <v>0.361242023260311</v>
      </c>
      <c r="V11" s="241">
        <f>P11/'2017'!P11-1</f>
        <v>0.176885005574479</v>
      </c>
      <c r="W11" s="241">
        <f>Q11/'2017'!Q11-1</f>
        <v>0.106505557143761</v>
      </c>
      <c r="X11" s="241">
        <f>R11/'2017'!R11-1</f>
        <v>0.361242023260311</v>
      </c>
      <c r="Y11" s="262">
        <f>S11/'2017'!S11-1</f>
        <v>0.176885005574479</v>
      </c>
      <c r="Z11" s="263"/>
      <c r="AA11" s="264">
        <f t="shared" si="10"/>
        <v>50.7044</v>
      </c>
      <c r="AB11" s="265"/>
      <c r="AC11" s="266"/>
      <c r="AD11" s="265">
        <f t="shared" si="6"/>
        <v>517877</v>
      </c>
      <c r="AE11" s="186">
        <f t="shared" si="7"/>
        <v>2969</v>
      </c>
      <c r="AF11" s="186">
        <f t="shared" si="8"/>
        <v>5472</v>
      </c>
      <c r="AG11" s="266">
        <f t="shared" si="9"/>
        <v>2392</v>
      </c>
      <c r="AH11" s="281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</row>
    <row r="12" ht="15" customHeight="1" spans="1:55">
      <c r="A12" s="189">
        <v>42743</v>
      </c>
      <c r="B12" s="184" t="s">
        <v>39</v>
      </c>
      <c r="C12" s="185">
        <v>78131</v>
      </c>
      <c r="D12" s="186">
        <f>10125+28741</f>
        <v>38866</v>
      </c>
      <c r="E12" s="186">
        <v>118403</v>
      </c>
      <c r="F12" s="187">
        <v>6137</v>
      </c>
      <c r="G12" s="186">
        <v>3417</v>
      </c>
      <c r="H12" s="188"/>
      <c r="I12" s="188"/>
      <c r="J12" s="214">
        <f t="shared" si="0"/>
        <v>79537</v>
      </c>
      <c r="K12" s="186">
        <v>298</v>
      </c>
      <c r="L12" s="186">
        <v>794</v>
      </c>
      <c r="M12" s="215">
        <f t="shared" si="3"/>
        <v>314</v>
      </c>
      <c r="N12" s="216">
        <f t="shared" si="4"/>
        <v>585175</v>
      </c>
      <c r="O12" s="219">
        <f t="shared" si="4"/>
        <v>285244</v>
      </c>
      <c r="P12" s="218">
        <f t="shared" si="4"/>
        <v>882658</v>
      </c>
      <c r="Q12" s="238">
        <f t="shared" si="5"/>
        <v>585175</v>
      </c>
      <c r="R12" s="217">
        <f t="shared" si="5"/>
        <v>285244</v>
      </c>
      <c r="S12" s="239">
        <f t="shared" si="5"/>
        <v>882658</v>
      </c>
      <c r="T12" s="240">
        <f>N12/'2017'!N12-1</f>
        <v>0.122474229177137</v>
      </c>
      <c r="U12" s="241">
        <f>O12/'2017'!O12-1</f>
        <v>0.373392459062174</v>
      </c>
      <c r="V12" s="241">
        <f>P12/'2017'!P12-1</f>
        <v>0.192254233602178</v>
      </c>
      <c r="W12" s="241">
        <f>Q12/'2017'!Q12-1</f>
        <v>0.122474229177137</v>
      </c>
      <c r="X12" s="241">
        <f>R12/'2017'!R12-1</f>
        <v>0.373392459062174</v>
      </c>
      <c r="Y12" s="262">
        <f>S12/'2017'!S12-1</f>
        <v>0.192254233602178</v>
      </c>
      <c r="Z12" s="263"/>
      <c r="AA12" s="264">
        <f t="shared" si="10"/>
        <v>58.5175</v>
      </c>
      <c r="AB12" s="265"/>
      <c r="AC12" s="266"/>
      <c r="AD12" s="265">
        <f t="shared" si="6"/>
        <v>597414</v>
      </c>
      <c r="AE12" s="186">
        <f t="shared" si="7"/>
        <v>3267</v>
      </c>
      <c r="AF12" s="186">
        <f t="shared" si="8"/>
        <v>6266</v>
      </c>
      <c r="AG12" s="266">
        <f t="shared" si="9"/>
        <v>2706</v>
      </c>
      <c r="AH12" s="281"/>
      <c r="AI12" s="282"/>
      <c r="AJ12" s="282"/>
      <c r="AK12" s="28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  <c r="BA12" s="282"/>
      <c r="BB12" s="282"/>
      <c r="BC12" s="282"/>
    </row>
    <row r="13" ht="15" customHeight="1" spans="1:55">
      <c r="A13" s="189">
        <v>42744</v>
      </c>
      <c r="B13" s="184" t="s">
        <v>34</v>
      </c>
      <c r="C13" s="185">
        <v>74508</v>
      </c>
      <c r="D13" s="186">
        <f>10974+28829</f>
        <v>39803</v>
      </c>
      <c r="E13" s="186">
        <v>116463</v>
      </c>
      <c r="F13" s="187">
        <v>5731</v>
      </c>
      <c r="G13" s="186">
        <v>3660</v>
      </c>
      <c r="H13" s="188"/>
      <c r="I13" s="188"/>
      <c r="J13" s="214">
        <f t="shared" si="0"/>
        <v>76660</v>
      </c>
      <c r="K13" s="186">
        <v>433</v>
      </c>
      <c r="L13" s="186">
        <v>793</v>
      </c>
      <c r="M13" s="215">
        <f t="shared" si="3"/>
        <v>926</v>
      </c>
      <c r="N13" s="216">
        <f t="shared" si="4"/>
        <v>659683</v>
      </c>
      <c r="O13" s="219">
        <f t="shared" si="4"/>
        <v>325047</v>
      </c>
      <c r="P13" s="218">
        <f t="shared" si="4"/>
        <v>999121</v>
      </c>
      <c r="Q13" s="238">
        <f t="shared" si="5"/>
        <v>659683</v>
      </c>
      <c r="R13" s="217">
        <f t="shared" si="5"/>
        <v>325047</v>
      </c>
      <c r="S13" s="239">
        <f t="shared" si="5"/>
        <v>999121</v>
      </c>
      <c r="T13" s="240">
        <f>N13/'2017'!N13-1</f>
        <v>0.117521501450935</v>
      </c>
      <c r="U13" s="241">
        <f>O13/'2017'!O13-1</f>
        <v>0.390509965306445</v>
      </c>
      <c r="V13" s="241">
        <f>P13/'2017'!P13-1</f>
        <v>0.194360765637178</v>
      </c>
      <c r="W13" s="241">
        <f>Q13/'2017'!Q13-1</f>
        <v>0.117521501450935</v>
      </c>
      <c r="X13" s="241">
        <f>R13/'2017'!R13-1</f>
        <v>0.390509965306445</v>
      </c>
      <c r="Y13" s="262">
        <f>S13/'2017'!S13-1</f>
        <v>0.194360765637178</v>
      </c>
      <c r="Z13" s="263"/>
      <c r="AA13" s="264">
        <f t="shared" si="10"/>
        <v>65.9683</v>
      </c>
      <c r="AB13" s="265"/>
      <c r="AC13" s="266"/>
      <c r="AD13" s="265">
        <f t="shared" si="6"/>
        <v>674074</v>
      </c>
      <c r="AE13" s="186">
        <f t="shared" si="7"/>
        <v>3700</v>
      </c>
      <c r="AF13" s="186">
        <f t="shared" si="8"/>
        <v>7059</v>
      </c>
      <c r="AG13" s="266">
        <f t="shared" si="9"/>
        <v>3632</v>
      </c>
      <c r="AH13" s="281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2"/>
      <c r="BB13" s="282"/>
      <c r="BC13" s="282"/>
    </row>
    <row r="14" ht="15" customHeight="1" spans="1:55">
      <c r="A14" s="189">
        <v>42745</v>
      </c>
      <c r="B14" s="184" t="s">
        <v>35</v>
      </c>
      <c r="C14" s="185">
        <v>73401</v>
      </c>
      <c r="D14" s="186">
        <v>40349</v>
      </c>
      <c r="E14" s="186">
        <v>115853</v>
      </c>
      <c r="F14" s="187">
        <v>5685</v>
      </c>
      <c r="G14" s="186">
        <v>3693</v>
      </c>
      <c r="H14" s="188"/>
      <c r="I14" s="188"/>
      <c r="J14" s="214">
        <f t="shared" si="0"/>
        <v>75504</v>
      </c>
      <c r="K14" s="186">
        <v>294</v>
      </c>
      <c r="L14" s="186">
        <v>792</v>
      </c>
      <c r="M14" s="215">
        <f t="shared" si="3"/>
        <v>1017</v>
      </c>
      <c r="N14" s="216">
        <f>N13+C14</f>
        <v>733084</v>
      </c>
      <c r="O14" s="219">
        <f t="shared" si="4"/>
        <v>365396</v>
      </c>
      <c r="P14" s="218">
        <f t="shared" si="4"/>
        <v>1114974</v>
      </c>
      <c r="Q14" s="238">
        <f t="shared" si="5"/>
        <v>733084</v>
      </c>
      <c r="R14" s="217">
        <f t="shared" si="5"/>
        <v>365396</v>
      </c>
      <c r="S14" s="239">
        <f t="shared" si="5"/>
        <v>1114974</v>
      </c>
      <c r="T14" s="240">
        <f>N14/'2017'!N14-1</f>
        <v>0.110645827904468</v>
      </c>
      <c r="U14" s="241">
        <f>O14/'2017'!O14-1</f>
        <v>0.401439809150497</v>
      </c>
      <c r="V14" s="241">
        <f>P14/'2017'!P14-1</f>
        <v>0.192817253995764</v>
      </c>
      <c r="W14" s="241">
        <f>Q14/'2017'!Q14-1</f>
        <v>0.110645827904468</v>
      </c>
      <c r="X14" s="241">
        <f>R14/'2017'!R14-1</f>
        <v>0.401439809150497</v>
      </c>
      <c r="Y14" s="262">
        <f>S14/'2017'!S14-1</f>
        <v>0.192817253995764</v>
      </c>
      <c r="Z14" s="263"/>
      <c r="AA14" s="264">
        <f t="shared" si="10"/>
        <v>73.3084</v>
      </c>
      <c r="AB14" s="265"/>
      <c r="AC14" s="266"/>
      <c r="AD14" s="265">
        <f t="shared" si="6"/>
        <v>749578</v>
      </c>
      <c r="AE14" s="186">
        <f t="shared" si="7"/>
        <v>3994</v>
      </c>
      <c r="AF14" s="186">
        <f t="shared" si="8"/>
        <v>7851</v>
      </c>
      <c r="AG14" s="266">
        <f t="shared" si="9"/>
        <v>4649</v>
      </c>
      <c r="AH14" s="281"/>
      <c r="AI14" s="282"/>
      <c r="AJ14" s="282"/>
      <c r="AK14" s="282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2"/>
      <c r="AX14" s="282"/>
      <c r="AY14" s="282"/>
      <c r="AZ14" s="282"/>
      <c r="BA14" s="282"/>
      <c r="BB14" s="282"/>
      <c r="BC14" s="282"/>
    </row>
    <row r="15" s="163" customFormat="1" ht="15" customHeight="1" spans="1:55">
      <c r="A15" s="190">
        <v>42746</v>
      </c>
      <c r="B15" s="191" t="s">
        <v>36</v>
      </c>
      <c r="C15" s="192">
        <v>75718</v>
      </c>
      <c r="D15" s="193">
        <f>11136+29117</f>
        <v>40253</v>
      </c>
      <c r="E15" s="193">
        <v>118053</v>
      </c>
      <c r="F15" s="194">
        <v>5789</v>
      </c>
      <c r="G15" s="193">
        <v>3701</v>
      </c>
      <c r="H15" s="195"/>
      <c r="I15" s="195"/>
      <c r="J15" s="220">
        <f t="shared" si="0"/>
        <v>77800</v>
      </c>
      <c r="K15" s="193">
        <v>307</v>
      </c>
      <c r="L15" s="193">
        <v>793</v>
      </c>
      <c r="M15" s="221">
        <f t="shared" si="3"/>
        <v>982</v>
      </c>
      <c r="N15" s="222">
        <f>N14+C15</f>
        <v>808802</v>
      </c>
      <c r="O15" s="225">
        <f t="shared" si="4"/>
        <v>405649</v>
      </c>
      <c r="P15" s="224">
        <f t="shared" si="4"/>
        <v>1233027</v>
      </c>
      <c r="Q15" s="242">
        <f>N15</f>
        <v>808802</v>
      </c>
      <c r="R15" s="223">
        <f t="shared" si="5"/>
        <v>405649</v>
      </c>
      <c r="S15" s="243">
        <f t="shared" si="5"/>
        <v>1233027</v>
      </c>
      <c r="T15" s="244">
        <f>N15/'2017'!N15-1</f>
        <v>0.10808911272258</v>
      </c>
      <c r="U15" s="245">
        <f>O15/'2017'!O15-1</f>
        <v>0.407403937895741</v>
      </c>
      <c r="V15" s="245">
        <f>P15/'2017'!P15-1</f>
        <v>0.192939462308582</v>
      </c>
      <c r="W15" s="245">
        <f>Q15/'2017'!Q15-1</f>
        <v>0.10808911272258</v>
      </c>
      <c r="X15" s="245">
        <f>R15/'2017'!R15-1</f>
        <v>0.407403937895741</v>
      </c>
      <c r="Y15" s="267">
        <f>S15/'2017'!S15-1</f>
        <v>0.192939462308582</v>
      </c>
      <c r="Z15" s="268">
        <v>2.81</v>
      </c>
      <c r="AA15" s="269">
        <f t="shared" si="10"/>
        <v>78.0702</v>
      </c>
      <c r="AB15" s="270">
        <v>4269.48</v>
      </c>
      <c r="AC15" s="221">
        <f>AA15*10000/AB15</f>
        <v>182.856460271508</v>
      </c>
      <c r="AD15" s="270">
        <f t="shared" si="6"/>
        <v>827378</v>
      </c>
      <c r="AE15" s="193">
        <f t="shared" si="7"/>
        <v>4301</v>
      </c>
      <c r="AF15" s="193">
        <f t="shared" si="8"/>
        <v>8644</v>
      </c>
      <c r="AG15" s="221">
        <f t="shared" si="9"/>
        <v>5631</v>
      </c>
      <c r="AH15" s="281"/>
      <c r="AI15" s="282"/>
      <c r="AJ15" s="282"/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  <c r="AX15" s="282"/>
      <c r="AY15" s="282"/>
      <c r="AZ15" s="282"/>
      <c r="BA15" s="282"/>
      <c r="BB15" s="282"/>
      <c r="BC15" s="282"/>
    </row>
    <row r="16" ht="15" customHeight="1" spans="1:55">
      <c r="A16" s="189">
        <v>42747</v>
      </c>
      <c r="B16" s="184" t="s">
        <v>37</v>
      </c>
      <c r="C16" s="185">
        <v>83108</v>
      </c>
      <c r="D16" s="186">
        <v>36635</v>
      </c>
      <c r="E16" s="186">
        <v>121553</v>
      </c>
      <c r="F16" s="187">
        <v>6014</v>
      </c>
      <c r="G16" s="186">
        <v>3848</v>
      </c>
      <c r="H16" s="188"/>
      <c r="I16" s="188"/>
      <c r="J16" s="214">
        <f t="shared" si="0"/>
        <v>84918</v>
      </c>
      <c r="K16" s="186">
        <v>405</v>
      </c>
      <c r="L16" s="186">
        <v>793</v>
      </c>
      <c r="M16" s="215">
        <f t="shared" si="3"/>
        <v>612</v>
      </c>
      <c r="N16" s="216">
        <f t="shared" si="4"/>
        <v>891910</v>
      </c>
      <c r="O16" s="219">
        <f t="shared" si="4"/>
        <v>442284</v>
      </c>
      <c r="P16" s="218">
        <f t="shared" si="4"/>
        <v>1354580</v>
      </c>
      <c r="Q16" s="238">
        <f t="shared" si="5"/>
        <v>891910</v>
      </c>
      <c r="R16" s="217">
        <f t="shared" si="5"/>
        <v>442284</v>
      </c>
      <c r="S16" s="239">
        <f t="shared" si="5"/>
        <v>1354580</v>
      </c>
      <c r="T16" s="240">
        <f>N16/'2017'!N16-1</f>
        <v>0.114845693286502</v>
      </c>
      <c r="U16" s="241">
        <f>O16/'2017'!O16-1</f>
        <v>0.404089562757741</v>
      </c>
      <c r="V16" s="241">
        <f>P16/'2017'!P16-1</f>
        <v>0.196544051332197</v>
      </c>
      <c r="W16" s="241">
        <f>Q16/'2017'!Q16-1</f>
        <v>0.114845693286502</v>
      </c>
      <c r="X16" s="241">
        <f>R16/'2017'!R16-1</f>
        <v>0.404089562757741</v>
      </c>
      <c r="Y16" s="262">
        <f>S16/'2017'!S16-1</f>
        <v>0.196544051332197</v>
      </c>
      <c r="Z16" s="263"/>
      <c r="AA16" s="264">
        <f t="shared" si="10"/>
        <v>89.191</v>
      </c>
      <c r="AB16" s="265"/>
      <c r="AC16" s="266"/>
      <c r="AD16" s="265">
        <f t="shared" si="6"/>
        <v>912296</v>
      </c>
      <c r="AE16" s="186">
        <f t="shared" si="7"/>
        <v>4706</v>
      </c>
      <c r="AF16" s="186">
        <f t="shared" si="8"/>
        <v>9437</v>
      </c>
      <c r="AG16" s="266">
        <f t="shared" si="9"/>
        <v>6243</v>
      </c>
      <c r="AH16" s="281"/>
      <c r="AI16" s="282"/>
      <c r="AJ16" s="282"/>
      <c r="AK16" s="28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2"/>
      <c r="AX16" s="282"/>
      <c r="AY16" s="282"/>
      <c r="AZ16" s="282"/>
      <c r="BA16" s="282"/>
      <c r="BB16" s="282"/>
      <c r="BC16" s="282"/>
    </row>
    <row r="17" spans="1:55">
      <c r="A17" s="189">
        <v>42748</v>
      </c>
      <c r="B17" s="184" t="s">
        <v>38</v>
      </c>
      <c r="C17" s="185">
        <v>74229</v>
      </c>
      <c r="D17" s="186">
        <v>37208</v>
      </c>
      <c r="E17" s="186">
        <v>113001</v>
      </c>
      <c r="F17" s="187">
        <v>5524</v>
      </c>
      <c r="G17" s="186">
        <v>3773</v>
      </c>
      <c r="H17" s="188"/>
      <c r="I17" s="188"/>
      <c r="J17" s="214">
        <f t="shared" si="0"/>
        <v>75793</v>
      </c>
      <c r="K17" s="186">
        <v>179</v>
      </c>
      <c r="L17" s="186">
        <v>790</v>
      </c>
      <c r="M17" s="215">
        <f t="shared" si="3"/>
        <v>595</v>
      </c>
      <c r="N17" s="216">
        <f t="shared" si="4"/>
        <v>966139</v>
      </c>
      <c r="O17" s="219">
        <f t="shared" si="4"/>
        <v>479492</v>
      </c>
      <c r="P17" s="218">
        <f t="shared" si="4"/>
        <v>1467581</v>
      </c>
      <c r="Q17" s="238">
        <f t="shared" si="5"/>
        <v>966139</v>
      </c>
      <c r="R17" s="217">
        <f t="shared" si="5"/>
        <v>479492</v>
      </c>
      <c r="S17" s="239">
        <f t="shared" si="5"/>
        <v>1467581</v>
      </c>
      <c r="T17" s="240">
        <f>N17/'2017'!N17-1</f>
        <v>0.114160838152789</v>
      </c>
      <c r="U17" s="241">
        <f>O17/'2017'!O17-1</f>
        <v>0.413196736772611</v>
      </c>
      <c r="V17" s="241">
        <f>P17/'2017'!P17-1</f>
        <v>0.198342255421026</v>
      </c>
      <c r="W17" s="241">
        <f>Q17/'2017'!Q17-1</f>
        <v>0.114160838152789</v>
      </c>
      <c r="X17" s="241">
        <f>R17/'2017'!R17-1</f>
        <v>0.413196736772611</v>
      </c>
      <c r="Y17" s="262">
        <f>S17/'2017'!S17-1</f>
        <v>0.198342255421026</v>
      </c>
      <c r="Z17" s="263"/>
      <c r="AA17" s="264">
        <f t="shared" si="10"/>
        <v>96.6139</v>
      </c>
      <c r="AB17" s="265"/>
      <c r="AC17" s="266"/>
      <c r="AD17" s="265">
        <f t="shared" si="6"/>
        <v>988089</v>
      </c>
      <c r="AE17" s="186">
        <f t="shared" si="7"/>
        <v>4885</v>
      </c>
      <c r="AF17" s="186">
        <f t="shared" si="8"/>
        <v>10227</v>
      </c>
      <c r="AG17" s="266">
        <f t="shared" si="9"/>
        <v>6838</v>
      </c>
      <c r="AH17" s="281"/>
      <c r="AI17" s="282"/>
      <c r="AJ17" s="282"/>
      <c r="AK17" s="282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2"/>
      <c r="AX17" s="282"/>
      <c r="AY17" s="282"/>
      <c r="AZ17" s="282"/>
      <c r="BA17" s="282"/>
      <c r="BB17" s="282"/>
      <c r="BC17" s="282"/>
    </row>
    <row r="18" spans="1:55">
      <c r="A18" s="189">
        <v>42749</v>
      </c>
      <c r="B18" s="184" t="s">
        <v>1</v>
      </c>
      <c r="C18" s="185">
        <v>74230</v>
      </c>
      <c r="D18" s="186">
        <f>11032+26176</f>
        <v>37208</v>
      </c>
      <c r="E18" s="186">
        <v>113002</v>
      </c>
      <c r="F18" s="187">
        <v>5530</v>
      </c>
      <c r="G18" s="186">
        <v>3770</v>
      </c>
      <c r="H18" s="188"/>
      <c r="I18" s="188"/>
      <c r="J18" s="214">
        <f t="shared" si="0"/>
        <v>75794</v>
      </c>
      <c r="K18" s="186">
        <v>179</v>
      </c>
      <c r="L18" s="186">
        <v>791</v>
      </c>
      <c r="M18" s="215">
        <f t="shared" si="3"/>
        <v>594</v>
      </c>
      <c r="N18" s="216">
        <f t="shared" si="4"/>
        <v>1040369</v>
      </c>
      <c r="O18" s="219">
        <f t="shared" si="4"/>
        <v>516700</v>
      </c>
      <c r="P18" s="218">
        <f t="shared" si="4"/>
        <v>1580583</v>
      </c>
      <c r="Q18" s="238">
        <f t="shared" si="5"/>
        <v>1040369</v>
      </c>
      <c r="R18" s="217">
        <f t="shared" si="5"/>
        <v>516700</v>
      </c>
      <c r="S18" s="239">
        <f t="shared" si="5"/>
        <v>1580583</v>
      </c>
      <c r="T18" s="240">
        <f>N18/'2017'!N18-1</f>
        <v>0.117099192215721</v>
      </c>
      <c r="U18" s="241">
        <f>O18/'2017'!O18-1</f>
        <v>0.422565573747925</v>
      </c>
      <c r="V18" s="241">
        <f>P18/'2017'!P18-1</f>
        <v>0.202881741739136</v>
      </c>
      <c r="W18" s="241">
        <f>Q18/'2017'!Q18-1</f>
        <v>0.117099192215721</v>
      </c>
      <c r="X18" s="241">
        <f>R18/'2017'!R18-1</f>
        <v>0.422565573747925</v>
      </c>
      <c r="Y18" s="262">
        <f>S18/'2017'!S18-1</f>
        <v>0.202881741739136</v>
      </c>
      <c r="Z18" s="263"/>
      <c r="AA18" s="264">
        <f t="shared" si="10"/>
        <v>104.0369</v>
      </c>
      <c r="AB18" s="265"/>
      <c r="AC18" s="266"/>
      <c r="AD18" s="265">
        <f t="shared" si="6"/>
        <v>1063883</v>
      </c>
      <c r="AE18" s="186">
        <f t="shared" si="7"/>
        <v>5064</v>
      </c>
      <c r="AF18" s="186">
        <f t="shared" si="8"/>
        <v>11018</v>
      </c>
      <c r="AG18" s="266">
        <f t="shared" si="9"/>
        <v>7432</v>
      </c>
      <c r="AH18" s="281"/>
      <c r="AI18" s="282"/>
      <c r="AJ18" s="282"/>
      <c r="AK18" s="282"/>
      <c r="AL18" s="282"/>
      <c r="AM18" s="282"/>
      <c r="AN18" s="282"/>
      <c r="AO18" s="282"/>
      <c r="AP18" s="282"/>
      <c r="AQ18" s="282"/>
      <c r="AR18" s="282"/>
      <c r="AS18" s="282"/>
      <c r="AT18" s="282"/>
      <c r="AU18" s="282"/>
      <c r="AV18" s="282"/>
      <c r="AW18" s="282"/>
      <c r="AX18" s="282"/>
      <c r="AY18" s="282"/>
      <c r="AZ18" s="282"/>
      <c r="BA18" s="282"/>
      <c r="BB18" s="282"/>
      <c r="BC18" s="282"/>
    </row>
    <row r="19" spans="1:55">
      <c r="A19" s="189">
        <v>42750</v>
      </c>
      <c r="B19" s="184" t="s">
        <v>39</v>
      </c>
      <c r="C19" s="185">
        <v>73054</v>
      </c>
      <c r="D19" s="186">
        <f>11124+25972</f>
        <v>37096</v>
      </c>
      <c r="E19" s="186">
        <v>111892</v>
      </c>
      <c r="F19" s="187">
        <v>5648</v>
      </c>
      <c r="G19" s="186">
        <v>3524</v>
      </c>
      <c r="H19" s="188"/>
      <c r="I19" s="188"/>
      <c r="J19" s="214">
        <f t="shared" si="0"/>
        <v>74796</v>
      </c>
      <c r="K19" s="186">
        <v>120</v>
      </c>
      <c r="L19" s="186">
        <v>794</v>
      </c>
      <c r="M19" s="215">
        <f t="shared" si="3"/>
        <v>828</v>
      </c>
      <c r="N19" s="216">
        <f t="shared" si="4"/>
        <v>1113423</v>
      </c>
      <c r="O19" s="219">
        <f t="shared" si="4"/>
        <v>553796</v>
      </c>
      <c r="P19" s="218">
        <f t="shared" si="4"/>
        <v>1692475</v>
      </c>
      <c r="Q19" s="238">
        <f t="shared" si="5"/>
        <v>1113423</v>
      </c>
      <c r="R19" s="217">
        <f t="shared" si="5"/>
        <v>553796</v>
      </c>
      <c r="S19" s="239">
        <f t="shared" si="5"/>
        <v>1692475</v>
      </c>
      <c r="T19" s="240">
        <f>N19/'2017'!N19-1</f>
        <v>0.122807424453583</v>
      </c>
      <c r="U19" s="241">
        <f>O19/'2017'!O19-1</f>
        <v>0.431918728070516</v>
      </c>
      <c r="V19" s="241">
        <f>P19/'2017'!P19-1</f>
        <v>0.209476576541167</v>
      </c>
      <c r="W19" s="241">
        <f>Q19/'2017'!Q19-1</f>
        <v>0.122807424453583</v>
      </c>
      <c r="X19" s="241">
        <f>R19/'2017'!R19-1</f>
        <v>0.431918728070516</v>
      </c>
      <c r="Y19" s="262">
        <f>S19/'2017'!S19-1</f>
        <v>0.209476576541167</v>
      </c>
      <c r="Z19" s="263"/>
      <c r="AA19" s="264">
        <f t="shared" si="10"/>
        <v>111.3423</v>
      </c>
      <c r="AB19" s="265"/>
      <c r="AC19" s="266"/>
      <c r="AD19" s="265">
        <f t="shared" si="6"/>
        <v>1138679</v>
      </c>
      <c r="AE19" s="186">
        <f t="shared" si="7"/>
        <v>5184</v>
      </c>
      <c r="AF19" s="186">
        <f t="shared" si="8"/>
        <v>11812</v>
      </c>
      <c r="AG19" s="266">
        <f t="shared" si="9"/>
        <v>8260</v>
      </c>
      <c r="AH19" s="281"/>
      <c r="AI19" s="282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2"/>
      <c r="BB19" s="282"/>
      <c r="BC19" s="282"/>
    </row>
    <row r="20" spans="1:55">
      <c r="A20" s="189">
        <v>42751</v>
      </c>
      <c r="B20" s="184" t="s">
        <v>34</v>
      </c>
      <c r="C20" s="185">
        <v>71985</v>
      </c>
      <c r="D20" s="186">
        <f>11178+25494</f>
        <v>36672</v>
      </c>
      <c r="E20" s="186">
        <v>110112</v>
      </c>
      <c r="F20" s="187">
        <v>5535</v>
      </c>
      <c r="G20" s="186">
        <v>3490</v>
      </c>
      <c r="H20" s="188"/>
      <c r="I20" s="188"/>
      <c r="J20" s="214">
        <f t="shared" si="0"/>
        <v>73440</v>
      </c>
      <c r="K20" s="186">
        <v>100</v>
      </c>
      <c r="L20" s="186">
        <v>792</v>
      </c>
      <c r="M20" s="215">
        <f t="shared" si="3"/>
        <v>563</v>
      </c>
      <c r="N20" s="216">
        <f t="shared" si="4"/>
        <v>1185408</v>
      </c>
      <c r="O20" s="219">
        <f t="shared" si="4"/>
        <v>590468</v>
      </c>
      <c r="P20" s="218">
        <f t="shared" si="4"/>
        <v>1802587</v>
      </c>
      <c r="Q20" s="238">
        <f t="shared" si="5"/>
        <v>1185408</v>
      </c>
      <c r="R20" s="217">
        <f t="shared" si="5"/>
        <v>590468</v>
      </c>
      <c r="S20" s="239">
        <f t="shared" si="5"/>
        <v>1802587</v>
      </c>
      <c r="T20" s="240">
        <f>N20/'2017'!N20-1</f>
        <v>0.128140218108175</v>
      </c>
      <c r="U20" s="241">
        <f>O20/'2017'!O20-1</f>
        <v>0.438639492246032</v>
      </c>
      <c r="V20" s="241">
        <f>P20/'2017'!P20-1</f>
        <v>0.214915408225574</v>
      </c>
      <c r="W20" s="241">
        <f>Q20/'2017'!Q20-1</f>
        <v>0.128140218108175</v>
      </c>
      <c r="X20" s="241">
        <f>R20/'2017'!R20-1</f>
        <v>0.438639492246032</v>
      </c>
      <c r="Y20" s="262">
        <f>S20/'2017'!S20-1</f>
        <v>0.214915408225574</v>
      </c>
      <c r="Z20" s="263"/>
      <c r="AA20" s="264">
        <f t="shared" si="10"/>
        <v>118.5408</v>
      </c>
      <c r="AB20" s="265"/>
      <c r="AC20" s="266"/>
      <c r="AD20" s="265">
        <f t="shared" si="6"/>
        <v>1212119</v>
      </c>
      <c r="AE20" s="186">
        <f t="shared" si="7"/>
        <v>5284</v>
      </c>
      <c r="AF20" s="186">
        <f t="shared" si="8"/>
        <v>12604</v>
      </c>
      <c r="AG20" s="266">
        <f t="shared" si="9"/>
        <v>8823</v>
      </c>
      <c r="AH20" s="281"/>
      <c r="AI20" s="282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</row>
    <row r="21" spans="1:55">
      <c r="A21" s="189">
        <v>42752</v>
      </c>
      <c r="B21" s="184" t="s">
        <v>35</v>
      </c>
      <c r="C21" s="185">
        <v>71286</v>
      </c>
      <c r="D21" s="186">
        <v>36388</v>
      </c>
      <c r="E21" s="186">
        <v>109137</v>
      </c>
      <c r="F21" s="187">
        <v>5519</v>
      </c>
      <c r="G21" s="186">
        <v>3416</v>
      </c>
      <c r="H21" s="188"/>
      <c r="I21" s="188"/>
      <c r="J21" s="214">
        <f t="shared" si="0"/>
        <v>72749</v>
      </c>
      <c r="K21" s="186">
        <v>105</v>
      </c>
      <c r="L21" s="186">
        <v>795</v>
      </c>
      <c r="M21" s="215">
        <f t="shared" si="3"/>
        <v>563</v>
      </c>
      <c r="N21" s="216">
        <f t="shared" si="4"/>
        <v>1256694</v>
      </c>
      <c r="O21" s="219">
        <f t="shared" si="4"/>
        <v>626856</v>
      </c>
      <c r="P21" s="218">
        <f t="shared" si="4"/>
        <v>1911724</v>
      </c>
      <c r="Q21" s="238">
        <f t="shared" si="5"/>
        <v>1256694</v>
      </c>
      <c r="R21" s="217">
        <f t="shared" si="5"/>
        <v>626856</v>
      </c>
      <c r="S21" s="239">
        <f t="shared" si="5"/>
        <v>1911724</v>
      </c>
      <c r="T21" s="240">
        <f>N21/'2017'!N21-1</f>
        <v>0.133619227688333</v>
      </c>
      <c r="U21" s="241">
        <f>O21/'2017'!O21-1</f>
        <v>0.443520512141484</v>
      </c>
      <c r="V21" s="241">
        <f>P21/'2017'!P21-1</f>
        <v>0.22008789475095</v>
      </c>
      <c r="W21" s="241">
        <f>Q21/'2017'!Q21-1</f>
        <v>0.133619227688333</v>
      </c>
      <c r="X21" s="241">
        <f>R21/'2017'!R21-1</f>
        <v>0.443520512141484</v>
      </c>
      <c r="Y21" s="262">
        <f>S21/'2017'!S21-1</f>
        <v>0.22008789475095</v>
      </c>
      <c r="Z21" s="263"/>
      <c r="AA21" s="264">
        <f t="shared" si="10"/>
        <v>125.6694</v>
      </c>
      <c r="AB21" s="265"/>
      <c r="AC21" s="266"/>
      <c r="AD21" s="265">
        <f t="shared" si="6"/>
        <v>1284868</v>
      </c>
      <c r="AE21" s="186">
        <f t="shared" si="7"/>
        <v>5389</v>
      </c>
      <c r="AF21" s="186">
        <f t="shared" si="8"/>
        <v>13399</v>
      </c>
      <c r="AG21" s="266">
        <f t="shared" si="9"/>
        <v>9386</v>
      </c>
      <c r="AH21" s="281"/>
      <c r="AI21" s="282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</row>
    <row r="22" s="163" customFormat="1" spans="1:55">
      <c r="A22" s="190">
        <v>42753</v>
      </c>
      <c r="B22" s="191" t="s">
        <v>36</v>
      </c>
      <c r="C22" s="192">
        <v>73810</v>
      </c>
      <c r="D22" s="193">
        <v>36701</v>
      </c>
      <c r="E22" s="193">
        <v>111724</v>
      </c>
      <c r="F22" s="194">
        <v>5641</v>
      </c>
      <c r="G22" s="193">
        <v>3444</v>
      </c>
      <c r="H22" s="195"/>
      <c r="I22" s="195"/>
      <c r="J22" s="220">
        <f t="shared" si="0"/>
        <v>75023</v>
      </c>
      <c r="K22" s="193">
        <v>131</v>
      </c>
      <c r="L22" s="193">
        <v>793</v>
      </c>
      <c r="M22" s="221">
        <f t="shared" si="3"/>
        <v>289</v>
      </c>
      <c r="N22" s="222">
        <f t="shared" ref="N22:P34" si="11">N21+C22</f>
        <v>1330504</v>
      </c>
      <c r="O22" s="225">
        <f t="shared" si="11"/>
        <v>663557</v>
      </c>
      <c r="P22" s="224">
        <f t="shared" si="11"/>
        <v>2023448</v>
      </c>
      <c r="Q22" s="242">
        <f t="shared" si="5"/>
        <v>1330504</v>
      </c>
      <c r="R22" s="223">
        <f t="shared" si="5"/>
        <v>663557</v>
      </c>
      <c r="S22" s="243">
        <f t="shared" si="5"/>
        <v>2023448</v>
      </c>
      <c r="T22" s="244">
        <f>N22/'2017'!N22-1</f>
        <v>0.145895630365583</v>
      </c>
      <c r="U22" s="245">
        <f>O22/'2017'!O22-1</f>
        <v>0.448653097580837</v>
      </c>
      <c r="V22" s="245">
        <f>P22/'2017'!P22-1</f>
        <v>0.230117154419994</v>
      </c>
      <c r="W22" s="245">
        <f>Q22/'2017'!Q22-1</f>
        <v>0.145895630365583</v>
      </c>
      <c r="X22" s="245">
        <f>R22/'2017'!R22-1</f>
        <v>0.448653097580837</v>
      </c>
      <c r="Y22" s="267">
        <f>S22/'2017'!S22-1</f>
        <v>0.230117154419994</v>
      </c>
      <c r="Z22" s="268">
        <v>4.65</v>
      </c>
      <c r="AA22" s="269">
        <f t="shared" si="10"/>
        <v>128.4004</v>
      </c>
      <c r="AB22" s="270">
        <v>4269.48</v>
      </c>
      <c r="AC22" s="221">
        <f t="shared" ref="AC22:AC72" si="12">AA22*10000/AB22</f>
        <v>300.740136972184</v>
      </c>
      <c r="AD22" s="270">
        <f t="shared" si="6"/>
        <v>1359891</v>
      </c>
      <c r="AE22" s="193">
        <f t="shared" si="7"/>
        <v>5520</v>
      </c>
      <c r="AF22" s="193">
        <f t="shared" si="8"/>
        <v>14192</v>
      </c>
      <c r="AG22" s="221">
        <f t="shared" si="9"/>
        <v>9675</v>
      </c>
      <c r="AH22" s="281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</row>
    <row r="23" spans="1:55">
      <c r="A23" s="189">
        <v>42754</v>
      </c>
      <c r="B23" s="184" t="s">
        <v>37</v>
      </c>
      <c r="C23" s="185">
        <f>71554+2735</f>
        <v>74289</v>
      </c>
      <c r="D23" s="186">
        <f>22826+14279</f>
        <v>37105</v>
      </c>
      <c r="E23" s="186">
        <f>89570+22826</f>
        <v>112396</v>
      </c>
      <c r="F23" s="187">
        <v>5763</v>
      </c>
      <c r="G23" s="186">
        <v>3462</v>
      </c>
      <c r="H23" s="188"/>
      <c r="I23" s="188"/>
      <c r="J23" s="214">
        <f t="shared" si="0"/>
        <v>75291</v>
      </c>
      <c r="K23" s="186">
        <v>0</v>
      </c>
      <c r="L23" s="186">
        <v>794</v>
      </c>
      <c r="M23" s="215">
        <f t="shared" si="3"/>
        <v>208</v>
      </c>
      <c r="N23" s="216">
        <f t="shared" si="11"/>
        <v>1404793</v>
      </c>
      <c r="O23" s="219">
        <f t="shared" si="11"/>
        <v>700662</v>
      </c>
      <c r="P23" s="218">
        <f t="shared" si="11"/>
        <v>2135844</v>
      </c>
      <c r="Q23" s="238">
        <f t="shared" si="5"/>
        <v>1404793</v>
      </c>
      <c r="R23" s="217">
        <f t="shared" si="5"/>
        <v>700662</v>
      </c>
      <c r="S23" s="239">
        <f t="shared" si="5"/>
        <v>2135844</v>
      </c>
      <c r="T23" s="240">
        <f>N23/'2017'!N23-1</f>
        <v>0.161950080893568</v>
      </c>
      <c r="U23" s="241">
        <f>O23/'2017'!O23-1</f>
        <v>0.452935162854933</v>
      </c>
      <c r="V23" s="241">
        <f>P23/'2017'!P23-1</f>
        <v>0.243225497763078</v>
      </c>
      <c r="W23" s="241">
        <f>Q23/'2017'!Q23-1</f>
        <v>0.161950080893568</v>
      </c>
      <c r="X23" s="241">
        <f>R23/'2017'!R23-1</f>
        <v>0.452935162854933</v>
      </c>
      <c r="Y23" s="262">
        <f>S23/'2017'!S23-1</f>
        <v>0.243225497763078</v>
      </c>
      <c r="Z23" s="263"/>
      <c r="AA23" s="264">
        <f t="shared" si="10"/>
        <v>140.4793</v>
      </c>
      <c r="AB23" s="265"/>
      <c r="AC23" s="266"/>
      <c r="AD23" s="265">
        <f t="shared" si="6"/>
        <v>1435182</v>
      </c>
      <c r="AE23" s="186">
        <f t="shared" si="7"/>
        <v>5520</v>
      </c>
      <c r="AF23" s="186">
        <f t="shared" ref="AF23:AF38" si="13">AF22+L23</f>
        <v>14986</v>
      </c>
      <c r="AG23" s="266">
        <f t="shared" si="9"/>
        <v>9883</v>
      </c>
      <c r="AH23" s="281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</row>
    <row r="24" spans="1:55">
      <c r="A24" s="189">
        <v>42755</v>
      </c>
      <c r="B24" s="184" t="s">
        <v>38</v>
      </c>
      <c r="C24" s="185">
        <f>71982+2009</f>
        <v>73991</v>
      </c>
      <c r="D24" s="186">
        <f>23199+14276</f>
        <v>37475</v>
      </c>
      <c r="E24" s="186">
        <f>89315+23199</f>
        <v>112514</v>
      </c>
      <c r="F24" s="187">
        <v>5753</v>
      </c>
      <c r="G24" s="186">
        <v>3483</v>
      </c>
      <c r="H24" s="188"/>
      <c r="I24" s="188"/>
      <c r="J24" s="214">
        <f t="shared" si="0"/>
        <v>75039</v>
      </c>
      <c r="K24" s="186">
        <v>169</v>
      </c>
      <c r="L24" s="186">
        <v>792</v>
      </c>
      <c r="M24" s="215">
        <f t="shared" si="3"/>
        <v>87</v>
      </c>
      <c r="N24" s="216">
        <f t="shared" si="11"/>
        <v>1478784</v>
      </c>
      <c r="O24" s="219">
        <f t="shared" si="11"/>
        <v>738137</v>
      </c>
      <c r="P24" s="218">
        <f t="shared" si="11"/>
        <v>2248358</v>
      </c>
      <c r="Q24" s="238">
        <f t="shared" si="5"/>
        <v>1478784</v>
      </c>
      <c r="R24" s="217">
        <f t="shared" si="5"/>
        <v>738137</v>
      </c>
      <c r="S24" s="239">
        <f t="shared" si="5"/>
        <v>2248358</v>
      </c>
      <c r="T24" s="240">
        <f>N24/'2017'!N24-1</f>
        <v>0.183289416934793</v>
      </c>
      <c r="U24" s="241">
        <f>O24/'2017'!O24-1</f>
        <v>0.456279285411303</v>
      </c>
      <c r="V24" s="241">
        <f>P24/'2017'!P24-1</f>
        <v>0.259818632933408</v>
      </c>
      <c r="W24" s="241">
        <f>Q24/'2017'!Q24-1</f>
        <v>0.183289416934793</v>
      </c>
      <c r="X24" s="241">
        <f>R24/'2017'!R24-1</f>
        <v>0.456279285411303</v>
      </c>
      <c r="Y24" s="262">
        <f>S24/'2017'!S24-1</f>
        <v>0.259818632933408</v>
      </c>
      <c r="Z24" s="263"/>
      <c r="AA24" s="264">
        <f t="shared" si="10"/>
        <v>147.8784</v>
      </c>
      <c r="AB24" s="265"/>
      <c r="AC24" s="266"/>
      <c r="AD24" s="265">
        <f t="shared" si="6"/>
        <v>1510221</v>
      </c>
      <c r="AE24" s="186">
        <f t="shared" si="7"/>
        <v>5689</v>
      </c>
      <c r="AF24" s="186">
        <f t="shared" si="13"/>
        <v>15778</v>
      </c>
      <c r="AG24" s="266">
        <f t="shared" si="9"/>
        <v>9970</v>
      </c>
      <c r="AH24" s="281"/>
      <c r="AI24" s="282"/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</row>
    <row r="25" spans="1:55">
      <c r="A25" s="189">
        <v>42756</v>
      </c>
      <c r="B25" s="184" t="s">
        <v>1</v>
      </c>
      <c r="C25" s="185">
        <v>70704</v>
      </c>
      <c r="D25" s="186">
        <f>11200+25926</f>
        <v>37126</v>
      </c>
      <c r="E25" s="186">
        <v>108906</v>
      </c>
      <c r="F25" s="187">
        <v>5474</v>
      </c>
      <c r="G25" s="186">
        <v>3470</v>
      </c>
      <c r="H25" s="188"/>
      <c r="I25" s="188"/>
      <c r="J25" s="214">
        <f t="shared" si="0"/>
        <v>71780</v>
      </c>
      <c r="K25" s="186">
        <v>62</v>
      </c>
      <c r="L25" s="186">
        <v>792</v>
      </c>
      <c r="M25" s="215">
        <f t="shared" si="3"/>
        <v>222</v>
      </c>
      <c r="N25" s="216">
        <f t="shared" si="11"/>
        <v>1549488</v>
      </c>
      <c r="O25" s="219">
        <f t="shared" si="11"/>
        <v>775263</v>
      </c>
      <c r="P25" s="218">
        <f t="shared" si="11"/>
        <v>2357264</v>
      </c>
      <c r="Q25" s="238">
        <f t="shared" si="5"/>
        <v>1549488</v>
      </c>
      <c r="R25" s="217">
        <f t="shared" si="5"/>
        <v>775263</v>
      </c>
      <c r="S25" s="239">
        <f t="shared" si="5"/>
        <v>2357264</v>
      </c>
      <c r="T25" s="240">
        <f>N25/'2017'!N25-1</f>
        <v>0.204205074720357</v>
      </c>
      <c r="U25" s="241">
        <f>O25/'2017'!O25-1</f>
        <v>0.460503486122388</v>
      </c>
      <c r="V25" s="241">
        <f>P25/'2017'!P25-1</f>
        <v>0.276110923141469</v>
      </c>
      <c r="W25" s="241">
        <f>Q25/'2017'!Q25-1</f>
        <v>0.204205074720357</v>
      </c>
      <c r="X25" s="241">
        <f>R25/'2017'!R25-1</f>
        <v>0.460503486122388</v>
      </c>
      <c r="Y25" s="262">
        <f>S25/'2017'!S25-1</f>
        <v>0.276110923141469</v>
      </c>
      <c r="Z25" s="263"/>
      <c r="AA25" s="264">
        <f t="shared" si="10"/>
        <v>154.9488</v>
      </c>
      <c r="AB25" s="265"/>
      <c r="AC25" s="266"/>
      <c r="AD25" s="265">
        <f t="shared" si="6"/>
        <v>1582001</v>
      </c>
      <c r="AE25" s="186">
        <f t="shared" si="7"/>
        <v>5751</v>
      </c>
      <c r="AF25" s="186">
        <f t="shared" si="13"/>
        <v>16570</v>
      </c>
      <c r="AG25" s="266">
        <f t="shared" si="9"/>
        <v>10192</v>
      </c>
      <c r="AH25" s="281"/>
      <c r="AI25" s="282"/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</row>
    <row r="26" spans="1:55">
      <c r="A26" s="189">
        <v>42757</v>
      </c>
      <c r="B26" s="184" t="s">
        <v>39</v>
      </c>
      <c r="C26" s="185">
        <v>68326</v>
      </c>
      <c r="D26" s="186">
        <f>11206+28134</f>
        <v>39340</v>
      </c>
      <c r="E26" s="186">
        <v>109299</v>
      </c>
      <c r="F26" s="187">
        <v>5559</v>
      </c>
      <c r="G26" s="186">
        <v>3326</v>
      </c>
      <c r="H26" s="188"/>
      <c r="I26" s="188"/>
      <c r="J26" s="214">
        <f t="shared" si="0"/>
        <v>69959</v>
      </c>
      <c r="K26" s="186">
        <v>226</v>
      </c>
      <c r="L26" s="186">
        <v>794</v>
      </c>
      <c r="M26" s="215">
        <f t="shared" si="3"/>
        <v>613</v>
      </c>
      <c r="N26" s="216">
        <f t="shared" si="11"/>
        <v>1617814</v>
      </c>
      <c r="O26" s="219">
        <f t="shared" si="11"/>
        <v>814603</v>
      </c>
      <c r="P26" s="218">
        <f t="shared" si="11"/>
        <v>2466563</v>
      </c>
      <c r="Q26" s="238">
        <f t="shared" si="5"/>
        <v>1617814</v>
      </c>
      <c r="R26" s="217">
        <f t="shared" si="5"/>
        <v>814603</v>
      </c>
      <c r="S26" s="239">
        <f t="shared" si="5"/>
        <v>2466563</v>
      </c>
      <c r="T26" s="240">
        <f>N26/'2017'!N26-1</f>
        <v>0.225957520007457</v>
      </c>
      <c r="U26" s="241">
        <f>O26/'2017'!O26-1</f>
        <v>0.470253909352123</v>
      </c>
      <c r="V26" s="241">
        <f>P26/'2017'!P26-1</f>
        <v>0.294724597879257</v>
      </c>
      <c r="W26" s="241">
        <f>Q26/'2017'!Q26-1</f>
        <v>0.225957520007457</v>
      </c>
      <c r="X26" s="241">
        <f>R26/'2017'!R26-1</f>
        <v>0.470253909352123</v>
      </c>
      <c r="Y26" s="262">
        <f>S26/'2017'!S26-1</f>
        <v>0.294724597879257</v>
      </c>
      <c r="Z26" s="263"/>
      <c r="AA26" s="264">
        <f t="shared" si="10"/>
        <v>161.7814</v>
      </c>
      <c r="AB26" s="265"/>
      <c r="AC26" s="266"/>
      <c r="AD26" s="265">
        <f t="shared" si="6"/>
        <v>1651960</v>
      </c>
      <c r="AE26" s="186">
        <f t="shared" si="7"/>
        <v>5977</v>
      </c>
      <c r="AF26" s="186">
        <f t="shared" si="13"/>
        <v>17364</v>
      </c>
      <c r="AG26" s="266">
        <f t="shared" si="9"/>
        <v>10805</v>
      </c>
      <c r="AH26" s="281"/>
      <c r="AI26" s="282"/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</row>
    <row r="27" spans="1:55">
      <c r="A27" s="189">
        <v>42758</v>
      </c>
      <c r="B27" s="184" t="s">
        <v>34</v>
      </c>
      <c r="C27" s="185">
        <v>74020</v>
      </c>
      <c r="D27" s="186">
        <f>11196+28479</f>
        <v>39675</v>
      </c>
      <c r="E27" s="186">
        <v>114846</v>
      </c>
      <c r="F27" s="187">
        <v>5797</v>
      </c>
      <c r="G27" s="186">
        <v>3501</v>
      </c>
      <c r="H27" s="188"/>
      <c r="I27" s="188"/>
      <c r="J27" s="214">
        <f t="shared" si="0"/>
        <v>75171</v>
      </c>
      <c r="K27" s="186">
        <v>125</v>
      </c>
      <c r="L27" s="186">
        <v>793</v>
      </c>
      <c r="M27" s="215">
        <f t="shared" si="3"/>
        <v>233</v>
      </c>
      <c r="N27" s="216">
        <f t="shared" si="11"/>
        <v>1691834</v>
      </c>
      <c r="O27" s="219">
        <f t="shared" si="11"/>
        <v>854278</v>
      </c>
      <c r="P27" s="218">
        <f t="shared" si="11"/>
        <v>2581409</v>
      </c>
      <c r="Q27" s="238">
        <f t="shared" si="5"/>
        <v>1691834</v>
      </c>
      <c r="R27" s="217">
        <f t="shared" si="5"/>
        <v>854278</v>
      </c>
      <c r="S27" s="239">
        <f t="shared" si="5"/>
        <v>2581409</v>
      </c>
      <c r="T27" s="240">
        <f>N27/'2017'!N27-1</f>
        <v>0.25211314825601</v>
      </c>
      <c r="U27" s="241">
        <f>O27/'2017'!O27-1</f>
        <v>0.48218744090096</v>
      </c>
      <c r="V27" s="241">
        <f>P27/'2017'!P27-1</f>
        <v>0.316787425320753</v>
      </c>
      <c r="W27" s="241">
        <f>Q27/'2017'!Q27-1</f>
        <v>0.25211314825601</v>
      </c>
      <c r="X27" s="241">
        <f>R27/'2017'!R27-1</f>
        <v>0.48218744090096</v>
      </c>
      <c r="Y27" s="262">
        <f>S27/'2017'!S27-1</f>
        <v>0.316787425320753</v>
      </c>
      <c r="Z27" s="263">
        <v>5.76</v>
      </c>
      <c r="AA27" s="264">
        <f t="shared" si="10"/>
        <v>163.4234</v>
      </c>
      <c r="AB27" s="265"/>
      <c r="AC27" s="266"/>
      <c r="AD27" s="265">
        <f t="shared" si="6"/>
        <v>1727131</v>
      </c>
      <c r="AE27" s="186">
        <f t="shared" si="7"/>
        <v>6102</v>
      </c>
      <c r="AF27" s="186">
        <f t="shared" si="13"/>
        <v>18157</v>
      </c>
      <c r="AG27" s="266">
        <f t="shared" si="9"/>
        <v>11038</v>
      </c>
      <c r="AH27" s="281"/>
      <c r="AI27" s="282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</row>
    <row r="28" spans="1:55">
      <c r="A28" s="189">
        <v>42759</v>
      </c>
      <c r="B28" s="184" t="s">
        <v>35</v>
      </c>
      <c r="C28" s="185">
        <v>79707</v>
      </c>
      <c r="D28" s="186">
        <f>11218+28098</f>
        <v>39316</v>
      </c>
      <c r="E28" s="186">
        <v>120513</v>
      </c>
      <c r="F28" s="187">
        <v>6104</v>
      </c>
      <c r="G28" s="186">
        <v>3567</v>
      </c>
      <c r="H28" s="188"/>
      <c r="I28" s="188"/>
      <c r="J28" s="214">
        <f t="shared" si="0"/>
        <v>81197</v>
      </c>
      <c r="K28" s="186">
        <v>579</v>
      </c>
      <c r="L28" s="186">
        <v>792</v>
      </c>
      <c r="M28" s="215">
        <f t="shared" si="3"/>
        <v>119</v>
      </c>
      <c r="N28" s="216">
        <f t="shared" si="11"/>
        <v>1771541</v>
      </c>
      <c r="O28" s="219">
        <f t="shared" si="11"/>
        <v>893594</v>
      </c>
      <c r="P28" s="218">
        <f t="shared" si="11"/>
        <v>2701922</v>
      </c>
      <c r="Q28" s="238">
        <f t="shared" si="5"/>
        <v>1771541</v>
      </c>
      <c r="R28" s="217">
        <f t="shared" si="5"/>
        <v>893594</v>
      </c>
      <c r="S28" s="239">
        <f t="shared" si="5"/>
        <v>2701922</v>
      </c>
      <c r="T28" s="240">
        <f>N28/'2017'!N28-1</f>
        <v>0.284299574519912</v>
      </c>
      <c r="U28" s="241">
        <f>O28/'2017'!O28-1</f>
        <v>0.494369320405235</v>
      </c>
      <c r="V28" s="241">
        <f>P28/'2017'!P28-1</f>
        <v>0.343258086502949</v>
      </c>
      <c r="W28" s="241">
        <f>Q28/'2017'!Q28-1</f>
        <v>0.284299574519912</v>
      </c>
      <c r="X28" s="241">
        <f>R28/'2017'!R28-1</f>
        <v>0.494369320405235</v>
      </c>
      <c r="Y28" s="262">
        <f>S28/'2017'!S28-1</f>
        <v>0.343258086502949</v>
      </c>
      <c r="Z28" s="263">
        <v>6</v>
      </c>
      <c r="AA28" s="264">
        <f t="shared" si="10"/>
        <v>171.1541</v>
      </c>
      <c r="AB28" s="265"/>
      <c r="AC28" s="266"/>
      <c r="AD28" s="265">
        <f t="shared" si="6"/>
        <v>1808328</v>
      </c>
      <c r="AE28" s="186">
        <f t="shared" si="7"/>
        <v>6681</v>
      </c>
      <c r="AF28" s="186">
        <f t="shared" si="13"/>
        <v>18949</v>
      </c>
      <c r="AG28" s="266">
        <f t="shared" si="9"/>
        <v>11157</v>
      </c>
      <c r="AH28" s="281"/>
      <c r="AI28" s="282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</row>
    <row r="29" s="163" customFormat="1" spans="1:55">
      <c r="A29" s="190">
        <v>42760</v>
      </c>
      <c r="B29" s="191" t="s">
        <v>36</v>
      </c>
      <c r="C29" s="192">
        <f>78362+2608</f>
        <v>80970</v>
      </c>
      <c r="D29" s="193">
        <f>26477+14752</f>
        <v>41229</v>
      </c>
      <c r="E29" s="193">
        <f>97172+26477</f>
        <v>123649</v>
      </c>
      <c r="F29" s="194">
        <v>6322</v>
      </c>
      <c r="G29" s="193">
        <v>3721</v>
      </c>
      <c r="H29" s="195"/>
      <c r="I29" s="195"/>
      <c r="J29" s="220">
        <f t="shared" si="0"/>
        <v>82420</v>
      </c>
      <c r="K29" s="193">
        <v>592</v>
      </c>
      <c r="L29" s="193">
        <v>793</v>
      </c>
      <c r="M29" s="221">
        <f t="shared" si="3"/>
        <v>65</v>
      </c>
      <c r="N29" s="222">
        <f t="shared" si="11"/>
        <v>1852511</v>
      </c>
      <c r="O29" s="225">
        <f t="shared" si="11"/>
        <v>934823</v>
      </c>
      <c r="P29" s="224">
        <f t="shared" si="11"/>
        <v>2825571</v>
      </c>
      <c r="Q29" s="242">
        <f t="shared" si="5"/>
        <v>1852511</v>
      </c>
      <c r="R29" s="223">
        <f t="shared" si="5"/>
        <v>934823</v>
      </c>
      <c r="S29" s="243">
        <f t="shared" si="5"/>
        <v>2825571</v>
      </c>
      <c r="T29" s="244">
        <f>N29/'2017'!N29-1</f>
        <v>0.317427344580054</v>
      </c>
      <c r="U29" s="245">
        <f>O29/'2017'!O29-1</f>
        <v>0.512235248061627</v>
      </c>
      <c r="V29" s="245">
        <f>P29/'2017'!P29-1</f>
        <v>0.371796228686837</v>
      </c>
      <c r="W29" s="245">
        <f>Q29/'2017'!Q29-1</f>
        <v>0.317427344580054</v>
      </c>
      <c r="X29" s="245">
        <f>R29/'2017'!R29-1</f>
        <v>0.512235248061627</v>
      </c>
      <c r="Y29" s="267">
        <f>S29/'2017'!S29-1</f>
        <v>0.371796228686837</v>
      </c>
      <c r="Z29" s="268">
        <v>6.26</v>
      </c>
      <c r="AA29" s="269">
        <f t="shared" si="10"/>
        <v>178.9911</v>
      </c>
      <c r="AB29" s="270">
        <v>4269.48</v>
      </c>
      <c r="AC29" s="221">
        <f t="shared" si="12"/>
        <v>419.23395823379</v>
      </c>
      <c r="AD29" s="270">
        <f t="shared" si="6"/>
        <v>1890748</v>
      </c>
      <c r="AE29" s="193">
        <f t="shared" si="7"/>
        <v>7273</v>
      </c>
      <c r="AF29" s="193">
        <f t="shared" si="13"/>
        <v>19742</v>
      </c>
      <c r="AG29" s="221">
        <f t="shared" si="9"/>
        <v>11222</v>
      </c>
      <c r="AH29" s="283">
        <f>(AD29-AD22)/('2017'!AD29-'2017'!AD22)-1</f>
        <v>1.08412146909291</v>
      </c>
      <c r="AI29" s="282"/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</row>
    <row r="30" spans="1:55">
      <c r="A30" s="189">
        <v>42761</v>
      </c>
      <c r="B30" s="184" t="s">
        <v>37</v>
      </c>
      <c r="C30" s="185">
        <f>80255+2530</f>
        <v>82785</v>
      </c>
      <c r="D30" s="186">
        <f>25363+14778</f>
        <v>40141</v>
      </c>
      <c r="E30" s="186">
        <v>124335</v>
      </c>
      <c r="F30" s="187">
        <v>6318</v>
      </c>
      <c r="G30" s="186">
        <v>3706</v>
      </c>
      <c r="H30" s="188"/>
      <c r="I30" s="188"/>
      <c r="J30" s="214">
        <f t="shared" si="0"/>
        <v>84194</v>
      </c>
      <c r="K30" s="186">
        <v>536</v>
      </c>
      <c r="L30" s="186">
        <v>793</v>
      </c>
      <c r="M30" s="215">
        <f t="shared" si="3"/>
        <v>80</v>
      </c>
      <c r="N30" s="216">
        <f t="shared" si="11"/>
        <v>1935296</v>
      </c>
      <c r="O30" s="219">
        <f t="shared" si="11"/>
        <v>974964</v>
      </c>
      <c r="P30" s="218">
        <f t="shared" si="11"/>
        <v>2949906</v>
      </c>
      <c r="Q30" s="238">
        <f t="shared" si="5"/>
        <v>1935296</v>
      </c>
      <c r="R30" s="217">
        <f t="shared" si="5"/>
        <v>974964</v>
      </c>
      <c r="S30" s="239">
        <f t="shared" si="5"/>
        <v>2949906</v>
      </c>
      <c r="T30" s="240">
        <f>N30/'2017'!N30-1</f>
        <v>0.353464584165278</v>
      </c>
      <c r="U30" s="241">
        <f>O30/'2017'!O30-1</f>
        <v>0.531594425104624</v>
      </c>
      <c r="V30" s="241">
        <f>P30/'2017'!P30-1</f>
        <v>0.40253919984253</v>
      </c>
      <c r="W30" s="241">
        <f>Q30/'2017'!Q30-1</f>
        <v>0.353464584165278</v>
      </c>
      <c r="X30" s="241">
        <f>R30/'2017'!R30-1</f>
        <v>0.531594425104624</v>
      </c>
      <c r="Y30" s="262">
        <f>S30/'2017'!S30-1</f>
        <v>0.40253919984253</v>
      </c>
      <c r="Z30" s="263"/>
      <c r="AA30" s="264">
        <f t="shared" si="10"/>
        <v>193.5296</v>
      </c>
      <c r="AB30" s="265"/>
      <c r="AC30" s="266"/>
      <c r="AD30" s="265">
        <f t="shared" si="6"/>
        <v>1974942</v>
      </c>
      <c r="AE30" s="186">
        <f t="shared" si="7"/>
        <v>7809</v>
      </c>
      <c r="AF30" s="186">
        <f t="shared" si="13"/>
        <v>20535</v>
      </c>
      <c r="AG30" s="266">
        <f t="shared" si="9"/>
        <v>11302</v>
      </c>
      <c r="AH30" s="281"/>
      <c r="AI30" s="282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</row>
    <row r="31" spans="1:55">
      <c r="A31" s="196">
        <v>42762</v>
      </c>
      <c r="B31" s="184" t="s">
        <v>38</v>
      </c>
      <c r="C31" s="185">
        <f>81631+2702</f>
        <v>84333</v>
      </c>
      <c r="D31" s="186">
        <f>24467+14154</f>
        <v>38621</v>
      </c>
      <c r="E31" s="186">
        <v>123955</v>
      </c>
      <c r="F31" s="187">
        <v>6293</v>
      </c>
      <c r="G31" s="186">
        <v>3758</v>
      </c>
      <c r="H31" s="188"/>
      <c r="I31" s="188"/>
      <c r="J31" s="214">
        <f t="shared" si="0"/>
        <v>85334</v>
      </c>
      <c r="K31" s="186">
        <v>157</v>
      </c>
      <c r="L31" s="186">
        <v>797</v>
      </c>
      <c r="M31" s="215">
        <f t="shared" si="3"/>
        <v>47</v>
      </c>
      <c r="N31" s="216">
        <f t="shared" si="11"/>
        <v>2019629</v>
      </c>
      <c r="O31" s="219">
        <f t="shared" si="11"/>
        <v>1013585</v>
      </c>
      <c r="P31" s="218">
        <f t="shared" si="11"/>
        <v>3073861</v>
      </c>
      <c r="Q31" s="238">
        <f t="shared" si="5"/>
        <v>2019629</v>
      </c>
      <c r="R31" s="217">
        <f t="shared" si="5"/>
        <v>1013585</v>
      </c>
      <c r="S31" s="239">
        <f t="shared" si="5"/>
        <v>3073861</v>
      </c>
      <c r="T31" s="240">
        <f>N31/'2017'!N31-1</f>
        <v>0.38817756540411</v>
      </c>
      <c r="U31" s="241">
        <f>O31/'2017'!O31-1</f>
        <v>0.553260807934375</v>
      </c>
      <c r="V31" s="241">
        <f>P31/'2017'!P31-1</f>
        <v>0.432955933913223</v>
      </c>
      <c r="W31" s="241">
        <f>Q31/'2017'!Q31-1</f>
        <v>0.38817756540411</v>
      </c>
      <c r="X31" s="241">
        <f>R31/'2017'!R31-1</f>
        <v>0.553260807934375</v>
      </c>
      <c r="Y31" s="262">
        <f>S31/'2017'!S31-1</f>
        <v>0.432955933913223</v>
      </c>
      <c r="Z31" s="263"/>
      <c r="AA31" s="264">
        <f t="shared" si="10"/>
        <v>201.9629</v>
      </c>
      <c r="AB31" s="265"/>
      <c r="AC31" s="266"/>
      <c r="AD31" s="265">
        <f t="shared" si="6"/>
        <v>2060276</v>
      </c>
      <c r="AE31" s="186">
        <f t="shared" si="7"/>
        <v>7966</v>
      </c>
      <c r="AF31" s="186">
        <f t="shared" si="13"/>
        <v>21332</v>
      </c>
      <c r="AG31" s="266">
        <f t="shared" si="9"/>
        <v>11349</v>
      </c>
      <c r="AH31" s="281"/>
      <c r="AI31" s="282"/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</row>
    <row r="32" spans="1:55">
      <c r="A32" s="196">
        <v>42763</v>
      </c>
      <c r="B32" s="184" t="s">
        <v>1</v>
      </c>
      <c r="C32" s="185">
        <v>76136</v>
      </c>
      <c r="D32" s="186">
        <f>11276+27635</f>
        <v>38911</v>
      </c>
      <c r="E32" s="186">
        <v>116089</v>
      </c>
      <c r="F32" s="187">
        <v>5759</v>
      </c>
      <c r="G32" s="186">
        <v>3617</v>
      </c>
      <c r="H32" s="188"/>
      <c r="I32" s="188"/>
      <c r="J32" s="214">
        <f t="shared" si="0"/>
        <v>77178</v>
      </c>
      <c r="K32" s="186">
        <v>182</v>
      </c>
      <c r="L32" s="186">
        <v>788</v>
      </c>
      <c r="M32" s="215">
        <f t="shared" si="3"/>
        <v>72</v>
      </c>
      <c r="N32" s="216">
        <f t="shared" si="11"/>
        <v>2095765</v>
      </c>
      <c r="O32" s="219">
        <f t="shared" si="11"/>
        <v>1052496</v>
      </c>
      <c r="P32" s="218">
        <f t="shared" si="11"/>
        <v>3189950</v>
      </c>
      <c r="Q32" s="238">
        <f t="shared" si="5"/>
        <v>2095765</v>
      </c>
      <c r="R32" s="217">
        <f t="shared" si="5"/>
        <v>1052496</v>
      </c>
      <c r="S32" s="239">
        <f t="shared" si="5"/>
        <v>3189950</v>
      </c>
      <c r="T32" s="240">
        <f>N32/'2017'!N32-1</f>
        <v>0.420945292218028</v>
      </c>
      <c r="U32" s="241">
        <f>O32/'2017'!O32-1</f>
        <v>0.575816920070968</v>
      </c>
      <c r="V32" s="241">
        <f>P32/'2017'!P32-1</f>
        <v>0.462116830007691</v>
      </c>
      <c r="W32" s="241">
        <f>Q32/'2017'!Q32-1</f>
        <v>0.420945292218028</v>
      </c>
      <c r="X32" s="241">
        <f>R32/'2017'!R32-1</f>
        <v>0.575816920070968</v>
      </c>
      <c r="Y32" s="262">
        <f>S32/'2017'!S32-1</f>
        <v>0.462116830007691</v>
      </c>
      <c r="Z32" s="263"/>
      <c r="AA32" s="264">
        <f t="shared" si="10"/>
        <v>209.5765</v>
      </c>
      <c r="AB32" s="265"/>
      <c r="AC32" s="266"/>
      <c r="AD32" s="265">
        <f t="shared" si="6"/>
        <v>2137454</v>
      </c>
      <c r="AE32" s="186">
        <f t="shared" si="7"/>
        <v>8148</v>
      </c>
      <c r="AF32" s="186">
        <f t="shared" si="13"/>
        <v>22120</v>
      </c>
      <c r="AG32" s="266">
        <f t="shared" si="9"/>
        <v>11421</v>
      </c>
      <c r="AH32" s="281"/>
      <c r="AI32" s="282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</row>
    <row r="33" spans="1:55">
      <c r="A33" s="196">
        <v>42764</v>
      </c>
      <c r="B33" s="184" t="s">
        <v>39</v>
      </c>
      <c r="C33" s="185">
        <v>77342</v>
      </c>
      <c r="D33" s="186">
        <f>11484+29022</f>
        <v>40506</v>
      </c>
      <c r="E33" s="186">
        <v>119573</v>
      </c>
      <c r="F33" s="187">
        <v>6099</v>
      </c>
      <c r="G33" s="186">
        <v>3473</v>
      </c>
      <c r="H33" s="188"/>
      <c r="I33" s="188"/>
      <c r="J33" s="214">
        <f t="shared" si="0"/>
        <v>79067</v>
      </c>
      <c r="K33" s="186">
        <v>495</v>
      </c>
      <c r="L33" s="186">
        <v>792</v>
      </c>
      <c r="M33" s="215">
        <f t="shared" si="3"/>
        <v>438</v>
      </c>
      <c r="N33" s="216">
        <f t="shared" si="11"/>
        <v>2173107</v>
      </c>
      <c r="O33" s="219">
        <f t="shared" si="11"/>
        <v>1093002</v>
      </c>
      <c r="P33" s="218">
        <f t="shared" si="11"/>
        <v>3309523</v>
      </c>
      <c r="Q33" s="238">
        <f t="shared" si="5"/>
        <v>2173107</v>
      </c>
      <c r="R33" s="217">
        <f t="shared" si="5"/>
        <v>1093002</v>
      </c>
      <c r="S33" s="239">
        <f t="shared" si="5"/>
        <v>3309523</v>
      </c>
      <c r="T33" s="240">
        <f>N33/'2017'!N33-1</f>
        <v>0.456070772409856</v>
      </c>
      <c r="U33" s="241">
        <f>O33/'2017'!O33-1</f>
        <v>0.599132110309189</v>
      </c>
      <c r="V33" s="241">
        <f>P33/'2017'!P33-1</f>
        <v>0.493449535339387</v>
      </c>
      <c r="W33" s="241">
        <f>Q33/'2017'!Q33-1</f>
        <v>0.456070772409856</v>
      </c>
      <c r="X33" s="241">
        <f>R33/'2017'!R33-1</f>
        <v>0.599132110309189</v>
      </c>
      <c r="Y33" s="262">
        <f>S33/'2017'!S33-1</f>
        <v>0.493449535339387</v>
      </c>
      <c r="Z33" s="263"/>
      <c r="AA33" s="264">
        <f t="shared" si="10"/>
        <v>217.3107</v>
      </c>
      <c r="AB33" s="265"/>
      <c r="AC33" s="266"/>
      <c r="AD33" s="265">
        <f t="shared" si="6"/>
        <v>2216521</v>
      </c>
      <c r="AE33" s="186">
        <f t="shared" si="7"/>
        <v>8643</v>
      </c>
      <c r="AF33" s="186">
        <f t="shared" si="13"/>
        <v>22912</v>
      </c>
      <c r="AG33" s="266">
        <f t="shared" si="9"/>
        <v>11859</v>
      </c>
      <c r="AH33" s="281"/>
      <c r="AI33" s="282"/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</row>
    <row r="34" spans="1:55">
      <c r="A34" s="196">
        <v>42765</v>
      </c>
      <c r="B34" s="184" t="s">
        <v>34</v>
      </c>
      <c r="C34" s="185">
        <v>79238</v>
      </c>
      <c r="D34" s="186">
        <f>11418+27500</f>
        <v>38918</v>
      </c>
      <c r="E34" s="186">
        <v>119703</v>
      </c>
      <c r="F34" s="187">
        <v>5931</v>
      </c>
      <c r="G34" s="186">
        <v>3684</v>
      </c>
      <c r="H34" s="188"/>
      <c r="I34" s="188"/>
      <c r="J34" s="214">
        <f t="shared" si="0"/>
        <v>80785</v>
      </c>
      <c r="K34" s="186">
        <v>238</v>
      </c>
      <c r="L34" s="186">
        <v>793</v>
      </c>
      <c r="M34" s="215">
        <f t="shared" si="3"/>
        <v>516</v>
      </c>
      <c r="N34" s="216">
        <f t="shared" si="11"/>
        <v>2252345</v>
      </c>
      <c r="O34" s="219">
        <f t="shared" si="11"/>
        <v>1131920</v>
      </c>
      <c r="P34" s="218">
        <f t="shared" si="11"/>
        <v>3429226</v>
      </c>
      <c r="Q34" s="238">
        <f t="shared" si="5"/>
        <v>2252345</v>
      </c>
      <c r="R34" s="217">
        <f t="shared" si="5"/>
        <v>1131920</v>
      </c>
      <c r="S34" s="239">
        <f t="shared" si="5"/>
        <v>3429226</v>
      </c>
      <c r="T34" s="240">
        <f>N34/'2017'!N34-1</f>
        <v>0.488323210056669</v>
      </c>
      <c r="U34" s="241">
        <f>O34/'2017'!O34-1</f>
        <v>0.61914965747987</v>
      </c>
      <c r="V34" s="241">
        <f>P34/'2017'!P34-1</f>
        <v>0.521682659773915</v>
      </c>
      <c r="W34" s="241">
        <f>Q34/'2017'!Q34-1</f>
        <v>0.488323210056669</v>
      </c>
      <c r="X34" s="241">
        <f>R34/'2017'!R34-1</f>
        <v>0.61914965747987</v>
      </c>
      <c r="Y34" s="262">
        <f>S34/'2017'!S34-1</f>
        <v>0.521682659773915</v>
      </c>
      <c r="Z34" s="263"/>
      <c r="AA34" s="264">
        <f t="shared" si="10"/>
        <v>225.2345</v>
      </c>
      <c r="AB34" s="265"/>
      <c r="AC34" s="266"/>
      <c r="AD34" s="265">
        <f t="shared" si="6"/>
        <v>2297306</v>
      </c>
      <c r="AE34" s="186">
        <f t="shared" si="7"/>
        <v>8881</v>
      </c>
      <c r="AF34" s="186">
        <f t="shared" si="13"/>
        <v>23705</v>
      </c>
      <c r="AG34" s="266">
        <f t="shared" si="9"/>
        <v>12375</v>
      </c>
      <c r="AH34" s="281"/>
      <c r="AI34" s="282"/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</row>
    <row r="35" spans="1:55">
      <c r="A35" s="196">
        <v>42766</v>
      </c>
      <c r="B35" s="197" t="s">
        <v>35</v>
      </c>
      <c r="C35" s="198">
        <v>81491</v>
      </c>
      <c r="D35" s="199">
        <f>10987+26984</f>
        <v>37971</v>
      </c>
      <c r="E35" s="199">
        <v>120623</v>
      </c>
      <c r="F35" s="200">
        <v>6100</v>
      </c>
      <c r="G35" s="199">
        <v>3612</v>
      </c>
      <c r="H35" s="201"/>
      <c r="I35" s="201"/>
      <c r="J35" s="226">
        <f t="shared" si="0"/>
        <v>82652</v>
      </c>
      <c r="K35" s="199">
        <v>254</v>
      </c>
      <c r="L35" s="199">
        <v>794</v>
      </c>
      <c r="M35" s="227">
        <f t="shared" si="3"/>
        <v>113</v>
      </c>
      <c r="N35" s="228">
        <f>[12]表2、统调口径电量!$D$10</f>
        <v>2339744.04</v>
      </c>
      <c r="O35" s="229">
        <f>[12]表2、统调口径电量!$D$14</f>
        <v>1171254</v>
      </c>
      <c r="P35" s="230">
        <f>[12]表2、统调口径电量!$D$3</f>
        <v>3558081.12</v>
      </c>
      <c r="Q35" s="246">
        <f t="shared" si="5"/>
        <v>2339744.04</v>
      </c>
      <c r="R35" s="229">
        <f t="shared" si="5"/>
        <v>1171254</v>
      </c>
      <c r="S35" s="247">
        <f>P35</f>
        <v>3558081.12</v>
      </c>
      <c r="T35" s="248">
        <f>N35/'2017'!N35-1</f>
        <v>0.521970228800958</v>
      </c>
      <c r="U35" s="249">
        <f>O35/'2017'!O35-1</f>
        <v>0.638149558173167</v>
      </c>
      <c r="V35" s="249">
        <f>P35/'2017'!P35-1</f>
        <v>0.55065648609427</v>
      </c>
      <c r="W35" s="249">
        <f>Q35/'2017'!Q35-1</f>
        <v>0.521970228800958</v>
      </c>
      <c r="X35" s="249">
        <f>R35/'2017'!R35-1</f>
        <v>0.638149558173167</v>
      </c>
      <c r="Y35" s="272">
        <f>S35/'2017'!S35-1</f>
        <v>0.55065648609427</v>
      </c>
      <c r="Z35" s="273">
        <f>[12]表2、统调口径电量!$I$12/10000</f>
        <v>7.88784</v>
      </c>
      <c r="AA35" s="274">
        <f>[12]表2、统调口径电量!$I$11/10000</f>
        <v>226.086564</v>
      </c>
      <c r="AB35" s="275">
        <v>4269.48</v>
      </c>
      <c r="AC35" s="276">
        <f t="shared" si="12"/>
        <v>529.541218134293</v>
      </c>
      <c r="AD35" s="275">
        <f>[12]表2、统调口径电量!$I$4</f>
        <v>2386827.12</v>
      </c>
      <c r="AE35" s="199">
        <f>[12]表2、统调口径电量!$I$13</f>
        <v>9760.28</v>
      </c>
      <c r="AF35" s="199">
        <f>[12]表2、统调口径电量!$I$15</f>
        <v>24503.58</v>
      </c>
      <c r="AG35" s="276">
        <f>[12]表2、统调口径电量!$I$16+[12]表2、统调口径电量!$I$17</f>
        <v>12819.22</v>
      </c>
      <c r="AH35" s="281"/>
      <c r="AI35" s="282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</row>
    <row r="36" s="163" customFormat="1" spans="1:55">
      <c r="A36" s="202">
        <v>42767</v>
      </c>
      <c r="B36" s="191" t="s">
        <v>36</v>
      </c>
      <c r="C36" s="192">
        <f>72451+2637</f>
        <v>75088</v>
      </c>
      <c r="D36" s="193">
        <f>19171+15154</f>
        <v>34325</v>
      </c>
      <c r="E36" s="193">
        <v>111325</v>
      </c>
      <c r="F36" s="194">
        <v>5522</v>
      </c>
      <c r="G36" s="193">
        <v>3521</v>
      </c>
      <c r="H36" s="195"/>
      <c r="I36" s="195"/>
      <c r="J36" s="220">
        <f t="shared" si="0"/>
        <v>77000</v>
      </c>
      <c r="K36" s="193">
        <v>381</v>
      </c>
      <c r="L36" s="193">
        <v>792</v>
      </c>
      <c r="M36" s="221">
        <f t="shared" si="3"/>
        <v>739</v>
      </c>
      <c r="N36" s="222">
        <f>C36</f>
        <v>75088</v>
      </c>
      <c r="O36" s="231">
        <f>D36</f>
        <v>34325</v>
      </c>
      <c r="P36" s="224">
        <f>E36</f>
        <v>111325</v>
      </c>
      <c r="Q36" s="242">
        <f>N36+Q$35</f>
        <v>2414832.04</v>
      </c>
      <c r="R36" s="223">
        <f>O36+R$35</f>
        <v>1205579</v>
      </c>
      <c r="S36" s="243">
        <f>P36+S$35</f>
        <v>3669406.12</v>
      </c>
      <c r="T36" s="244">
        <f>N36/'2017'!N36-1</f>
        <v>1.95680252018114</v>
      </c>
      <c r="U36" s="245">
        <f>O36/'2017'!O36-1</f>
        <v>1.07364224007733</v>
      </c>
      <c r="V36" s="245">
        <f>P36/'2017'!P36-1</f>
        <v>1.57649046472875</v>
      </c>
      <c r="W36" s="245">
        <f>Q36/'2017'!Q36-1</f>
        <v>0.545287172785399</v>
      </c>
      <c r="X36" s="245">
        <f>R36/'2017'!R36-1</f>
        <v>0.64800372912449</v>
      </c>
      <c r="Y36" s="267">
        <f>S36/'2017'!S36-1</f>
        <v>0.569616516230463</v>
      </c>
      <c r="Z36" s="268">
        <v>8.16</v>
      </c>
      <c r="AA36" s="269">
        <f t="shared" si="10"/>
        <v>233.323204</v>
      </c>
      <c r="AB36" s="270">
        <v>4269.48</v>
      </c>
      <c r="AC36" s="221">
        <f t="shared" si="12"/>
        <v>546.490916926652</v>
      </c>
      <c r="AD36" s="270">
        <f t="shared" si="6"/>
        <v>2463827.12</v>
      </c>
      <c r="AE36" s="193">
        <f t="shared" si="7"/>
        <v>10141.28</v>
      </c>
      <c r="AF36" s="193">
        <f t="shared" si="13"/>
        <v>25295.58</v>
      </c>
      <c r="AG36" s="221">
        <f t="shared" si="9"/>
        <v>13558.2200000001</v>
      </c>
      <c r="AH36" s="283">
        <f>(AD36-AD29)/('2017'!AD36-'2017'!AD29)-1</f>
        <v>2.480666636995</v>
      </c>
      <c r="AI36" s="282"/>
      <c r="AJ36" s="282"/>
      <c r="AK36" s="282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2"/>
      <c r="AX36" s="282"/>
      <c r="AY36" s="282"/>
      <c r="AZ36" s="282"/>
      <c r="BA36" s="282"/>
      <c r="BB36" s="282"/>
      <c r="BC36" s="282"/>
    </row>
    <row r="37" spans="1:55">
      <c r="A37" s="196">
        <v>42768</v>
      </c>
      <c r="B37" s="184" t="s">
        <v>37</v>
      </c>
      <c r="C37" s="185">
        <f>68381+2524</f>
        <v>70905</v>
      </c>
      <c r="D37" s="186">
        <f>19246+14503</f>
        <v>33749</v>
      </c>
      <c r="E37" s="186">
        <f>87117+19246</f>
        <v>106363</v>
      </c>
      <c r="F37" s="187">
        <v>5259</v>
      </c>
      <c r="G37" s="186">
        <v>3378</v>
      </c>
      <c r="H37" s="188"/>
      <c r="I37" s="188"/>
      <c r="J37" s="214">
        <f t="shared" si="0"/>
        <v>72614</v>
      </c>
      <c r="K37" s="186">
        <v>207</v>
      </c>
      <c r="L37" s="186">
        <v>787</v>
      </c>
      <c r="M37" s="215">
        <f t="shared" si="3"/>
        <v>715</v>
      </c>
      <c r="N37" s="216">
        <f t="shared" ref="N37:P52" si="14">N36+C37</f>
        <v>145993</v>
      </c>
      <c r="O37" s="219">
        <f t="shared" si="14"/>
        <v>68074</v>
      </c>
      <c r="P37" s="218">
        <f t="shared" si="14"/>
        <v>217688</v>
      </c>
      <c r="Q37" s="238">
        <f t="shared" ref="Q37:S62" si="15">N37+Q$35</f>
        <v>2485737.04</v>
      </c>
      <c r="R37" s="217">
        <f t="shared" si="15"/>
        <v>1239328</v>
      </c>
      <c r="S37" s="239">
        <f t="shared" si="15"/>
        <v>3775769.12</v>
      </c>
      <c r="T37" s="240">
        <f>N37/'2017'!N37-1</f>
        <v>1.8337150621118</v>
      </c>
      <c r="U37" s="241">
        <f>O37/'2017'!O37-1</f>
        <v>0.98883954657006</v>
      </c>
      <c r="V37" s="241">
        <f>P37/'2017'!P37-1</f>
        <v>1.47685148312075</v>
      </c>
      <c r="W37" s="241">
        <f>Q37/'2017'!Q37-1</f>
        <v>0.564505290683168</v>
      </c>
      <c r="X37" s="241">
        <f>R37/'2017'!R37-1</f>
        <v>0.654170904441188</v>
      </c>
      <c r="Y37" s="262">
        <f>S37/'2017'!S37-1</f>
        <v>0.58482393431677</v>
      </c>
      <c r="Z37" s="263"/>
      <c r="AA37" s="264">
        <f t="shared" si="10"/>
        <v>248.573704</v>
      </c>
      <c r="AB37" s="265"/>
      <c r="AC37" s="266"/>
      <c r="AD37" s="265">
        <f t="shared" si="6"/>
        <v>2536441.12</v>
      </c>
      <c r="AE37" s="186">
        <f t="shared" si="7"/>
        <v>10348.28</v>
      </c>
      <c r="AF37" s="186">
        <f t="shared" si="13"/>
        <v>26082.58</v>
      </c>
      <c r="AG37" s="266">
        <f t="shared" si="9"/>
        <v>14273.2200000001</v>
      </c>
      <c r="AH37" s="281"/>
      <c r="AI37" s="282"/>
      <c r="AJ37" s="282"/>
      <c r="AK37" s="282"/>
      <c r="AL37" s="282"/>
      <c r="AM37" s="282"/>
      <c r="AN37" s="282"/>
      <c r="AO37" s="282"/>
      <c r="AP37" s="282"/>
      <c r="AQ37" s="282"/>
      <c r="AR37" s="282"/>
      <c r="AS37" s="282"/>
      <c r="AT37" s="282"/>
      <c r="AU37" s="282"/>
      <c r="AV37" s="282"/>
      <c r="AW37" s="282"/>
      <c r="AX37" s="282"/>
      <c r="AY37" s="282"/>
      <c r="AZ37" s="282"/>
      <c r="BA37" s="282"/>
      <c r="BB37" s="282"/>
      <c r="BC37" s="282"/>
    </row>
    <row r="38" spans="1:55">
      <c r="A38" s="189">
        <v>42769</v>
      </c>
      <c r="B38" s="184" t="s">
        <v>38</v>
      </c>
      <c r="C38" s="185">
        <f>64493+2577</f>
        <v>67070</v>
      </c>
      <c r="D38" s="186">
        <f>17709+14310</f>
        <v>32019</v>
      </c>
      <c r="E38" s="186">
        <f>83346+17709</f>
        <v>101055</v>
      </c>
      <c r="F38" s="187">
        <v>4929</v>
      </c>
      <c r="G38" s="186">
        <v>3197</v>
      </c>
      <c r="H38" s="188"/>
      <c r="I38" s="188"/>
      <c r="J38" s="214">
        <f t="shared" si="0"/>
        <v>69036</v>
      </c>
      <c r="K38" s="186">
        <v>229</v>
      </c>
      <c r="L38" s="186">
        <v>793</v>
      </c>
      <c r="M38" s="215">
        <f t="shared" si="3"/>
        <v>944</v>
      </c>
      <c r="N38" s="216">
        <f t="shared" si="14"/>
        <v>213063</v>
      </c>
      <c r="O38" s="219">
        <f t="shared" si="14"/>
        <v>100093</v>
      </c>
      <c r="P38" s="218">
        <f t="shared" si="14"/>
        <v>318743</v>
      </c>
      <c r="Q38" s="238">
        <f t="shared" si="15"/>
        <v>2552807.04</v>
      </c>
      <c r="R38" s="217">
        <f t="shared" si="15"/>
        <v>1271347</v>
      </c>
      <c r="S38" s="239">
        <f t="shared" si="15"/>
        <v>3876824.12</v>
      </c>
      <c r="T38" s="240">
        <f>N38/'2017'!N38-1</f>
        <v>1.76712382139796</v>
      </c>
      <c r="U38" s="241">
        <f>O38/'2017'!O38-1</f>
        <v>0.815285006982354</v>
      </c>
      <c r="V38" s="241">
        <f>P38/'2017'!P38-1</f>
        <v>1.35962600494514</v>
      </c>
      <c r="W38" s="241">
        <f>Q38/'2017'!Q38-1</f>
        <v>0.581360494301896</v>
      </c>
      <c r="X38" s="241">
        <f>R38/'2017'!R38-1</f>
        <v>0.650832007790943</v>
      </c>
      <c r="Y38" s="262">
        <f>S38/'2017'!S38-1</f>
        <v>0.595633081036096</v>
      </c>
      <c r="Z38" s="263"/>
      <c r="AA38" s="264">
        <f t="shared" si="10"/>
        <v>255.280704</v>
      </c>
      <c r="AB38" s="265"/>
      <c r="AC38" s="266"/>
      <c r="AD38" s="265">
        <f t="shared" si="6"/>
        <v>2605477.12</v>
      </c>
      <c r="AE38" s="186">
        <f t="shared" si="7"/>
        <v>10577.28</v>
      </c>
      <c r="AF38" s="186">
        <f t="shared" si="13"/>
        <v>26875.58</v>
      </c>
      <c r="AG38" s="266">
        <f t="shared" si="9"/>
        <v>15217.2200000001</v>
      </c>
      <c r="AH38" s="281"/>
      <c r="AI38" s="282"/>
      <c r="AJ38" s="282"/>
      <c r="AK38" s="282"/>
      <c r="AL38" s="282"/>
      <c r="AM38" s="282"/>
      <c r="AN38" s="282"/>
      <c r="AO38" s="282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</row>
    <row r="39" spans="1:55">
      <c r="A39" s="189">
        <v>42770</v>
      </c>
      <c r="B39" s="184" t="s">
        <v>1</v>
      </c>
      <c r="C39" s="185">
        <v>62108</v>
      </c>
      <c r="D39" s="186">
        <f>11145+20636</f>
        <v>31781</v>
      </c>
      <c r="E39" s="186">
        <v>95948</v>
      </c>
      <c r="F39" s="187">
        <v>4746</v>
      </c>
      <c r="G39" s="186">
        <v>3126</v>
      </c>
      <c r="H39" s="188"/>
      <c r="I39" s="188"/>
      <c r="J39" s="214">
        <f t="shared" si="0"/>
        <v>64167</v>
      </c>
      <c r="K39" s="186">
        <v>302</v>
      </c>
      <c r="L39" s="186">
        <v>792</v>
      </c>
      <c r="M39" s="215">
        <f t="shared" si="3"/>
        <v>965</v>
      </c>
      <c r="N39" s="216">
        <f t="shared" si="14"/>
        <v>275171</v>
      </c>
      <c r="O39" s="219">
        <f t="shared" si="14"/>
        <v>131874</v>
      </c>
      <c r="P39" s="218">
        <f t="shared" si="14"/>
        <v>414691</v>
      </c>
      <c r="Q39" s="238">
        <f t="shared" si="15"/>
        <v>2614915.04</v>
      </c>
      <c r="R39" s="217">
        <f t="shared" si="15"/>
        <v>1303128</v>
      </c>
      <c r="S39" s="239">
        <f t="shared" si="15"/>
        <v>3972772.12</v>
      </c>
      <c r="T39" s="240">
        <f>N39/'2017'!N39-1</f>
        <v>1.66050779286073</v>
      </c>
      <c r="U39" s="241">
        <f>O39/'2017'!O39-1</f>
        <v>0.667496996902067</v>
      </c>
      <c r="V39" s="241">
        <f>P39/'2017'!P39-1</f>
        <v>1.22626589074042</v>
      </c>
      <c r="W39" s="241">
        <f>Q39/'2017'!Q39-1</f>
        <v>0.593740660848636</v>
      </c>
      <c r="X39" s="241">
        <f>R39/'2017'!R39-1</f>
        <v>0.641072397808256</v>
      </c>
      <c r="Y39" s="262">
        <f>S39/'2017'!S39-1</f>
        <v>0.601384182868445</v>
      </c>
      <c r="Z39" s="263"/>
      <c r="AA39" s="264">
        <f t="shared" si="10"/>
        <v>261.491504</v>
      </c>
      <c r="AB39" s="265"/>
      <c r="AC39" s="266"/>
      <c r="AD39" s="265">
        <f t="shared" si="6"/>
        <v>2669644.12</v>
      </c>
      <c r="AE39" s="186">
        <f t="shared" si="7"/>
        <v>10879.28</v>
      </c>
      <c r="AF39" s="186">
        <f t="shared" ref="AF39:AF54" si="16">AF38+L39</f>
        <v>27667.58</v>
      </c>
      <c r="AG39" s="266">
        <f t="shared" si="9"/>
        <v>16182.2200000001</v>
      </c>
      <c r="AH39" s="281"/>
      <c r="AI39" s="282"/>
      <c r="AJ39" s="282"/>
      <c r="AK39" s="282"/>
      <c r="AL39" s="282"/>
      <c r="AM39" s="282"/>
      <c r="AN39" s="282"/>
      <c r="AO39" s="282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</row>
    <row r="40" spans="1:55">
      <c r="A40" s="189">
        <v>42771</v>
      </c>
      <c r="B40" s="184" t="s">
        <v>39</v>
      </c>
      <c r="C40" s="185">
        <v>59611</v>
      </c>
      <c r="D40" s="186">
        <f>11268+20648</f>
        <v>31916</v>
      </c>
      <c r="E40" s="186">
        <v>93502</v>
      </c>
      <c r="F40" s="187">
        <v>4619</v>
      </c>
      <c r="G40" s="186">
        <v>2946</v>
      </c>
      <c r="H40" s="188"/>
      <c r="I40" s="188"/>
      <c r="J40" s="214">
        <f t="shared" si="0"/>
        <v>61586</v>
      </c>
      <c r="K40" s="186">
        <v>140</v>
      </c>
      <c r="L40" s="186">
        <v>793</v>
      </c>
      <c r="M40" s="215">
        <f t="shared" si="3"/>
        <v>1042</v>
      </c>
      <c r="N40" s="216">
        <f t="shared" si="14"/>
        <v>334782</v>
      </c>
      <c r="O40" s="219">
        <f t="shared" si="14"/>
        <v>163790</v>
      </c>
      <c r="P40" s="218">
        <f t="shared" si="14"/>
        <v>508193</v>
      </c>
      <c r="Q40" s="238">
        <f t="shared" si="15"/>
        <v>2674526.04</v>
      </c>
      <c r="R40" s="217">
        <f t="shared" si="15"/>
        <v>1335044</v>
      </c>
      <c r="S40" s="239">
        <f t="shared" si="15"/>
        <v>4066274.12</v>
      </c>
      <c r="T40" s="240">
        <f>N40/'2017'!N40-1</f>
        <v>1.57255486567898</v>
      </c>
      <c r="U40" s="241">
        <f>O40/'2017'!O40-1</f>
        <v>0.56816375769529</v>
      </c>
      <c r="V40" s="241">
        <f>P40/'2017'!P40-1</f>
        <v>1.12206864873893</v>
      </c>
      <c r="W40" s="241">
        <f>Q40/'2017'!Q40-1</f>
        <v>0.603963089429406</v>
      </c>
      <c r="X40" s="241">
        <f>R40/'2017'!R40-1</f>
        <v>0.629228991265912</v>
      </c>
      <c r="Y40" s="262">
        <f>S40/'2017'!S40-1</f>
        <v>0.604657823418189</v>
      </c>
      <c r="Z40" s="263"/>
      <c r="AA40" s="264">
        <f t="shared" si="10"/>
        <v>267.452604</v>
      </c>
      <c r="AB40" s="265"/>
      <c r="AC40" s="266"/>
      <c r="AD40" s="265">
        <f t="shared" si="6"/>
        <v>2731230.12</v>
      </c>
      <c r="AE40" s="186">
        <f t="shared" si="7"/>
        <v>11019.28</v>
      </c>
      <c r="AF40" s="186">
        <f t="shared" si="16"/>
        <v>28460.58</v>
      </c>
      <c r="AG40" s="266">
        <f t="shared" si="9"/>
        <v>17224.2200000001</v>
      </c>
      <c r="AH40" s="281"/>
      <c r="AI40" s="282"/>
      <c r="AJ40" s="282"/>
      <c r="AK40" s="282"/>
      <c r="AL40" s="282"/>
      <c r="AM40" s="282"/>
      <c r="AN40" s="282"/>
      <c r="AO40" s="282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</row>
    <row r="41" spans="1:55">
      <c r="A41" s="189">
        <v>42772</v>
      </c>
      <c r="B41" s="184" t="s">
        <v>34</v>
      </c>
      <c r="C41" s="185">
        <v>53975</v>
      </c>
      <c r="D41" s="186">
        <f>11255+21481</f>
        <v>32736</v>
      </c>
      <c r="E41" s="186">
        <v>88681</v>
      </c>
      <c r="F41" s="187">
        <v>4397</v>
      </c>
      <c r="G41" s="186">
        <v>2871</v>
      </c>
      <c r="H41" s="188"/>
      <c r="I41" s="188"/>
      <c r="J41" s="214">
        <f t="shared" si="0"/>
        <v>55945</v>
      </c>
      <c r="K41" s="186">
        <v>128</v>
      </c>
      <c r="L41" s="186">
        <v>791</v>
      </c>
      <c r="M41" s="215">
        <f t="shared" si="3"/>
        <v>1051</v>
      </c>
      <c r="N41" s="216">
        <f t="shared" si="14"/>
        <v>388757</v>
      </c>
      <c r="O41" s="219">
        <f t="shared" si="14"/>
        <v>196526</v>
      </c>
      <c r="P41" s="218">
        <f t="shared" si="14"/>
        <v>596874</v>
      </c>
      <c r="Q41" s="238">
        <f t="shared" si="15"/>
        <v>2728501.04</v>
      </c>
      <c r="R41" s="217">
        <f t="shared" si="15"/>
        <v>1367780</v>
      </c>
      <c r="S41" s="239">
        <f t="shared" si="15"/>
        <v>4154955.12</v>
      </c>
      <c r="T41" s="240">
        <f>N41/'2017'!N41-1</f>
        <v>1.40451391036505</v>
      </c>
      <c r="U41" s="241">
        <f>O41/'2017'!O41-1</f>
        <v>0.64355127368826</v>
      </c>
      <c r="V41" s="241">
        <f>P41/'2017'!P41-1</f>
        <v>0.999450621233489</v>
      </c>
      <c r="W41" s="241">
        <f>Q41/'2017'!Q41-1</f>
        <v>0.605954151765711</v>
      </c>
      <c r="X41" s="241">
        <f>R41/'2017'!R41-1</f>
        <v>0.638923504601227</v>
      </c>
      <c r="Y41" s="262">
        <f>S41/'2017'!S41-1</f>
        <v>0.602322228152905</v>
      </c>
      <c r="Z41" s="263"/>
      <c r="AA41" s="264">
        <f t="shared" si="10"/>
        <v>272.850104</v>
      </c>
      <c r="AB41" s="265"/>
      <c r="AC41" s="266"/>
      <c r="AD41" s="265">
        <f t="shared" si="6"/>
        <v>2787175.12</v>
      </c>
      <c r="AE41" s="186">
        <f t="shared" si="7"/>
        <v>11147.28</v>
      </c>
      <c r="AF41" s="186">
        <f t="shared" si="16"/>
        <v>29251.58</v>
      </c>
      <c r="AG41" s="266">
        <f t="shared" si="9"/>
        <v>18275.2200000001</v>
      </c>
      <c r="AH41" s="281"/>
      <c r="AI41" s="282"/>
      <c r="AJ41" s="282"/>
      <c r="AK41" s="282"/>
      <c r="AL41" s="282"/>
      <c r="AM41" s="282"/>
      <c r="AN41" s="282"/>
      <c r="AO41" s="282"/>
      <c r="AP41" s="282"/>
      <c r="AQ41" s="282"/>
      <c r="AR41" s="282"/>
      <c r="AS41" s="28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</row>
    <row r="42" spans="1:55">
      <c r="A42" s="189">
        <v>42773</v>
      </c>
      <c r="B42" s="184" t="s">
        <v>35</v>
      </c>
      <c r="C42" s="185">
        <f>52257+1057</f>
        <v>53314</v>
      </c>
      <c r="D42" s="186">
        <f>15759+14288</f>
        <v>30047</v>
      </c>
      <c r="E42" s="186">
        <f>69428+15759</f>
        <v>85187</v>
      </c>
      <c r="F42" s="187">
        <v>4101</v>
      </c>
      <c r="G42" s="186">
        <v>2726</v>
      </c>
      <c r="H42" s="188"/>
      <c r="I42" s="188"/>
      <c r="J42" s="214">
        <f t="shared" si="0"/>
        <v>55140</v>
      </c>
      <c r="K42" s="186">
        <v>320</v>
      </c>
      <c r="L42" s="186">
        <v>795</v>
      </c>
      <c r="M42" s="215">
        <f t="shared" si="3"/>
        <v>711</v>
      </c>
      <c r="N42" s="216">
        <f t="shared" si="14"/>
        <v>442071</v>
      </c>
      <c r="O42" s="219">
        <f t="shared" si="14"/>
        <v>226573</v>
      </c>
      <c r="P42" s="218">
        <f t="shared" si="14"/>
        <v>682061</v>
      </c>
      <c r="Q42" s="238">
        <f t="shared" si="15"/>
        <v>2781815.04</v>
      </c>
      <c r="R42" s="217">
        <f t="shared" si="15"/>
        <v>1397827</v>
      </c>
      <c r="S42" s="239">
        <f t="shared" si="15"/>
        <v>4240142.12</v>
      </c>
      <c r="T42" s="240">
        <f>N42/'2017'!N42-1</f>
        <v>1.22262388383879</v>
      </c>
      <c r="U42" s="241">
        <f>O42/'2017'!O42-1</f>
        <v>0.550680300043802</v>
      </c>
      <c r="V42" s="241">
        <f>P42/'2017'!P42-1</f>
        <v>0.876237187986554</v>
      </c>
      <c r="W42" s="241">
        <f>Q42/'2017'!Q42-1</f>
        <v>0.602235473292374</v>
      </c>
      <c r="X42" s="241">
        <f>R42/'2017'!R42-1</f>
        <v>0.623307683910542</v>
      </c>
      <c r="Y42" s="262">
        <f>S42/'2017'!S42-1</f>
        <v>0.595183584066921</v>
      </c>
      <c r="Z42" s="263"/>
      <c r="AA42" s="264">
        <f t="shared" si="10"/>
        <v>278.181504</v>
      </c>
      <c r="AB42" s="265"/>
      <c r="AC42" s="266"/>
      <c r="AD42" s="265">
        <f t="shared" si="6"/>
        <v>2842315.12</v>
      </c>
      <c r="AE42" s="186">
        <f t="shared" si="7"/>
        <v>11467.28</v>
      </c>
      <c r="AF42" s="186">
        <f t="shared" si="16"/>
        <v>30046.58</v>
      </c>
      <c r="AG42" s="266">
        <f t="shared" si="9"/>
        <v>18986.2200000001</v>
      </c>
      <c r="AH42" s="281"/>
      <c r="AI42" s="282"/>
      <c r="AJ42" s="282"/>
      <c r="AK42" s="282"/>
      <c r="AL42" s="282"/>
      <c r="AM42" s="282"/>
      <c r="AN42" s="282"/>
      <c r="AO42" s="282"/>
      <c r="AP42" s="282"/>
      <c r="AQ42" s="282"/>
      <c r="AR42" s="282"/>
      <c r="AS42" s="28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</row>
    <row r="43" s="163" customFormat="1" spans="1:55">
      <c r="A43" s="190">
        <v>42774</v>
      </c>
      <c r="B43" s="191" t="s">
        <v>36</v>
      </c>
      <c r="C43" s="192">
        <f>46692+1359</f>
        <v>48051</v>
      </c>
      <c r="D43" s="193">
        <f>12417+14127</f>
        <v>26544</v>
      </c>
      <c r="E43" s="193">
        <f>64656+12417</f>
        <v>77073</v>
      </c>
      <c r="F43" s="194">
        <v>3816</v>
      </c>
      <c r="G43" s="193">
        <v>2541</v>
      </c>
      <c r="H43" s="195"/>
      <c r="I43" s="195"/>
      <c r="J43" s="220">
        <f t="shared" si="0"/>
        <v>50529</v>
      </c>
      <c r="K43" s="193">
        <v>777</v>
      </c>
      <c r="L43" s="193">
        <v>793</v>
      </c>
      <c r="M43" s="221">
        <f t="shared" si="3"/>
        <v>908</v>
      </c>
      <c r="N43" s="222">
        <f t="shared" si="14"/>
        <v>490122</v>
      </c>
      <c r="O43" s="225">
        <f t="shared" si="14"/>
        <v>253117</v>
      </c>
      <c r="P43" s="224">
        <f t="shared" si="14"/>
        <v>759134</v>
      </c>
      <c r="Q43" s="242">
        <f t="shared" si="15"/>
        <v>2829866.04</v>
      </c>
      <c r="R43" s="223">
        <f t="shared" si="15"/>
        <v>1424371</v>
      </c>
      <c r="S43" s="243">
        <f t="shared" si="15"/>
        <v>4317215.12</v>
      </c>
      <c r="T43" s="244">
        <f>N43/'2017'!N43-1</f>
        <v>1.00858147483341</v>
      </c>
      <c r="U43" s="245">
        <f>O43/'2017'!O43-1</f>
        <v>0.466792223220236</v>
      </c>
      <c r="V43" s="245">
        <f>P43/'2017'!P43-1</f>
        <v>0.740151199094089</v>
      </c>
      <c r="W43" s="245">
        <f>Q43/'2017'!Q43-1</f>
        <v>0.5886283897784</v>
      </c>
      <c r="X43" s="245">
        <f>R43/'2017'!R43-1</f>
        <v>0.604832849041914</v>
      </c>
      <c r="Y43" s="267">
        <f>S43/'2017'!S43-1</f>
        <v>0.580928200137843</v>
      </c>
      <c r="Z43" s="268">
        <v>9.58</v>
      </c>
      <c r="AA43" s="277">
        <f t="shared" si="10"/>
        <v>273.406604</v>
      </c>
      <c r="AB43" s="270">
        <v>4269.48</v>
      </c>
      <c r="AC43" s="221">
        <f t="shared" si="12"/>
        <v>640.374481201458</v>
      </c>
      <c r="AD43" s="270">
        <f t="shared" si="6"/>
        <v>2892844.12</v>
      </c>
      <c r="AE43" s="193">
        <f t="shared" si="7"/>
        <v>12244.28</v>
      </c>
      <c r="AF43" s="193">
        <f t="shared" si="16"/>
        <v>30839.58</v>
      </c>
      <c r="AG43" s="221">
        <f t="shared" si="9"/>
        <v>19894.2200000001</v>
      </c>
      <c r="AH43" s="283">
        <f>(AD43-AD36)/('2017'!AD43-'2017'!AD36)-1</f>
        <v>0.809999746863213</v>
      </c>
      <c r="AI43" s="119">
        <f>AA43-AA36</f>
        <v>40.0834</v>
      </c>
      <c r="AJ43" s="119">
        <f>'2017'!AA43-'2017'!AA36</f>
        <v>20.3667934880952</v>
      </c>
      <c r="AK43" s="282"/>
      <c r="AL43" s="282"/>
      <c r="AM43" s="282"/>
      <c r="AN43" s="282"/>
      <c r="AO43" s="282"/>
      <c r="AP43" s="282"/>
      <c r="AQ43" s="282"/>
      <c r="AR43" s="282"/>
      <c r="AS43" s="28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</row>
    <row r="44" spans="1:55">
      <c r="A44" s="189">
        <v>42775</v>
      </c>
      <c r="B44" s="184" t="s">
        <v>37</v>
      </c>
      <c r="C44" s="185">
        <v>48862</v>
      </c>
      <c r="D44" s="186">
        <f>10074+14295</f>
        <v>24369</v>
      </c>
      <c r="E44" s="186">
        <v>74506</v>
      </c>
      <c r="F44" s="187">
        <v>3573</v>
      </c>
      <c r="G44" s="186">
        <v>2323</v>
      </c>
      <c r="H44" s="188"/>
      <c r="I44" s="188"/>
      <c r="J44" s="214">
        <f t="shared" si="0"/>
        <v>50137</v>
      </c>
      <c r="K44" s="186">
        <v>144</v>
      </c>
      <c r="L44" s="186">
        <v>792</v>
      </c>
      <c r="M44" s="215">
        <f t="shared" si="3"/>
        <v>339</v>
      </c>
      <c r="N44" s="216">
        <f t="shared" si="14"/>
        <v>538984</v>
      </c>
      <c r="O44" s="219">
        <f t="shared" si="14"/>
        <v>277486</v>
      </c>
      <c r="P44" s="218">
        <f t="shared" si="14"/>
        <v>833640</v>
      </c>
      <c r="Q44" s="238">
        <f t="shared" si="15"/>
        <v>2878728.04</v>
      </c>
      <c r="R44" s="217">
        <f t="shared" si="15"/>
        <v>1448740</v>
      </c>
      <c r="S44" s="239">
        <f t="shared" si="15"/>
        <v>4391721.12</v>
      </c>
      <c r="T44" s="240">
        <f>N44/'2017'!N44-1</f>
        <v>0.846037921964051</v>
      </c>
      <c r="U44" s="241">
        <f>O44/'2017'!O44-1</f>
        <v>0.386986164427383</v>
      </c>
      <c r="V44" s="241">
        <f>P44/'2017'!P44-1</f>
        <v>0.624718864622353</v>
      </c>
      <c r="W44" s="241">
        <f>Q44/'2017'!Q44-1</f>
        <v>0.57369405684733</v>
      </c>
      <c r="X44" s="241">
        <f>R44/'2017'!R44-1</f>
        <v>0.583235888749249</v>
      </c>
      <c r="Y44" s="262">
        <f>S44/'2017'!S44-1</f>
        <v>0.564191325158653</v>
      </c>
      <c r="Z44" s="263"/>
      <c r="AA44" s="264">
        <f t="shared" si="10"/>
        <v>287.872804</v>
      </c>
      <c r="AB44" s="265"/>
      <c r="AC44" s="266"/>
      <c r="AD44" s="265">
        <f t="shared" si="6"/>
        <v>2942981.12</v>
      </c>
      <c r="AE44" s="186">
        <f t="shared" si="7"/>
        <v>12388.28</v>
      </c>
      <c r="AF44" s="186">
        <f t="shared" si="16"/>
        <v>31631.58</v>
      </c>
      <c r="AG44" s="266">
        <f t="shared" si="9"/>
        <v>20233.2200000001</v>
      </c>
      <c r="AH44" s="281"/>
      <c r="AI44" s="282"/>
      <c r="AJ44" s="282"/>
      <c r="AK44" s="282"/>
      <c r="AL44" s="282"/>
      <c r="AM44" s="282"/>
      <c r="AN44" s="282"/>
      <c r="AO44" s="282"/>
      <c r="AP44" s="282"/>
      <c r="AQ44" s="282"/>
      <c r="AR44" s="282"/>
      <c r="AS44" s="28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</row>
    <row r="45" spans="1:55">
      <c r="A45" s="189">
        <v>42776</v>
      </c>
      <c r="B45" s="184" t="s">
        <v>38</v>
      </c>
      <c r="C45" s="185">
        <v>41358</v>
      </c>
      <c r="D45" s="186">
        <f>10523+14004</f>
        <v>24527</v>
      </c>
      <c r="E45" s="186">
        <v>67259</v>
      </c>
      <c r="F45" s="187">
        <v>3333</v>
      </c>
      <c r="G45" s="186">
        <v>2138</v>
      </c>
      <c r="H45" s="188"/>
      <c r="I45" s="188"/>
      <c r="J45" s="214">
        <f t="shared" si="0"/>
        <v>42732</v>
      </c>
      <c r="K45" s="186">
        <v>217</v>
      </c>
      <c r="L45" s="186">
        <v>793</v>
      </c>
      <c r="M45" s="215">
        <f t="shared" si="3"/>
        <v>364</v>
      </c>
      <c r="N45" s="216">
        <f t="shared" si="14"/>
        <v>580342</v>
      </c>
      <c r="O45" s="219">
        <f t="shared" si="14"/>
        <v>302013</v>
      </c>
      <c r="P45" s="218">
        <f t="shared" si="14"/>
        <v>900899</v>
      </c>
      <c r="Q45" s="238">
        <f t="shared" si="15"/>
        <v>2920086.04</v>
      </c>
      <c r="R45" s="217">
        <f t="shared" si="15"/>
        <v>1473267</v>
      </c>
      <c r="S45" s="239">
        <f t="shared" si="15"/>
        <v>4458980.12</v>
      </c>
      <c r="T45" s="240">
        <f>N45/'2017'!N45-1</f>
        <v>0.700591046683018</v>
      </c>
      <c r="U45" s="241">
        <f>O45/'2017'!O45-1</f>
        <v>0.372143950786677</v>
      </c>
      <c r="V45" s="241">
        <f>P45/'2017'!P45-1</f>
        <v>0.542978745268639</v>
      </c>
      <c r="W45" s="241">
        <f>Q45/'2017'!Q45-1</f>
        <v>0.554418265937606</v>
      </c>
      <c r="X45" s="241">
        <f>R45/'2017'!R45-1</f>
        <v>0.575536660146788</v>
      </c>
      <c r="Y45" s="262">
        <f>S45/'2017'!S45-1</f>
        <v>0.549099110812173</v>
      </c>
      <c r="Z45" s="263"/>
      <c r="AA45" s="264">
        <f t="shared" si="10"/>
        <v>292.008604</v>
      </c>
      <c r="AB45" s="265"/>
      <c r="AC45" s="266"/>
      <c r="AD45" s="265">
        <f t="shared" si="6"/>
        <v>2985713.12</v>
      </c>
      <c r="AE45" s="186">
        <f t="shared" si="7"/>
        <v>12605.28</v>
      </c>
      <c r="AF45" s="186">
        <f t="shared" si="16"/>
        <v>32424.58</v>
      </c>
      <c r="AG45" s="266">
        <f t="shared" si="9"/>
        <v>20597.2200000001</v>
      </c>
      <c r="AH45" s="281"/>
      <c r="AI45" s="282"/>
      <c r="AJ45" s="282"/>
      <c r="AK45" s="282"/>
      <c r="AL45" s="282"/>
      <c r="AM45" s="282"/>
      <c r="AN45" s="282"/>
      <c r="AO45" s="282"/>
      <c r="AP45" s="282"/>
      <c r="AQ45" s="282"/>
      <c r="AR45" s="282"/>
      <c r="AS45" s="28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</row>
    <row r="46" spans="1:55">
      <c r="A46" s="189">
        <v>42777</v>
      </c>
      <c r="B46" s="184" t="s">
        <v>1</v>
      </c>
      <c r="C46" s="185">
        <v>34500</v>
      </c>
      <c r="D46" s="186">
        <f>9251+14002</f>
        <v>23253</v>
      </c>
      <c r="E46" s="186">
        <v>60035</v>
      </c>
      <c r="F46" s="187">
        <v>3121</v>
      </c>
      <c r="G46" s="186">
        <v>2031</v>
      </c>
      <c r="H46" s="188"/>
      <c r="I46" s="188"/>
      <c r="J46" s="214">
        <f t="shared" si="0"/>
        <v>36782</v>
      </c>
      <c r="K46" s="186">
        <v>465</v>
      </c>
      <c r="L46" s="186">
        <v>793</v>
      </c>
      <c r="M46" s="215">
        <f t="shared" si="3"/>
        <v>1024</v>
      </c>
      <c r="N46" s="216">
        <f t="shared" si="14"/>
        <v>614842</v>
      </c>
      <c r="O46" s="219">
        <f t="shared" si="14"/>
        <v>325266</v>
      </c>
      <c r="P46" s="218">
        <f t="shared" si="14"/>
        <v>960934</v>
      </c>
      <c r="Q46" s="238">
        <f t="shared" si="15"/>
        <v>2954586.04</v>
      </c>
      <c r="R46" s="217">
        <f t="shared" si="15"/>
        <v>1496520</v>
      </c>
      <c r="S46" s="239">
        <f t="shared" si="15"/>
        <v>4519015.12</v>
      </c>
      <c r="T46" s="240">
        <f>N46/'2017'!N46-1</f>
        <v>0.580042659265541</v>
      </c>
      <c r="U46" s="241">
        <f>O46/'2017'!O46-1</f>
        <v>0.313664671529309</v>
      </c>
      <c r="V46" s="241">
        <f>P46/'2017'!P46-1</f>
        <v>0.454255161371361</v>
      </c>
      <c r="W46" s="241">
        <f>Q46/'2017'!Q46-1</f>
        <v>0.533700515824344</v>
      </c>
      <c r="X46" s="241">
        <f>R46/'2017'!R46-1</f>
        <v>0.554683831504236</v>
      </c>
      <c r="Y46" s="262">
        <f>S46/'2017'!S46-1</f>
        <v>0.529102443541247</v>
      </c>
      <c r="Z46" s="263"/>
      <c r="AA46" s="264">
        <f t="shared" si="10"/>
        <v>295.458604</v>
      </c>
      <c r="AB46" s="265"/>
      <c r="AC46" s="266"/>
      <c r="AD46" s="265">
        <f t="shared" si="6"/>
        <v>3022495.12</v>
      </c>
      <c r="AE46" s="186">
        <f t="shared" si="7"/>
        <v>13070.28</v>
      </c>
      <c r="AF46" s="186">
        <f t="shared" si="16"/>
        <v>33217.58</v>
      </c>
      <c r="AG46" s="266">
        <f t="shared" si="9"/>
        <v>21621.2200000001</v>
      </c>
      <c r="AH46" s="281"/>
      <c r="AI46" s="282"/>
      <c r="AJ46" s="282"/>
      <c r="AK46" s="282"/>
      <c r="AL46" s="282"/>
      <c r="AM46" s="282"/>
      <c r="AN46" s="282"/>
      <c r="AO46" s="282"/>
      <c r="AP46" s="282"/>
      <c r="AQ46" s="282"/>
      <c r="AR46" s="282"/>
      <c r="AS46" s="28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</row>
    <row r="47" spans="1:55">
      <c r="A47" s="189">
        <v>42778</v>
      </c>
      <c r="B47" s="184" t="s">
        <v>39</v>
      </c>
      <c r="C47" s="185">
        <v>29218</v>
      </c>
      <c r="D47" s="186">
        <f>9489+14005</f>
        <v>23494</v>
      </c>
      <c r="E47" s="186">
        <v>54979</v>
      </c>
      <c r="F47" s="187">
        <v>2930</v>
      </c>
      <c r="G47" s="186">
        <v>1864</v>
      </c>
      <c r="H47" s="188"/>
      <c r="I47" s="188"/>
      <c r="J47" s="214">
        <f t="shared" si="0"/>
        <v>31485</v>
      </c>
      <c r="K47" s="186">
        <v>205</v>
      </c>
      <c r="L47" s="186">
        <v>793</v>
      </c>
      <c r="M47" s="215">
        <f t="shared" si="3"/>
        <v>1269</v>
      </c>
      <c r="N47" s="216">
        <f t="shared" si="14"/>
        <v>644060</v>
      </c>
      <c r="O47" s="219">
        <f t="shared" si="14"/>
        <v>348760</v>
      </c>
      <c r="P47" s="218">
        <f t="shared" si="14"/>
        <v>1015913</v>
      </c>
      <c r="Q47" s="238">
        <f t="shared" si="15"/>
        <v>2983804.04</v>
      </c>
      <c r="R47" s="217">
        <f t="shared" si="15"/>
        <v>1520014</v>
      </c>
      <c r="S47" s="239">
        <f t="shared" si="15"/>
        <v>4573994.12</v>
      </c>
      <c r="T47" s="240">
        <f>N47/'2017'!N47-1</f>
        <v>0.471635945700778</v>
      </c>
      <c r="U47" s="241">
        <f>O47/'2017'!O47-1</f>
        <v>0.265957871582012</v>
      </c>
      <c r="V47" s="241">
        <f>P47/'2017'!P47-1</f>
        <v>0.375200680078729</v>
      </c>
      <c r="W47" s="241">
        <f>Q47/'2017'!Q47-1</f>
        <v>0.510816215253844</v>
      </c>
      <c r="X47" s="241">
        <f>R47/'2017'!R47-1</f>
        <v>0.534628264967284</v>
      </c>
      <c r="Y47" s="262">
        <f>S47/'2017'!S47-1</f>
        <v>0.507925542884751</v>
      </c>
      <c r="Z47" s="263"/>
      <c r="AA47" s="264">
        <f t="shared" si="10"/>
        <v>298.380404</v>
      </c>
      <c r="AB47" s="265"/>
      <c r="AC47" s="266"/>
      <c r="AD47" s="265">
        <f t="shared" si="6"/>
        <v>3053980.12</v>
      </c>
      <c r="AE47" s="186">
        <f t="shared" si="7"/>
        <v>13275.28</v>
      </c>
      <c r="AF47" s="186">
        <f t="shared" si="16"/>
        <v>34010.58</v>
      </c>
      <c r="AG47" s="266">
        <f t="shared" si="9"/>
        <v>22890.2200000001</v>
      </c>
      <c r="AH47" s="281"/>
      <c r="AI47" s="282"/>
      <c r="AJ47" s="282"/>
      <c r="AK47" s="282"/>
      <c r="AL47" s="282"/>
      <c r="AM47" s="282"/>
      <c r="AN47" s="282"/>
      <c r="AO47" s="282"/>
      <c r="AP47" s="282"/>
      <c r="AQ47" s="282"/>
      <c r="AR47" s="282"/>
      <c r="AS47" s="28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</row>
    <row r="48" spans="1:55">
      <c r="A48" s="189">
        <v>42779</v>
      </c>
      <c r="B48" s="184" t="s">
        <v>34</v>
      </c>
      <c r="C48" s="185">
        <v>24998</v>
      </c>
      <c r="D48" s="186">
        <f>11514+11196</f>
        <v>22710</v>
      </c>
      <c r="E48" s="186">
        <v>50083</v>
      </c>
      <c r="F48" s="187">
        <v>2633</v>
      </c>
      <c r="G48" s="186">
        <v>1687</v>
      </c>
      <c r="H48" s="188"/>
      <c r="I48" s="188"/>
      <c r="J48" s="214">
        <f t="shared" si="0"/>
        <v>27373</v>
      </c>
      <c r="K48" s="186">
        <v>446</v>
      </c>
      <c r="L48" s="186">
        <v>793</v>
      </c>
      <c r="M48" s="215">
        <f t="shared" si="3"/>
        <v>1136</v>
      </c>
      <c r="N48" s="216">
        <f t="shared" si="14"/>
        <v>669058</v>
      </c>
      <c r="O48" s="219">
        <f t="shared" si="14"/>
        <v>371470</v>
      </c>
      <c r="P48" s="218">
        <f t="shared" si="14"/>
        <v>1065996</v>
      </c>
      <c r="Q48" s="238">
        <f t="shared" si="15"/>
        <v>3008802.04</v>
      </c>
      <c r="R48" s="217">
        <f t="shared" si="15"/>
        <v>1542724</v>
      </c>
      <c r="S48" s="239">
        <f t="shared" si="15"/>
        <v>4624077.12</v>
      </c>
      <c r="T48" s="240">
        <f>N48/'2017'!N48-1</f>
        <v>0.362235746120815</v>
      </c>
      <c r="U48" s="241">
        <f>O48/'2017'!O48-1</f>
        <v>0.222853907358455</v>
      </c>
      <c r="V48" s="241">
        <f>P48/'2017'!P48-1</f>
        <v>0.29691731573607</v>
      </c>
      <c r="W48" s="241">
        <f>Q48/'2017'!Q48-1</f>
        <v>0.483294027810127</v>
      </c>
      <c r="X48" s="241">
        <f>R48/'2017'!R48-1</f>
        <v>0.514316928733881</v>
      </c>
      <c r="Y48" s="262">
        <f>S48/'2017'!S48-1</f>
        <v>0.48373551632606</v>
      </c>
      <c r="Z48" s="263"/>
      <c r="AA48" s="264">
        <f t="shared" si="10"/>
        <v>300.880204</v>
      </c>
      <c r="AB48" s="265"/>
      <c r="AC48" s="266"/>
      <c r="AD48" s="265">
        <f t="shared" si="6"/>
        <v>3081353.12</v>
      </c>
      <c r="AE48" s="186">
        <f t="shared" si="7"/>
        <v>13721.28</v>
      </c>
      <c r="AF48" s="186">
        <f t="shared" si="16"/>
        <v>34803.58</v>
      </c>
      <c r="AG48" s="266">
        <f t="shared" si="9"/>
        <v>24026.2200000001</v>
      </c>
      <c r="AH48" s="281"/>
      <c r="AI48" s="282"/>
      <c r="AJ48" s="282"/>
      <c r="AK48" s="282"/>
      <c r="AL48" s="282"/>
      <c r="AM48" s="282"/>
      <c r="AN48" s="282"/>
      <c r="AO48" s="282"/>
      <c r="AP48" s="282"/>
      <c r="AQ48" s="282"/>
      <c r="AR48" s="282"/>
      <c r="AS48" s="28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</row>
    <row r="49" spans="1:55">
      <c r="A49" s="189">
        <v>42780</v>
      </c>
      <c r="B49" s="184" t="s">
        <v>35</v>
      </c>
      <c r="C49" s="185">
        <v>22439</v>
      </c>
      <c r="D49" s="186">
        <f>12640+8564</f>
        <v>21204</v>
      </c>
      <c r="E49" s="186">
        <v>45416</v>
      </c>
      <c r="F49" s="187">
        <v>2384</v>
      </c>
      <c r="G49" s="186">
        <v>1543</v>
      </c>
      <c r="H49" s="188"/>
      <c r="I49" s="188"/>
      <c r="J49" s="214">
        <f t="shared" si="0"/>
        <v>24212</v>
      </c>
      <c r="K49" s="186">
        <v>198</v>
      </c>
      <c r="L49" s="186">
        <v>793</v>
      </c>
      <c r="M49" s="215">
        <f t="shared" si="3"/>
        <v>782</v>
      </c>
      <c r="N49" s="216">
        <f t="shared" si="14"/>
        <v>691497</v>
      </c>
      <c r="O49" s="219">
        <f t="shared" si="14"/>
        <v>392674</v>
      </c>
      <c r="P49" s="218">
        <f t="shared" si="14"/>
        <v>1111412</v>
      </c>
      <c r="Q49" s="238">
        <f t="shared" si="15"/>
        <v>3031241.04</v>
      </c>
      <c r="R49" s="217">
        <f t="shared" si="15"/>
        <v>1563928</v>
      </c>
      <c r="S49" s="239">
        <f t="shared" si="15"/>
        <v>4669493.12</v>
      </c>
      <c r="T49" s="240">
        <f>N49/'2017'!N49-1</f>
        <v>0.266946745865687</v>
      </c>
      <c r="U49" s="241">
        <f>O49/'2017'!O49-1</f>
        <v>0.179541249128878</v>
      </c>
      <c r="V49" s="241">
        <f>P49/'2017'!P49-1</f>
        <v>0.22460330839859</v>
      </c>
      <c r="W49" s="241">
        <f>Q49/'2017'!Q49-1</f>
        <v>0.455151258361882</v>
      </c>
      <c r="X49" s="241">
        <f>R49/'2017'!R49-1</f>
        <v>0.492454360667627</v>
      </c>
      <c r="Y49" s="262">
        <f>S49/'2017'!S49-1</f>
        <v>0.458244421254849</v>
      </c>
      <c r="Z49" s="263"/>
      <c r="AA49" s="264">
        <f t="shared" si="10"/>
        <v>303.124104</v>
      </c>
      <c r="AB49" s="265"/>
      <c r="AC49" s="266"/>
      <c r="AD49" s="265">
        <f t="shared" si="6"/>
        <v>3105565.12</v>
      </c>
      <c r="AE49" s="186">
        <f t="shared" si="7"/>
        <v>13919.28</v>
      </c>
      <c r="AF49" s="186">
        <f t="shared" si="16"/>
        <v>35596.58</v>
      </c>
      <c r="AG49" s="266">
        <f t="shared" si="9"/>
        <v>24808.2200000001</v>
      </c>
      <c r="AH49" s="281"/>
      <c r="AI49" s="282"/>
      <c r="AJ49" s="282"/>
      <c r="AK49" s="282"/>
      <c r="AL49" s="282"/>
      <c r="AM49" s="282"/>
      <c r="AN49" s="282"/>
      <c r="AO49" s="282"/>
      <c r="AP49" s="282"/>
      <c r="AQ49" s="282"/>
      <c r="AR49" s="282"/>
      <c r="AS49" s="28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</row>
    <row r="50" s="163" customFormat="1" spans="1:55">
      <c r="A50" s="203">
        <v>42781</v>
      </c>
      <c r="B50" s="191" t="s">
        <v>36</v>
      </c>
      <c r="C50" s="192">
        <v>26109</v>
      </c>
      <c r="D50" s="193">
        <f>11877+5215</f>
        <v>17092</v>
      </c>
      <c r="E50" s="193">
        <v>45576</v>
      </c>
      <c r="F50" s="194">
        <v>2461</v>
      </c>
      <c r="G50" s="193">
        <v>1389</v>
      </c>
      <c r="H50" s="195"/>
      <c r="I50" s="195"/>
      <c r="J50" s="220">
        <f t="shared" si="0"/>
        <v>28484</v>
      </c>
      <c r="K50" s="193">
        <v>1158</v>
      </c>
      <c r="L50" s="193">
        <v>793</v>
      </c>
      <c r="M50" s="221">
        <f t="shared" si="3"/>
        <v>424</v>
      </c>
      <c r="N50" s="222">
        <f t="shared" si="14"/>
        <v>717606</v>
      </c>
      <c r="O50" s="225">
        <f t="shared" si="14"/>
        <v>409766</v>
      </c>
      <c r="P50" s="224">
        <f t="shared" si="14"/>
        <v>1156988</v>
      </c>
      <c r="Q50" s="242">
        <f t="shared" si="15"/>
        <v>3057350.04</v>
      </c>
      <c r="R50" s="223">
        <f t="shared" si="15"/>
        <v>1581020</v>
      </c>
      <c r="S50" s="243">
        <f t="shared" si="15"/>
        <v>4715069.12</v>
      </c>
      <c r="T50" s="244">
        <f>N50/'2017'!N50-1</f>
        <v>0.195442164971638</v>
      </c>
      <c r="U50" s="245">
        <f>O50/'2017'!O50-1</f>
        <v>0.130148906301282</v>
      </c>
      <c r="V50" s="245">
        <f>P50/'2017'!P50-1</f>
        <v>0.164679543706639</v>
      </c>
      <c r="W50" s="245">
        <f>Q50/'2017'!Q50-1</f>
        <v>0.430273879141014</v>
      </c>
      <c r="X50" s="245">
        <f>R50/'2017'!R50-1</f>
        <v>0.467218158010251</v>
      </c>
      <c r="Y50" s="267">
        <f>S50/'2017'!S50-1</f>
        <v>0.434040740238022</v>
      </c>
      <c r="Z50" s="268">
        <f>Z43+(Z57-Z43)/14*7</f>
        <v>10.875</v>
      </c>
      <c r="AA50" s="278">
        <f t="shared" si="10"/>
        <v>294.860004</v>
      </c>
      <c r="AB50" s="270">
        <v>4269.48</v>
      </c>
      <c r="AC50" s="221">
        <f t="shared" si="12"/>
        <v>690.622754995925</v>
      </c>
      <c r="AD50" s="270">
        <f t="shared" si="6"/>
        <v>3134049.12</v>
      </c>
      <c r="AE50" s="193">
        <f t="shared" si="7"/>
        <v>15077.28</v>
      </c>
      <c r="AF50" s="193">
        <f t="shared" si="16"/>
        <v>36389.58</v>
      </c>
      <c r="AG50" s="221">
        <f t="shared" si="9"/>
        <v>25232.2200000001</v>
      </c>
      <c r="AH50" s="283">
        <f>(AD50-AD43)/('2017'!AD50-'2017'!AD43)-1</f>
        <v>-0.343012709117553</v>
      </c>
      <c r="AI50" s="284">
        <f>AA50-AA43</f>
        <v>21.4534</v>
      </c>
      <c r="AJ50" s="284">
        <f>'2017'!AA50-'2017'!AA43</f>
        <v>32.7571</v>
      </c>
      <c r="AK50" s="282"/>
      <c r="AL50" s="282"/>
      <c r="AM50" s="282"/>
      <c r="AN50" s="282"/>
      <c r="AO50" s="282"/>
      <c r="AP50" s="282"/>
      <c r="AQ50" s="282"/>
      <c r="AR50" s="282"/>
      <c r="AS50" s="28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</row>
    <row r="51" spans="1:55">
      <c r="A51" s="203">
        <v>42782</v>
      </c>
      <c r="B51" s="184" t="s">
        <v>37</v>
      </c>
      <c r="C51" s="185">
        <v>27178</v>
      </c>
      <c r="D51" s="186">
        <f>10717+4668</f>
        <v>15385</v>
      </c>
      <c r="E51" s="186">
        <v>43998</v>
      </c>
      <c r="F51" s="187">
        <v>2262</v>
      </c>
      <c r="G51" s="186">
        <v>1459</v>
      </c>
      <c r="H51" s="188"/>
      <c r="I51" s="188"/>
      <c r="J51" s="214">
        <f t="shared" si="0"/>
        <v>28613</v>
      </c>
      <c r="K51" s="186">
        <v>505</v>
      </c>
      <c r="L51" s="186">
        <v>498</v>
      </c>
      <c r="M51" s="215">
        <f t="shared" si="3"/>
        <v>432</v>
      </c>
      <c r="N51" s="216">
        <f t="shared" si="14"/>
        <v>744784</v>
      </c>
      <c r="O51" s="219">
        <f t="shared" si="14"/>
        <v>425151</v>
      </c>
      <c r="P51" s="218">
        <f t="shared" si="14"/>
        <v>1200986</v>
      </c>
      <c r="Q51" s="238">
        <f t="shared" si="15"/>
        <v>3084528.04</v>
      </c>
      <c r="R51" s="217">
        <f t="shared" si="15"/>
        <v>1596405</v>
      </c>
      <c r="S51" s="239">
        <f t="shared" si="15"/>
        <v>4759067.12</v>
      </c>
      <c r="T51" s="240">
        <f>N51/'2017'!N51-1</f>
        <v>0.138133012220523</v>
      </c>
      <c r="U51" s="241">
        <f>O51/'2017'!O51-1</f>
        <v>0.0797458292169417</v>
      </c>
      <c r="V51" s="241">
        <f>P51/'2017'!P51-1</f>
        <v>0.111555779740943</v>
      </c>
      <c r="W51" s="241">
        <f>Q51/'2017'!Q51-1</f>
        <v>0.407365490412431</v>
      </c>
      <c r="X51" s="241">
        <f>R51/'2017'!R51-1</f>
        <v>0.439841008282397</v>
      </c>
      <c r="Y51" s="262">
        <f>S51/'2017'!S51-1</f>
        <v>0.410085869468705</v>
      </c>
      <c r="Z51" s="263"/>
      <c r="AA51" s="279">
        <f t="shared" si="10"/>
        <v>308.452804</v>
      </c>
      <c r="AB51" s="265"/>
      <c r="AC51" s="266"/>
      <c r="AD51" s="265">
        <f t="shared" si="6"/>
        <v>3162662.12</v>
      </c>
      <c r="AE51" s="186">
        <f t="shared" si="7"/>
        <v>15582.28</v>
      </c>
      <c r="AF51" s="186">
        <f t="shared" si="16"/>
        <v>36887.58</v>
      </c>
      <c r="AG51" s="266">
        <f t="shared" si="9"/>
        <v>25664.2200000001</v>
      </c>
      <c r="AH51" s="283"/>
      <c r="AI51" s="284"/>
      <c r="AJ51" s="284"/>
      <c r="AK51" s="282"/>
      <c r="AL51" s="282"/>
      <c r="AM51" s="282"/>
      <c r="AN51" s="282"/>
      <c r="AO51" s="282"/>
      <c r="AP51" s="282"/>
      <c r="AQ51" s="282"/>
      <c r="AR51" s="282"/>
      <c r="AS51" s="28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</row>
    <row r="52" spans="1:55">
      <c r="A52" s="203">
        <v>42783</v>
      </c>
      <c r="B52" s="184" t="s">
        <v>38</v>
      </c>
      <c r="C52" s="185">
        <v>22691</v>
      </c>
      <c r="D52" s="186">
        <f>10028+4623</f>
        <v>14651</v>
      </c>
      <c r="E52" s="186">
        <v>39195</v>
      </c>
      <c r="F52" s="187">
        <v>2212</v>
      </c>
      <c r="G52" s="186">
        <v>1177</v>
      </c>
      <c r="H52" s="188"/>
      <c r="I52" s="188"/>
      <c r="J52" s="214">
        <f t="shared" si="0"/>
        <v>24544</v>
      </c>
      <c r="K52" s="186">
        <v>265</v>
      </c>
      <c r="L52" s="186">
        <v>481</v>
      </c>
      <c r="M52" s="215">
        <f t="shared" si="3"/>
        <v>1107</v>
      </c>
      <c r="N52" s="216">
        <f t="shared" si="14"/>
        <v>767475</v>
      </c>
      <c r="O52" s="219">
        <f t="shared" si="14"/>
        <v>439802</v>
      </c>
      <c r="P52" s="218">
        <f t="shared" si="14"/>
        <v>1240181</v>
      </c>
      <c r="Q52" s="238">
        <f t="shared" si="15"/>
        <v>3107219.04</v>
      </c>
      <c r="R52" s="217">
        <f t="shared" si="15"/>
        <v>1611056</v>
      </c>
      <c r="S52" s="239">
        <f t="shared" si="15"/>
        <v>4798262.12</v>
      </c>
      <c r="T52" s="240">
        <f>N52/'2017'!N52-1</f>
        <v>0.0781535790245589</v>
      </c>
      <c r="U52" s="241">
        <f>O52/'2017'!O52-1</f>
        <v>0.0355884790716949</v>
      </c>
      <c r="V52" s="241">
        <f>P52/'2017'!P52-1</f>
        <v>0.0593707743468095</v>
      </c>
      <c r="W52" s="241">
        <f>Q52/'2017'!Q52-1</f>
        <v>0.381505305313336</v>
      </c>
      <c r="X52" s="241">
        <f>R52/'2017'!R52-1</f>
        <v>0.413611260764043</v>
      </c>
      <c r="Y52" s="262">
        <f>S52/'2017'!S52-1</f>
        <v>0.3846833771263</v>
      </c>
      <c r="Z52" s="263"/>
      <c r="AA52" s="279">
        <f t="shared" si="10"/>
        <v>310.721904</v>
      </c>
      <c r="AB52" s="265"/>
      <c r="AC52" s="266"/>
      <c r="AD52" s="265">
        <f t="shared" si="6"/>
        <v>3187206.12</v>
      </c>
      <c r="AE52" s="186">
        <f t="shared" si="7"/>
        <v>15847.28</v>
      </c>
      <c r="AF52" s="186">
        <f t="shared" si="16"/>
        <v>37368.58</v>
      </c>
      <c r="AG52" s="266">
        <f t="shared" si="9"/>
        <v>26771.2200000001</v>
      </c>
      <c r="AH52" s="283"/>
      <c r="AI52" s="284"/>
      <c r="AJ52" s="284"/>
      <c r="AK52" s="282"/>
      <c r="AL52" s="282"/>
      <c r="AM52" s="282"/>
      <c r="AN52" s="282"/>
      <c r="AO52" s="282"/>
      <c r="AP52" s="282"/>
      <c r="AQ52" s="282"/>
      <c r="AR52" s="282"/>
      <c r="AS52" s="28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</row>
    <row r="53" spans="1:55">
      <c r="A53" s="203">
        <v>42784</v>
      </c>
      <c r="B53" s="184" t="s">
        <v>1</v>
      </c>
      <c r="C53" s="185">
        <v>24571</v>
      </c>
      <c r="D53" s="186">
        <f>11164+4681</f>
        <v>15845</v>
      </c>
      <c r="E53" s="186">
        <v>41639</v>
      </c>
      <c r="F53" s="187">
        <v>2241</v>
      </c>
      <c r="G53" s="186">
        <v>1364</v>
      </c>
      <c r="H53" s="188"/>
      <c r="I53" s="188"/>
      <c r="J53" s="214">
        <f t="shared" si="0"/>
        <v>25794</v>
      </c>
      <c r="K53" s="186">
        <v>279</v>
      </c>
      <c r="L53" s="186">
        <v>482</v>
      </c>
      <c r="M53" s="215">
        <f t="shared" si="3"/>
        <v>462</v>
      </c>
      <c r="N53" s="216">
        <f t="shared" ref="N53:P62" si="17">N52+C53</f>
        <v>792046</v>
      </c>
      <c r="O53" s="219">
        <f t="shared" si="17"/>
        <v>455647</v>
      </c>
      <c r="P53" s="218">
        <f t="shared" si="17"/>
        <v>1281820</v>
      </c>
      <c r="Q53" s="238">
        <f t="shared" si="15"/>
        <v>3131790.04</v>
      </c>
      <c r="R53" s="217">
        <f t="shared" si="15"/>
        <v>1626901</v>
      </c>
      <c r="S53" s="239">
        <f t="shared" si="15"/>
        <v>4839901.12</v>
      </c>
      <c r="T53" s="240">
        <f>N53/'2017'!N53-1</f>
        <v>0.0276155643578231</v>
      </c>
      <c r="U53" s="241">
        <f>O53/'2017'!O53-1</f>
        <v>0.000733561308374764</v>
      </c>
      <c r="V53" s="241">
        <f>P53/'2017'!P53-1</f>
        <v>0.0157696208951439</v>
      </c>
      <c r="W53" s="241">
        <f>Q53/'2017'!Q53-1</f>
        <v>0.356884812019124</v>
      </c>
      <c r="X53" s="241">
        <f>R53/'2017'!R53-1</f>
        <v>0.390158412508256</v>
      </c>
      <c r="Y53" s="262">
        <f>S53/'2017'!S53-1</f>
        <v>0.360866692835131</v>
      </c>
      <c r="Z53" s="263"/>
      <c r="AA53" s="279">
        <f t="shared" si="10"/>
        <v>313.179004</v>
      </c>
      <c r="AB53" s="265"/>
      <c r="AC53" s="266"/>
      <c r="AD53" s="265">
        <f t="shared" si="6"/>
        <v>3213000.12</v>
      </c>
      <c r="AE53" s="186">
        <f t="shared" si="7"/>
        <v>16126.28</v>
      </c>
      <c r="AF53" s="186">
        <f t="shared" si="16"/>
        <v>37850.58</v>
      </c>
      <c r="AG53" s="266">
        <f t="shared" si="9"/>
        <v>27233.2200000001</v>
      </c>
      <c r="AH53" s="283"/>
      <c r="AI53" s="284"/>
      <c r="AJ53" s="284"/>
      <c r="AK53" s="282"/>
      <c r="AL53" s="282"/>
      <c r="AM53" s="282"/>
      <c r="AN53" s="282"/>
      <c r="AO53" s="282"/>
      <c r="AP53" s="282"/>
      <c r="AQ53" s="282"/>
      <c r="AR53" s="282"/>
      <c r="AS53" s="28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</row>
    <row r="54" spans="1:55">
      <c r="A54" s="203">
        <v>42785</v>
      </c>
      <c r="B54" s="184" t="s">
        <v>39</v>
      </c>
      <c r="C54" s="185">
        <v>27076</v>
      </c>
      <c r="D54" s="186">
        <f>10888+5028</f>
        <v>15916</v>
      </c>
      <c r="E54" s="186">
        <v>43836</v>
      </c>
      <c r="F54" s="187">
        <v>2315</v>
      </c>
      <c r="G54" s="186">
        <v>1384</v>
      </c>
      <c r="H54" s="188"/>
      <c r="I54" s="188"/>
      <c r="J54" s="214">
        <f t="shared" si="0"/>
        <v>27920</v>
      </c>
      <c r="K54" s="186">
        <v>130</v>
      </c>
      <c r="L54" s="186">
        <v>480</v>
      </c>
      <c r="M54" s="215">
        <f t="shared" si="3"/>
        <v>234</v>
      </c>
      <c r="N54" s="216">
        <f t="shared" si="17"/>
        <v>819122</v>
      </c>
      <c r="O54" s="219">
        <f t="shared" si="17"/>
        <v>471563</v>
      </c>
      <c r="P54" s="218">
        <f t="shared" si="17"/>
        <v>1325656</v>
      </c>
      <c r="Q54" s="238">
        <f t="shared" si="15"/>
        <v>3158866.04</v>
      </c>
      <c r="R54" s="217">
        <f t="shared" si="15"/>
        <v>1642817</v>
      </c>
      <c r="S54" s="239">
        <f t="shared" si="15"/>
        <v>4883737.12</v>
      </c>
      <c r="T54" s="240">
        <f>N54/'2017'!N54-1</f>
        <v>-0.00582700082410614</v>
      </c>
      <c r="U54" s="241">
        <f>O54/'2017'!O54-1</f>
        <v>-0.0290604661122515</v>
      </c>
      <c r="V54" s="241">
        <f>P54/'2017'!P54-1</f>
        <v>-0.015901107287191</v>
      </c>
      <c r="W54" s="241">
        <f>Q54/'2017'!Q54-1</f>
        <v>0.337802129208943</v>
      </c>
      <c r="X54" s="241">
        <f>R54/'2017'!R54-1</f>
        <v>0.368258204008952</v>
      </c>
      <c r="Y54" s="262">
        <f>S54/'2017'!S54-1</f>
        <v>0.341081662789828</v>
      </c>
      <c r="Z54" s="263"/>
      <c r="AA54" s="279">
        <f t="shared" si="10"/>
        <v>315.886604</v>
      </c>
      <c r="AB54" s="265"/>
      <c r="AC54" s="266"/>
      <c r="AD54" s="265">
        <f t="shared" si="6"/>
        <v>3240920.12</v>
      </c>
      <c r="AE54" s="186">
        <f t="shared" si="7"/>
        <v>16256.28</v>
      </c>
      <c r="AF54" s="186">
        <f t="shared" si="16"/>
        <v>38330.58</v>
      </c>
      <c r="AG54" s="266">
        <f t="shared" si="9"/>
        <v>27467.2200000001</v>
      </c>
      <c r="AH54" s="283"/>
      <c r="AI54" s="284"/>
      <c r="AJ54" s="284"/>
      <c r="AK54" s="282"/>
      <c r="AL54" s="282"/>
      <c r="AM54" s="282"/>
      <c r="AN54" s="282"/>
      <c r="AO54" s="282"/>
      <c r="AP54" s="282"/>
      <c r="AQ54" s="282"/>
      <c r="AR54" s="282"/>
      <c r="AS54" s="28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</row>
    <row r="55" spans="1:55">
      <c r="A55" s="203">
        <v>42786</v>
      </c>
      <c r="B55" s="184" t="s">
        <v>34</v>
      </c>
      <c r="C55" s="185">
        <v>28638</v>
      </c>
      <c r="D55" s="186">
        <f>10868+6152</f>
        <v>17020</v>
      </c>
      <c r="E55" s="186">
        <v>46673</v>
      </c>
      <c r="F55" s="187">
        <v>2438</v>
      </c>
      <c r="G55" s="186">
        <v>1438</v>
      </c>
      <c r="H55" s="188"/>
      <c r="I55" s="188"/>
      <c r="J55" s="214">
        <f t="shared" si="0"/>
        <v>29653</v>
      </c>
      <c r="K55" s="186">
        <v>150</v>
      </c>
      <c r="L55" s="186">
        <v>670</v>
      </c>
      <c r="M55" s="215">
        <f t="shared" si="3"/>
        <v>195</v>
      </c>
      <c r="N55" s="216">
        <f t="shared" si="17"/>
        <v>847760</v>
      </c>
      <c r="O55" s="219">
        <f t="shared" si="17"/>
        <v>488583</v>
      </c>
      <c r="P55" s="218">
        <f t="shared" si="17"/>
        <v>1372329</v>
      </c>
      <c r="Q55" s="238">
        <f t="shared" si="15"/>
        <v>3187504.04</v>
      </c>
      <c r="R55" s="217">
        <f t="shared" si="15"/>
        <v>1659837</v>
      </c>
      <c r="S55" s="239">
        <f t="shared" si="15"/>
        <v>4930410.12</v>
      </c>
      <c r="T55" s="240">
        <f>N55/'2017'!N55-1</f>
        <v>-0.0399322326422588</v>
      </c>
      <c r="U55" s="241">
        <f>O55/'2017'!O55-1</f>
        <v>-0.053150235751702</v>
      </c>
      <c r="V55" s="241">
        <f>P55/'2017'!P55-1</f>
        <v>-0.0461107400114134</v>
      </c>
      <c r="W55" s="241">
        <f>Q55/'2017'!Q55-1</f>
        <v>0.316968873076266</v>
      </c>
      <c r="X55" s="241">
        <f>R55/'2017'!R55-1</f>
        <v>0.348370220837615</v>
      </c>
      <c r="Y55" s="262">
        <f>S55/'2017'!S55-1</f>
        <v>0.320681638502722</v>
      </c>
      <c r="Z55" s="263"/>
      <c r="AA55" s="279">
        <f t="shared" si="10"/>
        <v>318.750404</v>
      </c>
      <c r="AB55" s="265"/>
      <c r="AC55" s="266"/>
      <c r="AD55" s="265">
        <f t="shared" si="6"/>
        <v>3270573.12</v>
      </c>
      <c r="AE55" s="186">
        <f t="shared" si="7"/>
        <v>16406.28</v>
      </c>
      <c r="AF55" s="186">
        <f t="shared" ref="AF55:AF70" si="18">AF54+L55</f>
        <v>39000.58</v>
      </c>
      <c r="AG55" s="266">
        <f t="shared" si="9"/>
        <v>27662.2200000001</v>
      </c>
      <c r="AH55" s="283"/>
      <c r="AI55" s="284"/>
      <c r="AJ55" s="284"/>
      <c r="AK55" s="282"/>
      <c r="AL55" s="282"/>
      <c r="AM55" s="282"/>
      <c r="AN55" s="282"/>
      <c r="AO55" s="282"/>
      <c r="AP55" s="282"/>
      <c r="AQ55" s="282"/>
      <c r="AR55" s="282"/>
      <c r="AS55" s="28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</row>
    <row r="56" spans="1:55">
      <c r="A56" s="203">
        <v>42787</v>
      </c>
      <c r="B56" s="184" t="s">
        <v>35</v>
      </c>
      <c r="C56" s="185">
        <v>29396</v>
      </c>
      <c r="D56" s="186">
        <f>11061+6688</f>
        <v>17749</v>
      </c>
      <c r="E56" s="186">
        <v>48422</v>
      </c>
      <c r="F56" s="187">
        <v>2583</v>
      </c>
      <c r="G56" s="186">
        <v>1485</v>
      </c>
      <c r="H56" s="188"/>
      <c r="I56" s="188"/>
      <c r="J56" s="214">
        <f t="shared" si="0"/>
        <v>30673</v>
      </c>
      <c r="K56" s="186">
        <v>224</v>
      </c>
      <c r="L56" s="186">
        <v>791</v>
      </c>
      <c r="M56" s="215">
        <f t="shared" si="3"/>
        <v>262</v>
      </c>
      <c r="N56" s="216">
        <f t="shared" si="17"/>
        <v>877156</v>
      </c>
      <c r="O56" s="219">
        <f t="shared" si="17"/>
        <v>506332</v>
      </c>
      <c r="P56" s="218">
        <f t="shared" si="17"/>
        <v>1420751</v>
      </c>
      <c r="Q56" s="238">
        <f t="shared" si="15"/>
        <v>3216900.04</v>
      </c>
      <c r="R56" s="217">
        <f t="shared" si="15"/>
        <v>1677586</v>
      </c>
      <c r="S56" s="239">
        <f t="shared" si="15"/>
        <v>4978832.12</v>
      </c>
      <c r="T56" s="240">
        <f>N56/'2017'!N56-1</f>
        <v>-0.0735738796409443</v>
      </c>
      <c r="U56" s="241">
        <f>O56/'2017'!O56-1</f>
        <v>-0.0737174092801686</v>
      </c>
      <c r="V56" s="241">
        <f>P56/'2017'!P56-1</f>
        <v>-0.0744775516585455</v>
      </c>
      <c r="W56" s="241">
        <f>Q56/'2017'!Q56-1</f>
        <v>0.29498075064215</v>
      </c>
      <c r="X56" s="241">
        <f>R56/'2017'!R56-1</f>
        <v>0.32971415979848</v>
      </c>
      <c r="Y56" s="262">
        <f>S56/'2017'!S56-1</f>
        <v>0.300076884841439</v>
      </c>
      <c r="Z56" s="263"/>
      <c r="AA56" s="279">
        <f t="shared" si="10"/>
        <v>321.690004</v>
      </c>
      <c r="AB56" s="265"/>
      <c r="AC56" s="266"/>
      <c r="AD56" s="265">
        <f t="shared" si="6"/>
        <v>3301246.12</v>
      </c>
      <c r="AE56" s="186">
        <f t="shared" si="7"/>
        <v>16630.28</v>
      </c>
      <c r="AF56" s="186">
        <f t="shared" si="18"/>
        <v>39791.58</v>
      </c>
      <c r="AG56" s="266">
        <f t="shared" si="9"/>
        <v>27924.2200000001</v>
      </c>
      <c r="AH56" s="283"/>
      <c r="AI56" s="284"/>
      <c r="AJ56" s="284"/>
      <c r="AK56" s="282"/>
      <c r="AL56" s="282"/>
      <c r="AM56" s="282"/>
      <c r="AN56" s="282"/>
      <c r="AO56" s="282"/>
      <c r="AP56" s="282"/>
      <c r="AQ56" s="282"/>
      <c r="AR56" s="282"/>
      <c r="AS56" s="28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</row>
    <row r="57" s="163" customFormat="1" spans="1:55">
      <c r="A57" s="190">
        <v>42788</v>
      </c>
      <c r="B57" s="191" t="s">
        <v>36</v>
      </c>
      <c r="C57" s="192">
        <v>28682</v>
      </c>
      <c r="D57" s="193">
        <f>14331+8056</f>
        <v>22387</v>
      </c>
      <c r="E57" s="193">
        <v>52281</v>
      </c>
      <c r="F57" s="194">
        <v>2731</v>
      </c>
      <c r="G57" s="193">
        <v>1568</v>
      </c>
      <c r="H57" s="195"/>
      <c r="I57" s="195"/>
      <c r="J57" s="220">
        <f t="shared" si="0"/>
        <v>29894</v>
      </c>
      <c r="K57" s="193">
        <v>132</v>
      </c>
      <c r="L57" s="193">
        <v>795</v>
      </c>
      <c r="M57" s="221">
        <f t="shared" si="3"/>
        <v>285</v>
      </c>
      <c r="N57" s="222">
        <f t="shared" si="17"/>
        <v>905838</v>
      </c>
      <c r="O57" s="225">
        <f t="shared" si="17"/>
        <v>528719</v>
      </c>
      <c r="P57" s="224">
        <f t="shared" si="17"/>
        <v>1473032</v>
      </c>
      <c r="Q57" s="242">
        <f>N57+Q$35</f>
        <v>3245582.04</v>
      </c>
      <c r="R57" s="223">
        <f t="shared" si="15"/>
        <v>1699973</v>
      </c>
      <c r="S57" s="243">
        <f t="shared" si="15"/>
        <v>5031113.12</v>
      </c>
      <c r="T57" s="244">
        <f>N57/'2017'!N57-1</f>
        <v>-0.105218811150612</v>
      </c>
      <c r="U57" s="245">
        <f>O57/'2017'!O57-1</f>
        <v>-0.085938094283126</v>
      </c>
      <c r="V57" s="245">
        <f>P57/'2017'!P57-1</f>
        <v>-0.0986285745056333</v>
      </c>
      <c r="W57" s="245">
        <f>Q57/'2017'!Q57-1</f>
        <v>0.272942193977273</v>
      </c>
      <c r="X57" s="245">
        <f>R57/'2017'!R57-1</f>
        <v>0.314330137140931</v>
      </c>
      <c r="Y57" s="267">
        <f>S57/'2017'!S57-1</f>
        <v>0.280580172742477</v>
      </c>
      <c r="Z57" s="268">
        <v>12.17</v>
      </c>
      <c r="AA57" s="278">
        <f t="shared" si="10"/>
        <v>312.388204</v>
      </c>
      <c r="AB57" s="270">
        <v>4269.48</v>
      </c>
      <c r="AC57" s="221">
        <f t="shared" si="12"/>
        <v>731.677403337174</v>
      </c>
      <c r="AD57" s="270">
        <f t="shared" si="6"/>
        <v>3331140.12</v>
      </c>
      <c r="AE57" s="193">
        <f t="shared" si="7"/>
        <v>16762.28</v>
      </c>
      <c r="AF57" s="193">
        <f t="shared" si="18"/>
        <v>40586.58</v>
      </c>
      <c r="AG57" s="221">
        <f t="shared" si="9"/>
        <v>28209.2200000001</v>
      </c>
      <c r="AH57" s="283">
        <f>(AD57-AD50)/('2017'!AD57-'2017'!AD50)-1</f>
        <v>-0.536218276799266</v>
      </c>
      <c r="AI57" s="284">
        <f t="shared" ref="AI57" si="19">AA57-AA50</f>
        <v>17.5282</v>
      </c>
      <c r="AJ57" s="284">
        <f>'2017'!AA57-'2017'!AA50</f>
        <v>38.3486285714286</v>
      </c>
      <c r="AK57" s="282"/>
      <c r="AL57" s="282"/>
      <c r="AM57" s="282"/>
      <c r="AN57" s="282"/>
      <c r="AO57" s="282"/>
      <c r="AP57" s="282"/>
      <c r="AQ57" s="282"/>
      <c r="AR57" s="282"/>
      <c r="AS57" s="28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</row>
    <row r="58" spans="1:55">
      <c r="A58" s="189">
        <v>42789</v>
      </c>
      <c r="B58" s="184" t="s">
        <v>37</v>
      </c>
      <c r="C58" s="185">
        <v>26385</v>
      </c>
      <c r="D58" s="186">
        <f>14611+9344</f>
        <v>23955</v>
      </c>
      <c r="E58" s="186">
        <v>52514</v>
      </c>
      <c r="F58" s="187">
        <v>2747.2</v>
      </c>
      <c r="G58" s="186">
        <v>1706.7</v>
      </c>
      <c r="H58" s="188"/>
      <c r="I58" s="188"/>
      <c r="J58" s="214">
        <f t="shared" si="0"/>
        <v>28559</v>
      </c>
      <c r="K58" s="186">
        <v>191</v>
      </c>
      <c r="L58" s="186">
        <v>793</v>
      </c>
      <c r="M58" s="215">
        <f t="shared" si="3"/>
        <v>1190</v>
      </c>
      <c r="N58" s="216">
        <f t="shared" si="17"/>
        <v>932223</v>
      </c>
      <c r="O58" s="219">
        <f t="shared" si="17"/>
        <v>552674</v>
      </c>
      <c r="P58" s="218">
        <f t="shared" si="17"/>
        <v>1525546</v>
      </c>
      <c r="Q58" s="238">
        <f t="shared" si="15"/>
        <v>3271967.04</v>
      </c>
      <c r="R58" s="217">
        <f t="shared" si="15"/>
        <v>1723928</v>
      </c>
      <c r="S58" s="239">
        <f t="shared" si="15"/>
        <v>5083627.12</v>
      </c>
      <c r="T58" s="240">
        <f>N58/'2017'!N58-1</f>
        <v>-0.140815421807561</v>
      </c>
      <c r="U58" s="241">
        <f>O58/'2017'!O58-1</f>
        <v>-0.0903473861275976</v>
      </c>
      <c r="V58" s="241">
        <f>P58/'2017'!P58-1</f>
        <v>-0.122126857619657</v>
      </c>
      <c r="W58" s="241">
        <f>Q58/'2017'!Q58-1</f>
        <v>0.247736744053538</v>
      </c>
      <c r="X58" s="241">
        <f>R58/'2017'!R58-1</f>
        <v>0.303485987696514</v>
      </c>
      <c r="Y58" s="262">
        <f>S58/'2017'!S58-1</f>
        <v>0.260714105648659</v>
      </c>
      <c r="Z58" s="263"/>
      <c r="AA58" s="279">
        <f t="shared" si="10"/>
        <v>327.196704</v>
      </c>
      <c r="AB58" s="265"/>
      <c r="AC58" s="266"/>
      <c r="AD58" s="265">
        <f t="shared" si="6"/>
        <v>3359699.12</v>
      </c>
      <c r="AE58" s="186">
        <f t="shared" si="7"/>
        <v>16953.28</v>
      </c>
      <c r="AF58" s="186">
        <f t="shared" si="18"/>
        <v>41379.58</v>
      </c>
      <c r="AG58" s="266">
        <f t="shared" si="9"/>
        <v>29399.2200000001</v>
      </c>
      <c r="AH58" s="281"/>
      <c r="AI58" s="284"/>
      <c r="AJ58" s="284"/>
      <c r="AK58" s="282"/>
      <c r="AL58" s="282"/>
      <c r="AM58" s="282"/>
      <c r="AN58" s="282"/>
      <c r="AO58" s="282"/>
      <c r="AP58" s="282"/>
      <c r="AQ58" s="282"/>
      <c r="AR58" s="282"/>
      <c r="AS58" s="28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</row>
    <row r="59" spans="1:55">
      <c r="A59" s="189">
        <v>42790</v>
      </c>
      <c r="B59" s="184" t="s">
        <v>38</v>
      </c>
      <c r="C59" s="185">
        <v>33343</v>
      </c>
      <c r="D59" s="186">
        <f>15501+9413</f>
        <v>24914</v>
      </c>
      <c r="E59" s="186">
        <v>59845</v>
      </c>
      <c r="F59" s="187">
        <v>2940.8</v>
      </c>
      <c r="G59" s="186">
        <v>1760</v>
      </c>
      <c r="H59" s="188"/>
      <c r="I59" s="188"/>
      <c r="J59" s="214">
        <f t="shared" si="0"/>
        <v>34931</v>
      </c>
      <c r="K59" s="186">
        <v>420</v>
      </c>
      <c r="L59" s="186">
        <v>792</v>
      </c>
      <c r="M59" s="215">
        <f t="shared" si="3"/>
        <v>376</v>
      </c>
      <c r="N59" s="216">
        <f t="shared" si="17"/>
        <v>965566</v>
      </c>
      <c r="O59" s="219">
        <f t="shared" si="17"/>
        <v>577588</v>
      </c>
      <c r="P59" s="218">
        <f t="shared" si="17"/>
        <v>1585391</v>
      </c>
      <c r="Q59" s="238">
        <f t="shared" si="15"/>
        <v>3305310.04</v>
      </c>
      <c r="R59" s="217">
        <f t="shared" si="15"/>
        <v>1748842</v>
      </c>
      <c r="S59" s="239">
        <f t="shared" si="15"/>
        <v>5143472.12</v>
      </c>
      <c r="T59" s="240">
        <f>N59/'2017'!N59-1</f>
        <v>-0.166023052639307</v>
      </c>
      <c r="U59" s="241">
        <f>O59/'2017'!O59-1</f>
        <v>-0.0936881663907609</v>
      </c>
      <c r="V59" s="241">
        <f>P59/'2017'!P59-1</f>
        <v>-0.139132861756029</v>
      </c>
      <c r="W59" s="241">
        <f>Q59/'2017'!Q59-1</f>
        <v>0.22641570215182</v>
      </c>
      <c r="X59" s="241">
        <f>R59/'2017'!R59-1</f>
        <v>0.293253399256515</v>
      </c>
      <c r="Y59" s="262">
        <f>S59/'2017'!S59-1</f>
        <v>0.243530369744299</v>
      </c>
      <c r="Z59" s="263"/>
      <c r="AA59" s="279">
        <f t="shared" si="10"/>
        <v>330.531004</v>
      </c>
      <c r="AB59" s="265"/>
      <c r="AC59" s="266"/>
      <c r="AD59" s="265">
        <f t="shared" si="6"/>
        <v>3394630.12</v>
      </c>
      <c r="AE59" s="186">
        <f t="shared" si="7"/>
        <v>17373.28</v>
      </c>
      <c r="AF59" s="186">
        <f t="shared" si="18"/>
        <v>42171.58</v>
      </c>
      <c r="AG59" s="266">
        <f t="shared" si="9"/>
        <v>29775.2200000001</v>
      </c>
      <c r="AH59" s="281"/>
      <c r="AI59" s="284"/>
      <c r="AJ59" s="284"/>
      <c r="AK59" s="282"/>
      <c r="AL59" s="282"/>
      <c r="AM59" s="282"/>
      <c r="AN59" s="282"/>
      <c r="AO59" s="282"/>
      <c r="AP59" s="282"/>
      <c r="AQ59" s="282"/>
      <c r="AR59" s="282"/>
      <c r="AS59" s="28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</row>
    <row r="60" spans="1:55">
      <c r="A60" s="189">
        <v>42791</v>
      </c>
      <c r="B60" s="184" t="s">
        <v>1</v>
      </c>
      <c r="C60" s="185">
        <v>37166</v>
      </c>
      <c r="D60" s="186">
        <f>15069+9425</f>
        <v>24494</v>
      </c>
      <c r="E60" s="186">
        <v>63074</v>
      </c>
      <c r="F60" s="187">
        <v>3095.6</v>
      </c>
      <c r="G60" s="186">
        <v>1882.7</v>
      </c>
      <c r="H60" s="188"/>
      <c r="I60" s="188"/>
      <c r="J60" s="214">
        <f t="shared" si="0"/>
        <v>38580</v>
      </c>
      <c r="K60" s="186">
        <v>296</v>
      </c>
      <c r="L60" s="186">
        <v>793</v>
      </c>
      <c r="M60" s="215">
        <f t="shared" si="3"/>
        <v>325</v>
      </c>
      <c r="N60" s="216">
        <f t="shared" si="17"/>
        <v>1002732</v>
      </c>
      <c r="O60" s="219">
        <f t="shared" si="17"/>
        <v>602082</v>
      </c>
      <c r="P60" s="218">
        <f t="shared" si="17"/>
        <v>1648465</v>
      </c>
      <c r="Q60" s="238">
        <f t="shared" si="15"/>
        <v>3342476.04</v>
      </c>
      <c r="R60" s="217">
        <f t="shared" si="15"/>
        <v>1773336</v>
      </c>
      <c r="S60" s="239">
        <f t="shared" si="15"/>
        <v>5206546.12</v>
      </c>
      <c r="T60" s="240">
        <f>N60/'2017'!N60-1</f>
        <v>-0.1837075605789</v>
      </c>
      <c r="U60" s="241">
        <f>O60/'2017'!O60-1</f>
        <v>-0.0964912017431443</v>
      </c>
      <c r="V60" s="241">
        <f>P60/'2017'!P60-1</f>
        <v>-0.151530982515557</v>
      </c>
      <c r="W60" s="241">
        <f>Q60/'2017'!Q60-1</f>
        <v>0.208541492312742</v>
      </c>
      <c r="X60" s="241">
        <f>R60/'2017'!R60-1</f>
        <v>0.283753496533871</v>
      </c>
      <c r="Y60" s="262">
        <f>S60/'2017'!S60-1</f>
        <v>0.228702480755449</v>
      </c>
      <c r="Z60" s="263"/>
      <c r="AA60" s="279">
        <f t="shared" si="10"/>
        <v>334.247604</v>
      </c>
      <c r="AB60" s="265"/>
      <c r="AC60" s="266"/>
      <c r="AD60" s="265">
        <f t="shared" si="6"/>
        <v>3433210.12</v>
      </c>
      <c r="AE60" s="186">
        <f t="shared" si="7"/>
        <v>17669.28</v>
      </c>
      <c r="AF60" s="186">
        <f t="shared" si="18"/>
        <v>42964.58</v>
      </c>
      <c r="AG60" s="266">
        <f t="shared" si="9"/>
        <v>30100.2200000001</v>
      </c>
      <c r="AH60" s="281"/>
      <c r="AI60" s="284"/>
      <c r="AJ60" s="284"/>
      <c r="AK60" s="282"/>
      <c r="AL60" s="282"/>
      <c r="AM60" s="282"/>
      <c r="AN60" s="282"/>
      <c r="AO60" s="282"/>
      <c r="AP60" s="282"/>
      <c r="AQ60" s="282"/>
      <c r="AR60" s="282"/>
      <c r="AS60" s="28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</row>
    <row r="61" spans="1:55">
      <c r="A61" s="189">
        <v>42792</v>
      </c>
      <c r="B61" s="184" t="s">
        <v>39</v>
      </c>
      <c r="C61" s="185">
        <v>39621</v>
      </c>
      <c r="D61" s="186">
        <f>9317+15445</f>
        <v>24762</v>
      </c>
      <c r="E61" s="186">
        <v>65695</v>
      </c>
      <c r="F61" s="187">
        <v>3216</v>
      </c>
      <c r="G61" s="186">
        <v>2041</v>
      </c>
      <c r="H61" s="188"/>
      <c r="I61" s="188"/>
      <c r="J61" s="214">
        <f t="shared" si="0"/>
        <v>40933</v>
      </c>
      <c r="K61" s="186">
        <v>120</v>
      </c>
      <c r="L61" s="186">
        <v>198</v>
      </c>
      <c r="M61" s="215">
        <f t="shared" si="3"/>
        <v>994</v>
      </c>
      <c r="N61" s="216">
        <f t="shared" si="17"/>
        <v>1042353</v>
      </c>
      <c r="O61" s="219">
        <f t="shared" si="17"/>
        <v>626844</v>
      </c>
      <c r="P61" s="218">
        <f t="shared" si="17"/>
        <v>1714160</v>
      </c>
      <c r="Q61" s="238">
        <f t="shared" si="15"/>
        <v>3382097.04</v>
      </c>
      <c r="R61" s="217">
        <f t="shared" si="15"/>
        <v>1798098</v>
      </c>
      <c r="S61" s="239">
        <f t="shared" si="15"/>
        <v>5272241.12</v>
      </c>
      <c r="T61" s="240">
        <f>N61/'2017'!N61-1</f>
        <v>-0.196443191121623</v>
      </c>
      <c r="U61" s="241">
        <f>O61/'2017'!O61-1</f>
        <v>-0.0930538414460349</v>
      </c>
      <c r="V61" s="241">
        <f>P61/'2017'!P61-1</f>
        <v>-0.158824525288115</v>
      </c>
      <c r="W61" s="241">
        <f>Q61/'2017'!Q61-1</f>
        <v>0.193195627079728</v>
      </c>
      <c r="X61" s="241">
        <f>R61/'2017'!R61-1</f>
        <v>0.278742946139978</v>
      </c>
      <c r="Y61" s="262">
        <f>S61/'2017'!S61-1</f>
        <v>0.216938931743154</v>
      </c>
      <c r="Z61" s="263"/>
      <c r="AA61" s="279">
        <f t="shared" si="10"/>
        <v>338.209704</v>
      </c>
      <c r="AB61" s="265"/>
      <c r="AC61" s="266"/>
      <c r="AD61" s="265">
        <f t="shared" si="6"/>
        <v>3474143.12</v>
      </c>
      <c r="AE61" s="186">
        <f t="shared" si="7"/>
        <v>17789.28</v>
      </c>
      <c r="AF61" s="186">
        <f t="shared" si="18"/>
        <v>43162.58</v>
      </c>
      <c r="AG61" s="266">
        <f t="shared" si="9"/>
        <v>31094.2200000001</v>
      </c>
      <c r="AH61" s="281"/>
      <c r="AI61" s="284"/>
      <c r="AJ61" s="284"/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</row>
    <row r="62" spans="1:55">
      <c r="A62" s="189">
        <v>42793</v>
      </c>
      <c r="B62" s="184" t="s">
        <v>34</v>
      </c>
      <c r="C62" s="185">
        <v>40772</v>
      </c>
      <c r="D62" s="186">
        <f>9453+15774</f>
        <v>25227</v>
      </c>
      <c r="E62" s="186">
        <v>67159</v>
      </c>
      <c r="F62" s="187">
        <v>3209</v>
      </c>
      <c r="G62" s="186">
        <v>2142</v>
      </c>
      <c r="H62" s="188"/>
      <c r="I62" s="188"/>
      <c r="J62" s="214">
        <f t="shared" si="0"/>
        <v>41932</v>
      </c>
      <c r="K62" s="186">
        <v>181</v>
      </c>
      <c r="L62" s="186">
        <v>0</v>
      </c>
      <c r="M62" s="215">
        <f t="shared" si="3"/>
        <v>979</v>
      </c>
      <c r="N62" s="216">
        <f t="shared" si="17"/>
        <v>1083125</v>
      </c>
      <c r="O62" s="219">
        <f t="shared" si="17"/>
        <v>652071</v>
      </c>
      <c r="P62" s="218">
        <f t="shared" si="17"/>
        <v>1781319</v>
      </c>
      <c r="Q62" s="238">
        <f t="shared" si="15"/>
        <v>3422869.04</v>
      </c>
      <c r="R62" s="217">
        <f t="shared" si="15"/>
        <v>1823325</v>
      </c>
      <c r="S62" s="239">
        <f t="shared" si="15"/>
        <v>5339400.12</v>
      </c>
      <c r="T62" s="240">
        <f>N62/'2017'!N62-1</f>
        <v>-0.208927208521858</v>
      </c>
      <c r="U62" s="241">
        <f>O62/'2017'!O62-1</f>
        <v>-0.0893524492634613</v>
      </c>
      <c r="V62" s="241">
        <f>P62/'2017'!P62-1</f>
        <v>-0.166219348485047</v>
      </c>
      <c r="W62" s="241">
        <f>Q62/'2017'!Q62-1</f>
        <v>0.177661050346912</v>
      </c>
      <c r="X62" s="241">
        <f>R62/'2017'!R62-1</f>
        <v>0.27412759130086</v>
      </c>
      <c r="Y62" s="262">
        <f>S62/'2017'!S62-1</f>
        <v>0.20501008272541</v>
      </c>
      <c r="Z62" s="263"/>
      <c r="AA62" s="279">
        <f t="shared" si="10"/>
        <v>342.286904</v>
      </c>
      <c r="AB62" s="265"/>
      <c r="AC62" s="266"/>
      <c r="AD62" s="265">
        <f t="shared" si="6"/>
        <v>3516075.12</v>
      </c>
      <c r="AE62" s="186">
        <f t="shared" si="7"/>
        <v>17970.28</v>
      </c>
      <c r="AF62" s="186">
        <f t="shared" si="18"/>
        <v>43162.58</v>
      </c>
      <c r="AG62" s="266">
        <f t="shared" si="9"/>
        <v>32073.2200000001</v>
      </c>
      <c r="AH62" s="281"/>
      <c r="AI62" s="284"/>
      <c r="AJ62" s="284"/>
      <c r="AK62" s="282"/>
      <c r="AL62" s="282"/>
      <c r="AM62" s="282"/>
      <c r="AN62" s="282"/>
      <c r="AO62" s="282"/>
      <c r="AP62" s="282"/>
      <c r="AQ62" s="282"/>
      <c r="AR62" s="282"/>
      <c r="AS62" s="28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</row>
    <row r="63" spans="1:55">
      <c r="A63" s="204">
        <v>42794</v>
      </c>
      <c r="B63" s="197" t="s">
        <v>35</v>
      </c>
      <c r="C63" s="198">
        <v>43899</v>
      </c>
      <c r="D63" s="199">
        <f>9451+15828</f>
        <v>25279</v>
      </c>
      <c r="E63" s="205">
        <v>70116</v>
      </c>
      <c r="F63" s="200">
        <v>3547</v>
      </c>
      <c r="G63" s="199">
        <v>2118</v>
      </c>
      <c r="H63" s="201"/>
      <c r="I63" s="201"/>
      <c r="J63" s="226">
        <f t="shared" si="0"/>
        <v>44837</v>
      </c>
      <c r="K63" s="199">
        <v>153</v>
      </c>
      <c r="L63" s="199">
        <v>0</v>
      </c>
      <c r="M63" s="227">
        <f t="shared" si="3"/>
        <v>785</v>
      </c>
      <c r="N63" s="228">
        <f>[2]表2、统调口径电量!$D$10</f>
        <v>1127028.26</v>
      </c>
      <c r="O63" s="232">
        <f>[2]表2、统调口径电量!$D$14</f>
        <v>677349</v>
      </c>
      <c r="P63" s="233">
        <f>[2]表2、统调口径电量!$D$3</f>
        <v>1851437.35</v>
      </c>
      <c r="Q63" s="246">
        <f>[2]表2、统调口径电量!$I$10</f>
        <v>3466772.3</v>
      </c>
      <c r="R63" s="229">
        <f>[2]表2、统调口径电量!$I$14</f>
        <v>1848603</v>
      </c>
      <c r="S63" s="247">
        <f>[2]表2、统调口径电量!$I$3</f>
        <v>5409518.47</v>
      </c>
      <c r="T63" s="248">
        <f>N63/'2017'!N63-1</f>
        <v>-0.217395127153437</v>
      </c>
      <c r="U63" s="249">
        <f>O63/'2017'!O63-1</f>
        <v>-0.109162741944181</v>
      </c>
      <c r="V63" s="249">
        <f>P63/'2017'!P63-1</f>
        <v>-0.174325615040531</v>
      </c>
      <c r="W63" s="249">
        <f>Q63/'2017'!Q63-1</f>
        <v>0.164357869103554</v>
      </c>
      <c r="X63" s="249">
        <f>R63/'2017'!R63-1</f>
        <v>0.253003889958701</v>
      </c>
      <c r="Y63" s="272">
        <f>S63/'2017'!S63-1</f>
        <v>0.192338598650867</v>
      </c>
      <c r="Z63" s="273">
        <f>[2]表2、统调口径电量!$I$12/10000</f>
        <v>13.282399</v>
      </c>
      <c r="AA63" s="274">
        <f>[2]表2、统调口径电量!$I$11/10000</f>
        <v>333.394831</v>
      </c>
      <c r="AB63" s="275">
        <v>4269.48</v>
      </c>
      <c r="AC63" s="276">
        <f t="shared" si="12"/>
        <v>780.879242905459</v>
      </c>
      <c r="AD63" s="275">
        <f>[2]表2、统调口径电量!$I$4</f>
        <v>3560915.47</v>
      </c>
      <c r="AE63" s="199">
        <f>[2]表2、统调口径电量!$I$13</f>
        <v>18125.29</v>
      </c>
      <c r="AF63" s="199">
        <f>[2]表2、统调口径电量!$I$15</f>
        <v>43161.64</v>
      </c>
      <c r="AG63" s="276">
        <f>([2]表2、统调口径电量!$I$16+[2]表2、统调口径电量!$I$17)</f>
        <v>32856.24</v>
      </c>
      <c r="AH63" s="281"/>
      <c r="AI63" s="284"/>
      <c r="AJ63" s="284"/>
      <c r="AK63" s="282"/>
      <c r="AL63" s="282"/>
      <c r="AM63" s="282"/>
      <c r="AN63" s="282"/>
      <c r="AO63" s="282"/>
      <c r="AP63" s="282"/>
      <c r="AQ63" s="282"/>
      <c r="AR63" s="282"/>
      <c r="AS63" s="28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</row>
    <row r="64" spans="1:55">
      <c r="A64" s="189"/>
      <c r="C64" s="206"/>
      <c r="D64" s="179"/>
      <c r="E64" s="179"/>
      <c r="F64" s="187"/>
      <c r="G64" s="207"/>
      <c r="H64" s="188"/>
      <c r="I64" s="188"/>
      <c r="J64" s="214"/>
      <c r="K64" s="186"/>
      <c r="L64" s="186"/>
      <c r="M64" s="215"/>
      <c r="N64" s="216"/>
      <c r="O64" s="219"/>
      <c r="P64" s="218"/>
      <c r="Q64" s="238"/>
      <c r="R64" s="217"/>
      <c r="S64" s="239"/>
      <c r="T64" s="240"/>
      <c r="U64" s="241"/>
      <c r="V64" s="241"/>
      <c r="W64" s="241"/>
      <c r="X64" s="241"/>
      <c r="Y64" s="262"/>
      <c r="Z64" s="263"/>
      <c r="AA64" s="264"/>
      <c r="AB64" s="280"/>
      <c r="AC64" s="266"/>
      <c r="AD64" s="265"/>
      <c r="AE64" s="186"/>
      <c r="AF64" s="186"/>
      <c r="AG64" s="266"/>
      <c r="AH64" s="281"/>
      <c r="AI64" s="284"/>
      <c r="AJ64" s="284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</row>
    <row r="65" s="163" customFormat="1" spans="1:55">
      <c r="A65" s="190">
        <v>42795</v>
      </c>
      <c r="B65" s="191" t="s">
        <v>36</v>
      </c>
      <c r="C65" s="192">
        <v>43156</v>
      </c>
      <c r="D65" s="193">
        <f>9538+18033</f>
        <v>27571</v>
      </c>
      <c r="E65" s="193">
        <v>71951</v>
      </c>
      <c r="F65" s="194">
        <v>3440</v>
      </c>
      <c r="G65" s="193">
        <v>2299</v>
      </c>
      <c r="H65" s="195"/>
      <c r="I65" s="195"/>
      <c r="J65" s="220">
        <f t="shared" si="0"/>
        <v>44380</v>
      </c>
      <c r="K65" s="193">
        <v>140</v>
      </c>
      <c r="L65" s="193">
        <v>0</v>
      </c>
      <c r="M65" s="221">
        <f>J65-K65-L65-C65</f>
        <v>1084</v>
      </c>
      <c r="N65" s="222">
        <f>C65</f>
        <v>43156</v>
      </c>
      <c r="O65" s="225">
        <f>D65</f>
        <v>27571</v>
      </c>
      <c r="P65" s="224">
        <f>E65</f>
        <v>71951</v>
      </c>
      <c r="Q65" s="242">
        <f t="shared" ref="Q65:S95" si="20">Q$63+N65</f>
        <v>3509928.3</v>
      </c>
      <c r="R65" s="223">
        <f t="shared" si="20"/>
        <v>1876174</v>
      </c>
      <c r="S65" s="243">
        <f t="shared" si="20"/>
        <v>5481469.47</v>
      </c>
      <c r="T65" s="244">
        <f>N65/'2017'!N65-1</f>
        <v>-0.365576855227567</v>
      </c>
      <c r="U65" s="245">
        <f>O65/'2017'!O65-1</f>
        <v>0.111420163663482</v>
      </c>
      <c r="V65" s="245">
        <f>P65/'2017'!P65-1</f>
        <v>-0.240301974448316</v>
      </c>
      <c r="W65" s="245">
        <f>Q65/'2017'!Q65-1</f>
        <v>0.152521045825396</v>
      </c>
      <c r="X65" s="245">
        <f>R65/'2017'!R65-1</f>
        <v>0.250662603056773</v>
      </c>
      <c r="Y65" s="267">
        <f>S65/'2017'!S65-1</f>
        <v>0.183491695011985</v>
      </c>
      <c r="Z65" s="268">
        <v>13.56</v>
      </c>
      <c r="AA65" s="269">
        <f t="shared" si="10"/>
        <v>337.43283</v>
      </c>
      <c r="AB65" s="270">
        <v>4269.48</v>
      </c>
      <c r="AC65" s="221">
        <f t="shared" si="12"/>
        <v>790.337066809073</v>
      </c>
      <c r="AD65" s="270">
        <f>S65-R65</f>
        <v>3605295.47</v>
      </c>
      <c r="AE65" s="193">
        <f>AE63+K65</f>
        <v>18265.29</v>
      </c>
      <c r="AF65" s="193">
        <f>AF63+L65</f>
        <v>43161.64</v>
      </c>
      <c r="AG65" s="221">
        <f t="shared" si="9"/>
        <v>33940.2399999999</v>
      </c>
      <c r="AH65" s="283">
        <f>(AD65-AD57)/('2017'!AD65-'2017'!AD57)-1</f>
        <v>-0.447380548239402</v>
      </c>
      <c r="AI65" s="284">
        <f>AA65-AA57</f>
        <v>25.044626</v>
      </c>
      <c r="AJ65" s="284">
        <f>'2017'!AA65-'2017'!AA57</f>
        <v>47.3522842857142</v>
      </c>
      <c r="AK65" s="288"/>
      <c r="AL65" s="282"/>
      <c r="AM65" s="282"/>
      <c r="AN65" s="282"/>
      <c r="AO65" s="282"/>
      <c r="AP65" s="282"/>
      <c r="AQ65" s="282"/>
      <c r="AR65" s="282"/>
      <c r="AS65" s="28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</row>
    <row r="66" spans="1:55">
      <c r="A66" s="189">
        <v>42796</v>
      </c>
      <c r="B66" s="184" t="s">
        <v>37</v>
      </c>
      <c r="C66" s="185">
        <f>46612+3562</f>
        <v>50174</v>
      </c>
      <c r="D66" s="186">
        <f>15207+12511</f>
        <v>27718</v>
      </c>
      <c r="E66" s="186">
        <f>63154+15207</f>
        <v>78361</v>
      </c>
      <c r="F66" s="187">
        <v>4070</v>
      </c>
      <c r="G66" s="186">
        <v>2376</v>
      </c>
      <c r="H66" s="188"/>
      <c r="I66" s="188"/>
      <c r="J66" s="214">
        <f t="shared" si="0"/>
        <v>50643</v>
      </c>
      <c r="K66" s="186">
        <v>102</v>
      </c>
      <c r="L66" s="186">
        <v>0</v>
      </c>
      <c r="M66" s="215">
        <f t="shared" si="3"/>
        <v>367</v>
      </c>
      <c r="N66" s="216">
        <f t="shared" ref="N66:N95" si="21">N65+C66</f>
        <v>93330</v>
      </c>
      <c r="O66" s="217">
        <f>O65+D66</f>
        <v>55289</v>
      </c>
      <c r="P66" s="218">
        <f t="shared" ref="P66:P95" si="22">P65+E66</f>
        <v>150312</v>
      </c>
      <c r="Q66" s="238">
        <f t="shared" si="20"/>
        <v>3560102.3</v>
      </c>
      <c r="R66" s="217">
        <f t="shared" si="20"/>
        <v>1903892</v>
      </c>
      <c r="S66" s="239">
        <f t="shared" si="20"/>
        <v>5559830.47</v>
      </c>
      <c r="T66" s="240">
        <f>N66/'2017'!N66-1</f>
        <v>-0.331470935854733</v>
      </c>
      <c r="U66" s="241">
        <f>O66/'2017'!O66-1</f>
        <v>0.114203377534158</v>
      </c>
      <c r="V66" s="241">
        <f>P66/'2017'!P66-1</f>
        <v>-0.22025615886207</v>
      </c>
      <c r="W66" s="241">
        <f>Q66/'2017'!Q66-1</f>
        <v>0.142150676965336</v>
      </c>
      <c r="X66" s="241">
        <f>R66/'2017'!R66-1</f>
        <v>0.248487336380847</v>
      </c>
      <c r="Y66" s="262">
        <f>S66/'2017'!S66-1</f>
        <v>0.175522135197723</v>
      </c>
      <c r="Z66" s="263"/>
      <c r="AA66" s="264">
        <f t="shared" si="10"/>
        <v>356.01023</v>
      </c>
      <c r="AB66" s="265"/>
      <c r="AC66" s="266"/>
      <c r="AD66" s="265">
        <f t="shared" si="6"/>
        <v>3655938.47</v>
      </c>
      <c r="AE66" s="186">
        <f t="shared" si="7"/>
        <v>18367.29</v>
      </c>
      <c r="AF66" s="186">
        <f t="shared" si="18"/>
        <v>43161.64</v>
      </c>
      <c r="AG66" s="266">
        <f t="shared" si="9"/>
        <v>34307.2399999999</v>
      </c>
      <c r="AH66" s="281"/>
      <c r="AI66" s="282"/>
      <c r="AJ66" s="282"/>
      <c r="AK66" s="282"/>
      <c r="AL66" s="282"/>
      <c r="AM66" s="282"/>
      <c r="AN66" s="282"/>
      <c r="AO66" s="282"/>
      <c r="AP66" s="282"/>
      <c r="AQ66" s="282"/>
      <c r="AR66" s="282"/>
      <c r="AS66" s="28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</row>
    <row r="67" spans="1:55">
      <c r="A67" s="189">
        <v>42797</v>
      </c>
      <c r="B67" s="184" t="s">
        <v>38</v>
      </c>
      <c r="C67" s="185">
        <f>46369+1682</f>
        <v>48051</v>
      </c>
      <c r="D67" s="186">
        <f>14698+12545</f>
        <v>27243</v>
      </c>
      <c r="E67" s="186">
        <f>61650+14698</f>
        <v>76348</v>
      </c>
      <c r="F67" s="187">
        <v>3864</v>
      </c>
      <c r="G67" s="186">
        <v>2442</v>
      </c>
      <c r="H67" s="188"/>
      <c r="I67" s="188"/>
      <c r="J67" s="214">
        <f t="shared" si="0"/>
        <v>49105</v>
      </c>
      <c r="K67" s="186">
        <v>120</v>
      </c>
      <c r="L67" s="186">
        <v>0</v>
      </c>
      <c r="M67" s="215">
        <f t="shared" si="3"/>
        <v>934</v>
      </c>
      <c r="N67" s="216">
        <f t="shared" si="21"/>
        <v>141381</v>
      </c>
      <c r="O67" s="217">
        <f>O66+D67</f>
        <v>82532</v>
      </c>
      <c r="P67" s="218">
        <f t="shared" si="22"/>
        <v>226660</v>
      </c>
      <c r="Q67" s="238">
        <f t="shared" si="20"/>
        <v>3608153.3</v>
      </c>
      <c r="R67" s="217">
        <f t="shared" si="20"/>
        <v>1931135</v>
      </c>
      <c r="S67" s="239">
        <f t="shared" si="20"/>
        <v>5636178.47</v>
      </c>
      <c r="T67" s="240">
        <f>N67/'2017'!N67-1</f>
        <v>-0.336989603312684</v>
      </c>
      <c r="U67" s="241">
        <f>O67/'2017'!O67-1</f>
        <v>0.111751710760278</v>
      </c>
      <c r="V67" s="241">
        <f>P67/'2017'!P67-1</f>
        <v>-0.225202621171049</v>
      </c>
      <c r="W67" s="241">
        <f>Q67/'2017'!Q67-1</f>
        <v>0.130851292503095</v>
      </c>
      <c r="X67" s="241">
        <f>R67/'2017'!R67-1</f>
        <v>0.246236866543235</v>
      </c>
      <c r="Y67" s="262">
        <f>S67/'2017'!S67-1</f>
        <v>0.167046234709493</v>
      </c>
      <c r="Z67" s="263"/>
      <c r="AA67" s="264">
        <f t="shared" si="10"/>
        <v>360.81533</v>
      </c>
      <c r="AB67" s="265"/>
      <c r="AC67" s="266"/>
      <c r="AD67" s="265">
        <f t="shared" si="6"/>
        <v>3705043.47</v>
      </c>
      <c r="AE67" s="186">
        <f t="shared" si="7"/>
        <v>18487.29</v>
      </c>
      <c r="AF67" s="186">
        <f t="shared" si="18"/>
        <v>43161.64</v>
      </c>
      <c r="AG67" s="266">
        <f t="shared" si="9"/>
        <v>35241.2399999999</v>
      </c>
      <c r="AH67" s="281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  <c r="AS67" s="28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</row>
    <row r="68" spans="1:55">
      <c r="A68" s="189">
        <v>42798</v>
      </c>
      <c r="B68" s="184" t="s">
        <v>1</v>
      </c>
      <c r="C68" s="185">
        <v>45060</v>
      </c>
      <c r="D68" s="186">
        <f>9658+17879</f>
        <v>27537</v>
      </c>
      <c r="E68" s="186">
        <v>74009</v>
      </c>
      <c r="F68" s="187">
        <v>3555</v>
      </c>
      <c r="G68" s="186">
        <v>2453</v>
      </c>
      <c r="H68" s="188"/>
      <c r="I68" s="188"/>
      <c r="J68" s="214">
        <f t="shared" si="0"/>
        <v>46472</v>
      </c>
      <c r="K68" s="186">
        <v>356</v>
      </c>
      <c r="L68" s="186">
        <v>0</v>
      </c>
      <c r="M68" s="215">
        <f t="shared" si="3"/>
        <v>1056</v>
      </c>
      <c r="N68" s="216">
        <f t="shared" si="21"/>
        <v>186441</v>
      </c>
      <c r="O68" s="217">
        <f t="shared" ref="O68:O95" si="23">O67+D68</f>
        <v>110069</v>
      </c>
      <c r="P68" s="218">
        <f t="shared" si="22"/>
        <v>300669</v>
      </c>
      <c r="Q68" s="238">
        <f t="shared" si="20"/>
        <v>3653213.3</v>
      </c>
      <c r="R68" s="217">
        <f t="shared" si="20"/>
        <v>1958672</v>
      </c>
      <c r="S68" s="239">
        <f t="shared" si="20"/>
        <v>5710187.47</v>
      </c>
      <c r="T68" s="240">
        <f>N68/'2017'!N68-1</f>
        <v>-0.346882082791815</v>
      </c>
      <c r="U68" s="241">
        <f>O68/'2017'!O68-1</f>
        <v>0.122580316165222</v>
      </c>
      <c r="V68" s="241">
        <f>P68/'2017'!P68-1</f>
        <v>-0.228951039625796</v>
      </c>
      <c r="W68" s="241">
        <f>Q68/'2017'!Q68-1</f>
        <v>0.119630406113834</v>
      </c>
      <c r="X68" s="241">
        <f>R68/'2017'!R68-1</f>
        <v>0.244876181130262</v>
      </c>
      <c r="Y68" s="262">
        <f>S68/'2017'!S68-1</f>
        <v>0.158994537236883</v>
      </c>
      <c r="Z68" s="263"/>
      <c r="AA68" s="264">
        <f t="shared" si="10"/>
        <v>365.32133</v>
      </c>
      <c r="AB68" s="265"/>
      <c r="AC68" s="266"/>
      <c r="AD68" s="265">
        <f t="shared" si="6"/>
        <v>3751515.47</v>
      </c>
      <c r="AE68" s="186">
        <f t="shared" si="7"/>
        <v>18843.29</v>
      </c>
      <c r="AF68" s="186">
        <f t="shared" si="18"/>
        <v>43161.64</v>
      </c>
      <c r="AG68" s="266">
        <f t="shared" si="9"/>
        <v>36297.2399999999</v>
      </c>
      <c r="AH68" s="281"/>
      <c r="AI68" s="282"/>
      <c r="AJ68" s="282"/>
      <c r="AK68" s="282"/>
      <c r="AL68" s="282"/>
      <c r="AM68" s="282"/>
      <c r="AN68" s="282"/>
      <c r="AO68" s="282"/>
      <c r="AP68" s="282"/>
      <c r="AQ68" s="282"/>
      <c r="AR68" s="282"/>
      <c r="AS68" s="28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</row>
    <row r="69" spans="1:55">
      <c r="A69" s="189">
        <v>42799</v>
      </c>
      <c r="B69" s="184" t="s">
        <v>39</v>
      </c>
      <c r="C69" s="185">
        <v>53194</v>
      </c>
      <c r="D69" s="186">
        <f>9702+19526</f>
        <v>29228</v>
      </c>
      <c r="E69" s="186">
        <v>83190</v>
      </c>
      <c r="F69" s="187">
        <v>4391</v>
      </c>
      <c r="G69" s="186">
        <v>2383</v>
      </c>
      <c r="H69" s="188"/>
      <c r="I69" s="188"/>
      <c r="J69" s="214">
        <f t="shared" ref="J69:J132" si="24">E69-D69</f>
        <v>53962</v>
      </c>
      <c r="K69" s="186">
        <v>290</v>
      </c>
      <c r="L69" s="186">
        <v>0</v>
      </c>
      <c r="M69" s="215">
        <f t="shared" si="3"/>
        <v>478</v>
      </c>
      <c r="N69" s="216">
        <f t="shared" si="21"/>
        <v>239635</v>
      </c>
      <c r="O69" s="217">
        <f t="shared" si="23"/>
        <v>139297</v>
      </c>
      <c r="P69" s="218">
        <f t="shared" si="22"/>
        <v>383859</v>
      </c>
      <c r="Q69" s="238">
        <f t="shared" si="20"/>
        <v>3706407.3</v>
      </c>
      <c r="R69" s="217">
        <f t="shared" si="20"/>
        <v>1987900</v>
      </c>
      <c r="S69" s="239">
        <f t="shared" si="20"/>
        <v>5793377.47</v>
      </c>
      <c r="T69" s="240">
        <f>N69/'2017'!N69-1</f>
        <v>-0.324659842856982</v>
      </c>
      <c r="U69" s="241">
        <f>O69/'2017'!O69-1</f>
        <v>0.143081051361797</v>
      </c>
      <c r="V69" s="241">
        <f>P69/'2017'!P69-1</f>
        <v>-0.207184636864585</v>
      </c>
      <c r="W69" s="241">
        <f>Q69/'2017'!Q69-1</f>
        <v>0.112284576764248</v>
      </c>
      <c r="X69" s="241">
        <f>R69/'2017'!R69-1</f>
        <v>0.244617135758998</v>
      </c>
      <c r="Y69" s="262">
        <f>S69/'2017'!S69-1</f>
        <v>0.153813350386889</v>
      </c>
      <c r="Z69" s="263"/>
      <c r="AA69" s="264">
        <f t="shared" si="10"/>
        <v>370.64073</v>
      </c>
      <c r="AB69" s="265"/>
      <c r="AC69" s="266"/>
      <c r="AD69" s="265">
        <f t="shared" si="6"/>
        <v>3805477.47</v>
      </c>
      <c r="AE69" s="186">
        <f t="shared" si="7"/>
        <v>19133.29</v>
      </c>
      <c r="AF69" s="186">
        <f t="shared" si="18"/>
        <v>43161.64</v>
      </c>
      <c r="AG69" s="266">
        <f t="shared" si="9"/>
        <v>36775.2399999999</v>
      </c>
      <c r="AH69" s="281"/>
      <c r="AI69" s="282"/>
      <c r="AJ69" s="282"/>
      <c r="AK69" s="282"/>
      <c r="AL69" s="282"/>
      <c r="AM69" s="282"/>
      <c r="AN69" s="282"/>
      <c r="AO69" s="282"/>
      <c r="AP69" s="282"/>
      <c r="AQ69" s="282"/>
      <c r="AR69" s="282"/>
      <c r="AS69" s="28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</row>
    <row r="70" spans="1:55">
      <c r="A70" s="189">
        <v>42800</v>
      </c>
      <c r="B70" s="184" t="s">
        <v>34</v>
      </c>
      <c r="C70" s="185">
        <v>54462</v>
      </c>
      <c r="D70" s="186">
        <f>9823+22336</f>
        <v>32159</v>
      </c>
      <c r="E70" s="186">
        <v>87527</v>
      </c>
      <c r="F70" s="187">
        <v>4436</v>
      </c>
      <c r="G70" s="186">
        <v>2670</v>
      </c>
      <c r="H70" s="188"/>
      <c r="I70" s="188"/>
      <c r="J70" s="214">
        <f t="shared" si="24"/>
        <v>55368</v>
      </c>
      <c r="K70" s="186">
        <v>215</v>
      </c>
      <c r="L70" s="186">
        <v>0</v>
      </c>
      <c r="M70" s="215">
        <f t="shared" ref="M70:M133" si="25">J70-K70-L70-C70</f>
        <v>691</v>
      </c>
      <c r="N70" s="216">
        <f t="shared" si="21"/>
        <v>294097</v>
      </c>
      <c r="O70" s="217">
        <f t="shared" si="23"/>
        <v>171456</v>
      </c>
      <c r="P70" s="218">
        <f t="shared" si="22"/>
        <v>471386</v>
      </c>
      <c r="Q70" s="238">
        <f t="shared" si="20"/>
        <v>3760869.3</v>
      </c>
      <c r="R70" s="217">
        <f t="shared" si="20"/>
        <v>2020059</v>
      </c>
      <c r="S70" s="239">
        <f t="shared" si="20"/>
        <v>5880904.47</v>
      </c>
      <c r="T70" s="240">
        <f>N70/'2017'!N70-1</f>
        <v>-0.310304960414243</v>
      </c>
      <c r="U70" s="241">
        <f>O70/'2017'!O70-1</f>
        <v>0.176507723027729</v>
      </c>
      <c r="V70" s="241">
        <f>P70/'2017'!P70-1</f>
        <v>-0.189460960054748</v>
      </c>
      <c r="W70" s="241">
        <f>Q70/'2017'!Q70-1</f>
        <v>0.104894269430801</v>
      </c>
      <c r="X70" s="241">
        <f>R70/'2017'!R70-1</f>
        <v>0.246126940847712</v>
      </c>
      <c r="Y70" s="262">
        <f>S70/'2017'!S70-1</f>
        <v>0.148957744724695</v>
      </c>
      <c r="Z70" s="263"/>
      <c r="AA70" s="264">
        <f t="shared" si="10"/>
        <v>376.08693</v>
      </c>
      <c r="AB70" s="265"/>
      <c r="AC70" s="266"/>
      <c r="AD70" s="265">
        <f t="shared" ref="AD70:AD133" si="26">S70-R70</f>
        <v>3860845.47</v>
      </c>
      <c r="AE70" s="186">
        <f t="shared" si="7"/>
        <v>19348.29</v>
      </c>
      <c r="AF70" s="186">
        <f t="shared" si="18"/>
        <v>43161.64</v>
      </c>
      <c r="AG70" s="266">
        <f t="shared" ref="AG70:AG133" si="27">AD70-Q70-AE70-AF70</f>
        <v>37466.2399999999</v>
      </c>
      <c r="AH70" s="281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  <c r="AS70" s="28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</row>
    <row r="71" spans="1:55">
      <c r="A71" s="189">
        <v>42801</v>
      </c>
      <c r="B71" s="184" t="s">
        <v>35</v>
      </c>
      <c r="C71" s="185">
        <v>62487</v>
      </c>
      <c r="D71" s="186">
        <f>9733+20753</f>
        <v>30486</v>
      </c>
      <c r="E71" s="186">
        <v>94050</v>
      </c>
      <c r="F71" s="187">
        <v>4927</v>
      </c>
      <c r="G71" s="186">
        <v>2825</v>
      </c>
      <c r="H71" s="188"/>
      <c r="I71" s="188"/>
      <c r="J71" s="214">
        <f t="shared" si="24"/>
        <v>63564</v>
      </c>
      <c r="K71" s="186">
        <v>769</v>
      </c>
      <c r="L71" s="186">
        <v>0</v>
      </c>
      <c r="M71" s="215">
        <f t="shared" si="25"/>
        <v>308</v>
      </c>
      <c r="N71" s="216">
        <f t="shared" si="21"/>
        <v>356584</v>
      </c>
      <c r="O71" s="217">
        <f t="shared" si="23"/>
        <v>201942</v>
      </c>
      <c r="P71" s="218">
        <f t="shared" si="22"/>
        <v>565436</v>
      </c>
      <c r="Q71" s="238">
        <f t="shared" si="20"/>
        <v>3823356.3</v>
      </c>
      <c r="R71" s="217">
        <f t="shared" si="20"/>
        <v>2050545</v>
      </c>
      <c r="S71" s="239">
        <f t="shared" si="20"/>
        <v>5974954.47</v>
      </c>
      <c r="T71" s="240">
        <f>N71/'2017'!N71-1</f>
        <v>-0.282355332564538</v>
      </c>
      <c r="U71" s="241">
        <f>O71/'2017'!O71-1</f>
        <v>0.173174231553508</v>
      </c>
      <c r="V71" s="241">
        <f>P71/'2017'!P71-1</f>
        <v>-0.169632878917155</v>
      </c>
      <c r="W71" s="241">
        <f>Q71/'2017'!Q71-1</f>
        <v>0.100470526901432</v>
      </c>
      <c r="X71" s="241">
        <f>R71/'2017'!R71-1</f>
        <v>0.244663028765319</v>
      </c>
      <c r="Y71" s="262">
        <f>S71/'2017'!S71-1</f>
        <v>0.145100055339169</v>
      </c>
      <c r="Z71" s="263"/>
      <c r="AA71" s="264">
        <f t="shared" si="10"/>
        <v>382.33563</v>
      </c>
      <c r="AB71" s="265"/>
      <c r="AC71" s="266"/>
      <c r="AD71" s="265">
        <f t="shared" si="26"/>
        <v>3924409.47</v>
      </c>
      <c r="AE71" s="186">
        <f t="shared" ref="AE71:AE134" si="28">AE70+K71</f>
        <v>20117.29</v>
      </c>
      <c r="AF71" s="186">
        <f t="shared" ref="AF71:AF86" si="29">AF70+L71</f>
        <v>43161.64</v>
      </c>
      <c r="AG71" s="266">
        <f t="shared" si="27"/>
        <v>37774.2399999999</v>
      </c>
      <c r="AH71" s="281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</row>
    <row r="72" s="163" customFormat="1" spans="1:55">
      <c r="A72" s="190">
        <v>42802</v>
      </c>
      <c r="B72" s="191" t="s">
        <v>36</v>
      </c>
      <c r="C72" s="192">
        <f>57096+3678</f>
        <v>60774</v>
      </c>
      <c r="D72" s="193">
        <f>20033+12829</f>
        <v>32862</v>
      </c>
      <c r="E72" s="193">
        <f>74539+20033</f>
        <v>94572</v>
      </c>
      <c r="F72" s="194">
        <v>4932</v>
      </c>
      <c r="G72" s="193">
        <v>2878</v>
      </c>
      <c r="H72" s="195"/>
      <c r="I72" s="195"/>
      <c r="J72" s="220">
        <f t="shared" si="24"/>
        <v>61710</v>
      </c>
      <c r="K72" s="193">
        <v>178</v>
      </c>
      <c r="L72" s="193">
        <v>0</v>
      </c>
      <c r="M72" s="221">
        <f t="shared" si="25"/>
        <v>758</v>
      </c>
      <c r="N72" s="222">
        <f t="shared" si="21"/>
        <v>417358</v>
      </c>
      <c r="O72" s="217">
        <f t="shared" si="23"/>
        <v>234804</v>
      </c>
      <c r="P72" s="224">
        <f t="shared" si="22"/>
        <v>660008</v>
      </c>
      <c r="Q72" s="242">
        <f t="shared" si="20"/>
        <v>3884130.3</v>
      </c>
      <c r="R72" s="223">
        <f t="shared" si="20"/>
        <v>2083407</v>
      </c>
      <c r="S72" s="243">
        <f t="shared" si="20"/>
        <v>6069526.47</v>
      </c>
      <c r="T72" s="244">
        <f>N72/'2017'!N72-1</f>
        <v>-0.262000332433876</v>
      </c>
      <c r="U72" s="245">
        <f>O72/'2017'!O72-1</f>
        <v>0.176384532911151</v>
      </c>
      <c r="V72" s="245">
        <f>P72/'2017'!P72-1</f>
        <v>-0.153415861459468</v>
      </c>
      <c r="W72" s="245">
        <f>Q72/'2017'!Q72-1</f>
        <v>0.0963022907783195</v>
      </c>
      <c r="X72" s="245">
        <f>R72/'2017'!R72-1</f>
        <v>0.243873344338736</v>
      </c>
      <c r="Y72" s="267">
        <f>S72/'2017'!S72-1</f>
        <v>0.141637174805688</v>
      </c>
      <c r="Z72" s="268">
        <v>15.55</v>
      </c>
      <c r="AA72" s="269">
        <f t="shared" si="10"/>
        <v>372.86303</v>
      </c>
      <c r="AB72" s="270">
        <v>4269.48</v>
      </c>
      <c r="AC72" s="221">
        <f t="shared" si="12"/>
        <v>873.321879947909</v>
      </c>
      <c r="AD72" s="270">
        <f t="shared" si="26"/>
        <v>3986119.47</v>
      </c>
      <c r="AE72" s="193">
        <f t="shared" si="28"/>
        <v>20295.29</v>
      </c>
      <c r="AF72" s="193">
        <f t="shared" si="29"/>
        <v>43161.64</v>
      </c>
      <c r="AG72" s="221">
        <f t="shared" si="27"/>
        <v>38532.2399999999</v>
      </c>
      <c r="AH72" s="283">
        <f>(AD72-AD65)/('2017'!AD72-'2017'!AD65)-1</f>
        <v>-0.253450222696192</v>
      </c>
      <c r="AI72" s="119">
        <f>AA72-AA65</f>
        <v>35.4302</v>
      </c>
      <c r="AJ72" s="284">
        <f>'2017'!AA72-'2017'!AA65</f>
        <v>43.4602</v>
      </c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82"/>
    </row>
    <row r="73" spans="1:55">
      <c r="A73" s="189">
        <v>42803</v>
      </c>
      <c r="B73" s="184" t="s">
        <v>37</v>
      </c>
      <c r="C73" s="185">
        <v>61514</v>
      </c>
      <c r="D73" s="285">
        <f>9608+22640</f>
        <v>32248</v>
      </c>
      <c r="E73" s="186">
        <v>95189</v>
      </c>
      <c r="F73" s="187">
        <v>4714</v>
      </c>
      <c r="G73" s="186">
        <v>3013</v>
      </c>
      <c r="H73" s="188"/>
      <c r="I73" s="188"/>
      <c r="J73" s="214">
        <f t="shared" si="24"/>
        <v>62941</v>
      </c>
      <c r="K73" s="186">
        <v>168</v>
      </c>
      <c r="L73" s="186">
        <v>0</v>
      </c>
      <c r="M73" s="215">
        <f t="shared" si="25"/>
        <v>1259</v>
      </c>
      <c r="N73" s="216">
        <f t="shared" si="21"/>
        <v>478872</v>
      </c>
      <c r="O73" s="217">
        <f t="shared" si="23"/>
        <v>267052</v>
      </c>
      <c r="P73" s="218">
        <f t="shared" si="22"/>
        <v>755197</v>
      </c>
      <c r="Q73" s="238">
        <f t="shared" si="20"/>
        <v>3945644.3</v>
      </c>
      <c r="R73" s="217">
        <f t="shared" si="20"/>
        <v>2115655</v>
      </c>
      <c r="S73" s="239">
        <f t="shared" si="20"/>
        <v>6164715.47</v>
      </c>
      <c r="T73" s="240">
        <f>N73/'2017'!N73-1</f>
        <v>-0.244251064091699</v>
      </c>
      <c r="U73" s="241">
        <f>O73/'2017'!O73-1</f>
        <v>0.172844494413604</v>
      </c>
      <c r="V73" s="241">
        <f>P73/'2017'!P73-1</f>
        <v>-0.139702129792489</v>
      </c>
      <c r="W73" s="241">
        <f>Q73/'2017'!Q73-1</f>
        <v>0.0926583543150403</v>
      </c>
      <c r="X73" s="241">
        <f>R73/'2017'!R73-1</f>
        <v>0.242286555809547</v>
      </c>
      <c r="Y73" s="262">
        <f>S73/'2017'!S73-1</f>
        <v>0.138508401621676</v>
      </c>
      <c r="Z73" s="263"/>
      <c r="AA73" s="264">
        <f t="shared" ref="AA73:AA136" si="30">Q73/10000-Z73</f>
        <v>394.56443</v>
      </c>
      <c r="AB73" s="265"/>
      <c r="AC73" s="266"/>
      <c r="AD73" s="265">
        <f t="shared" si="26"/>
        <v>4049060.47</v>
      </c>
      <c r="AE73" s="186">
        <f t="shared" si="28"/>
        <v>20463.29</v>
      </c>
      <c r="AF73" s="186">
        <f t="shared" si="29"/>
        <v>43161.64</v>
      </c>
      <c r="AG73" s="266">
        <f t="shared" si="27"/>
        <v>39791.2399999999</v>
      </c>
      <c r="AH73" s="281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</row>
    <row r="74" spans="1:55">
      <c r="A74" s="189">
        <v>42804</v>
      </c>
      <c r="B74" s="184" t="s">
        <v>38</v>
      </c>
      <c r="C74" s="185">
        <v>62151</v>
      </c>
      <c r="D74" s="186">
        <f>9483+20824</f>
        <v>30307</v>
      </c>
      <c r="E74" s="186">
        <v>94144</v>
      </c>
      <c r="F74" s="187">
        <v>4643</v>
      </c>
      <c r="G74" s="186">
        <v>3139</v>
      </c>
      <c r="H74" s="188"/>
      <c r="I74" s="188"/>
      <c r="J74" s="214">
        <f t="shared" si="24"/>
        <v>63837</v>
      </c>
      <c r="K74" s="186">
        <v>547</v>
      </c>
      <c r="L74" s="186">
        <v>0</v>
      </c>
      <c r="M74" s="215">
        <f t="shared" si="25"/>
        <v>1139</v>
      </c>
      <c r="N74" s="216">
        <f t="shared" si="21"/>
        <v>541023</v>
      </c>
      <c r="O74" s="217">
        <f t="shared" si="23"/>
        <v>297359</v>
      </c>
      <c r="P74" s="218">
        <f t="shared" si="22"/>
        <v>849341</v>
      </c>
      <c r="Q74" s="238">
        <f t="shared" si="20"/>
        <v>4007795.3</v>
      </c>
      <c r="R74" s="217">
        <f t="shared" si="20"/>
        <v>2145962</v>
      </c>
      <c r="S74" s="239">
        <f t="shared" si="20"/>
        <v>6258859.47</v>
      </c>
      <c r="T74" s="240">
        <f>N74/'2017'!N74-1</f>
        <v>-0.228750557742174</v>
      </c>
      <c r="U74" s="241">
        <f>O74/'2017'!O74-1</f>
        <v>0.157728141656317</v>
      </c>
      <c r="V74" s="241">
        <f>P74/'2017'!P74-1</f>
        <v>-0.130496073447166</v>
      </c>
      <c r="W74" s="241">
        <f>Q74/'2017'!Q74-1</f>
        <v>0.089400351026635</v>
      </c>
      <c r="X74" s="241">
        <f>R74/'2017'!R74-1</f>
        <v>0.238876470398064</v>
      </c>
      <c r="Y74" s="262">
        <f>S74/'2017'!S74-1</f>
        <v>0.135145071518328</v>
      </c>
      <c r="Z74" s="263"/>
      <c r="AA74" s="264">
        <f t="shared" si="30"/>
        <v>400.77953</v>
      </c>
      <c r="AB74" s="265"/>
      <c r="AC74" s="266"/>
      <c r="AD74" s="265">
        <f t="shared" si="26"/>
        <v>4112897.47</v>
      </c>
      <c r="AE74" s="186">
        <f t="shared" si="28"/>
        <v>21010.29</v>
      </c>
      <c r="AF74" s="186">
        <f t="shared" si="29"/>
        <v>43161.64</v>
      </c>
      <c r="AG74" s="266">
        <f t="shared" si="27"/>
        <v>40930.2399999999</v>
      </c>
      <c r="AH74" s="281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  <c r="AS74" s="28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</row>
    <row r="75" spans="1:55">
      <c r="A75" s="189">
        <v>42805</v>
      </c>
      <c r="B75" s="184" t="s">
        <v>1</v>
      </c>
      <c r="C75" s="185">
        <v>57786</v>
      </c>
      <c r="D75" s="186">
        <f>9734+20785</f>
        <v>30519</v>
      </c>
      <c r="E75" s="186">
        <v>89735</v>
      </c>
      <c r="F75" s="187">
        <v>4331</v>
      </c>
      <c r="G75" s="186">
        <v>3080</v>
      </c>
      <c r="H75" s="188"/>
      <c r="I75" s="188"/>
      <c r="J75" s="214">
        <f t="shared" si="24"/>
        <v>59216</v>
      </c>
      <c r="K75" s="186">
        <v>260</v>
      </c>
      <c r="L75" s="186">
        <v>0</v>
      </c>
      <c r="M75" s="215">
        <f t="shared" si="25"/>
        <v>1170</v>
      </c>
      <c r="N75" s="216">
        <f t="shared" si="21"/>
        <v>598809</v>
      </c>
      <c r="O75" s="217">
        <f t="shared" si="23"/>
        <v>327878</v>
      </c>
      <c r="P75" s="218">
        <f t="shared" si="22"/>
        <v>939076</v>
      </c>
      <c r="Q75" s="238">
        <f t="shared" si="20"/>
        <v>4065581.3</v>
      </c>
      <c r="R75" s="217">
        <f t="shared" si="20"/>
        <v>2176481</v>
      </c>
      <c r="S75" s="239">
        <f t="shared" si="20"/>
        <v>6348594.47</v>
      </c>
      <c r="T75" s="240">
        <f>N75/'2017'!N75-1</f>
        <v>-0.220281491338978</v>
      </c>
      <c r="U75" s="241">
        <f>O75/'2017'!O75-1</f>
        <v>0.148881001019661</v>
      </c>
      <c r="V75" s="241">
        <f>P75/'2017'!P75-1</f>
        <v>-0.125554282947361</v>
      </c>
      <c r="W75" s="241">
        <f>Q75/'2017'!Q75-1</f>
        <v>0.08548876930468</v>
      </c>
      <c r="X75" s="241">
        <f>R75/'2017'!R75-1</f>
        <v>0.236127029418547</v>
      </c>
      <c r="Y75" s="262">
        <f>S75/'2017'!S75-1</f>
        <v>0.131493823479133</v>
      </c>
      <c r="Z75" s="263"/>
      <c r="AA75" s="264">
        <f t="shared" si="30"/>
        <v>406.55813</v>
      </c>
      <c r="AB75" s="265"/>
      <c r="AC75" s="266"/>
      <c r="AD75" s="265">
        <f t="shared" si="26"/>
        <v>4172113.47</v>
      </c>
      <c r="AE75" s="186">
        <f t="shared" si="28"/>
        <v>21270.29</v>
      </c>
      <c r="AF75" s="186">
        <f t="shared" si="29"/>
        <v>43161.64</v>
      </c>
      <c r="AG75" s="266">
        <f t="shared" si="27"/>
        <v>42100.2399999999</v>
      </c>
      <c r="AH75" s="281"/>
      <c r="AI75" s="282"/>
      <c r="AJ75" s="282"/>
      <c r="AK75" s="282"/>
      <c r="AL75" s="282"/>
      <c r="AM75" s="282"/>
      <c r="AN75" s="282"/>
      <c r="AO75" s="282"/>
      <c r="AP75" s="282"/>
      <c r="AQ75" s="282"/>
      <c r="AR75" s="282"/>
      <c r="AS75" s="28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</row>
    <row r="76" spans="1:55">
      <c r="A76" s="189">
        <v>42806</v>
      </c>
      <c r="B76" s="184" t="s">
        <v>39</v>
      </c>
      <c r="C76" s="185">
        <v>62450</v>
      </c>
      <c r="D76" s="186">
        <f>9534+20514</f>
        <v>30048</v>
      </c>
      <c r="E76" s="186">
        <v>93737</v>
      </c>
      <c r="F76" s="187">
        <v>4763</v>
      </c>
      <c r="G76" s="186">
        <v>2931</v>
      </c>
      <c r="H76" s="188"/>
      <c r="I76" s="188"/>
      <c r="J76" s="214">
        <f t="shared" si="24"/>
        <v>63689</v>
      </c>
      <c r="K76" s="186">
        <v>204</v>
      </c>
      <c r="L76" s="186">
        <v>0</v>
      </c>
      <c r="M76" s="215">
        <f t="shared" si="25"/>
        <v>1035</v>
      </c>
      <c r="N76" s="216">
        <f t="shared" si="21"/>
        <v>661259</v>
      </c>
      <c r="O76" s="217">
        <f t="shared" si="23"/>
        <v>357926</v>
      </c>
      <c r="P76" s="218">
        <f t="shared" si="22"/>
        <v>1032813</v>
      </c>
      <c r="Q76" s="238">
        <f t="shared" si="20"/>
        <v>4128031.3</v>
      </c>
      <c r="R76" s="217">
        <f t="shared" si="20"/>
        <v>2206529</v>
      </c>
      <c r="S76" s="239">
        <f t="shared" si="20"/>
        <v>6442331.47</v>
      </c>
      <c r="T76" s="240">
        <f>N76/'2017'!N76-1</f>
        <v>-0.203758090249556</v>
      </c>
      <c r="U76" s="241">
        <f>O76/'2017'!O76-1</f>
        <v>0.14004057854688</v>
      </c>
      <c r="V76" s="241">
        <f>P76/'2017'!P76-1</f>
        <v>-0.115042208048148</v>
      </c>
      <c r="W76" s="241">
        <f>Q76/'2017'!Q76-1</f>
        <v>0.0840741957863911</v>
      </c>
      <c r="X76" s="241">
        <f>R76/'2017'!R76-1</f>
        <v>0.233182771324588</v>
      </c>
      <c r="Y76" s="262">
        <f>S76/'2017'!S76-1</f>
        <v>0.129446171475882</v>
      </c>
      <c r="Z76" s="263"/>
      <c r="AA76" s="264">
        <f t="shared" si="30"/>
        <v>412.80313</v>
      </c>
      <c r="AB76" s="265"/>
      <c r="AC76" s="266"/>
      <c r="AD76" s="265">
        <f t="shared" si="26"/>
        <v>4235802.47</v>
      </c>
      <c r="AE76" s="186">
        <f t="shared" si="28"/>
        <v>21474.29</v>
      </c>
      <c r="AF76" s="186">
        <f t="shared" si="29"/>
        <v>43161.64</v>
      </c>
      <c r="AG76" s="266">
        <f t="shared" si="27"/>
        <v>43135.2399999999</v>
      </c>
      <c r="AH76" s="281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  <c r="AS76" s="28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</row>
    <row r="77" spans="1:55">
      <c r="A77" s="189">
        <v>42807</v>
      </c>
      <c r="B77" s="184" t="s">
        <v>34</v>
      </c>
      <c r="C77" s="185">
        <v>62860</v>
      </c>
      <c r="D77" s="186">
        <f>9476+21024</f>
        <v>30500</v>
      </c>
      <c r="E77" s="186">
        <v>94687</v>
      </c>
      <c r="F77" s="187">
        <v>4664</v>
      </c>
      <c r="G77" s="186">
        <v>3087</v>
      </c>
      <c r="H77" s="188"/>
      <c r="I77" s="188"/>
      <c r="J77" s="214">
        <f t="shared" si="24"/>
        <v>64187</v>
      </c>
      <c r="K77" s="186">
        <v>229</v>
      </c>
      <c r="L77" s="186">
        <v>0</v>
      </c>
      <c r="M77" s="215">
        <f t="shared" si="25"/>
        <v>1098</v>
      </c>
      <c r="N77" s="216">
        <f t="shared" si="21"/>
        <v>724119</v>
      </c>
      <c r="O77" s="217">
        <f t="shared" si="23"/>
        <v>388426</v>
      </c>
      <c r="P77" s="218">
        <f t="shared" si="22"/>
        <v>1127500</v>
      </c>
      <c r="Q77" s="238">
        <f t="shared" si="20"/>
        <v>4190891.3</v>
      </c>
      <c r="R77" s="217">
        <f t="shared" si="20"/>
        <v>2237029</v>
      </c>
      <c r="S77" s="239">
        <f t="shared" si="20"/>
        <v>6537018.47</v>
      </c>
      <c r="T77" s="240">
        <f>N77/'2017'!N77-1</f>
        <v>-0.19354878228059</v>
      </c>
      <c r="U77" s="241">
        <f>O77/'2017'!O77-1</f>
        <v>0.13347826721333</v>
      </c>
      <c r="V77" s="241">
        <f>P77/'2017'!P77-1</f>
        <v>-0.108879511816139</v>
      </c>
      <c r="W77" s="241">
        <f>Q77/'2017'!Q77-1</f>
        <v>0.0814312199697649</v>
      </c>
      <c r="X77" s="241">
        <f>R77/'2017'!R77-1</f>
        <v>0.230474108674152</v>
      </c>
      <c r="Y77" s="262">
        <f>S77/'2017'!S77-1</f>
        <v>0.126652784969373</v>
      </c>
      <c r="Z77" s="263"/>
      <c r="AA77" s="264">
        <f t="shared" si="30"/>
        <v>419.08913</v>
      </c>
      <c r="AB77" s="265"/>
      <c r="AC77" s="266"/>
      <c r="AD77" s="265">
        <f t="shared" si="26"/>
        <v>4299989.47</v>
      </c>
      <c r="AE77" s="186">
        <f t="shared" si="28"/>
        <v>21703.29</v>
      </c>
      <c r="AF77" s="186">
        <f t="shared" si="29"/>
        <v>43161.64</v>
      </c>
      <c r="AG77" s="266">
        <f t="shared" si="27"/>
        <v>44233.2399999999</v>
      </c>
      <c r="AH77" s="281"/>
      <c r="AI77" s="282"/>
      <c r="AJ77" s="282"/>
      <c r="AK77" s="282"/>
      <c r="AL77" s="282"/>
      <c r="AM77" s="282"/>
      <c r="AN77" s="282"/>
      <c r="AO77" s="282"/>
      <c r="AP77" s="282"/>
      <c r="AQ77" s="282"/>
      <c r="AR77" s="282"/>
      <c r="AS77" s="28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</row>
    <row r="78" spans="1:55">
      <c r="A78" s="189">
        <v>42808</v>
      </c>
      <c r="B78" s="184" t="s">
        <v>35</v>
      </c>
      <c r="C78" s="185">
        <v>64339</v>
      </c>
      <c r="D78" s="186">
        <f>9453+21053</f>
        <v>30506</v>
      </c>
      <c r="E78" s="186">
        <v>96077</v>
      </c>
      <c r="F78" s="187">
        <v>4833</v>
      </c>
      <c r="G78" s="186">
        <v>3091</v>
      </c>
      <c r="H78" s="188"/>
      <c r="I78" s="188"/>
      <c r="J78" s="214">
        <f t="shared" si="24"/>
        <v>65571</v>
      </c>
      <c r="K78" s="186">
        <v>467</v>
      </c>
      <c r="L78" s="186">
        <v>0</v>
      </c>
      <c r="M78" s="215">
        <f t="shared" si="25"/>
        <v>765</v>
      </c>
      <c r="N78" s="216">
        <f t="shared" si="21"/>
        <v>788458</v>
      </c>
      <c r="O78" s="217">
        <f t="shared" si="23"/>
        <v>418932</v>
      </c>
      <c r="P78" s="218">
        <f t="shared" si="22"/>
        <v>1223577</v>
      </c>
      <c r="Q78" s="238">
        <f t="shared" si="20"/>
        <v>4255230.3</v>
      </c>
      <c r="R78" s="217">
        <f t="shared" si="20"/>
        <v>2267535</v>
      </c>
      <c r="S78" s="239">
        <f t="shared" si="20"/>
        <v>6633095.47</v>
      </c>
      <c r="T78" s="240">
        <f>N78/'2017'!N78-1</f>
        <v>-0.180701132739721</v>
      </c>
      <c r="U78" s="241">
        <f>O78/'2017'!O78-1</f>
        <v>0.125725525602992</v>
      </c>
      <c r="V78" s="241">
        <f>P78/'2017'!P78-1</f>
        <v>-0.101009069428444</v>
      </c>
      <c r="W78" s="241">
        <f>Q78/'2017'!Q78-1</f>
        <v>0.0800712007349711</v>
      </c>
      <c r="X78" s="241">
        <f>R78/'2017'!R78-1</f>
        <v>0.227365802408793</v>
      </c>
      <c r="Y78" s="262">
        <f>S78/'2017'!S78-1</f>
        <v>0.124643494330419</v>
      </c>
      <c r="Z78" s="263"/>
      <c r="AA78" s="264">
        <f t="shared" si="30"/>
        <v>425.52303</v>
      </c>
      <c r="AB78" s="265"/>
      <c r="AC78" s="266"/>
      <c r="AD78" s="265">
        <f t="shared" si="26"/>
        <v>4365560.47</v>
      </c>
      <c r="AE78" s="186">
        <f t="shared" si="28"/>
        <v>22170.29</v>
      </c>
      <c r="AF78" s="186">
        <f t="shared" si="29"/>
        <v>43161.64</v>
      </c>
      <c r="AG78" s="266">
        <f t="shared" si="27"/>
        <v>44998.2399999999</v>
      </c>
      <c r="AH78" s="281"/>
      <c r="AI78" s="282"/>
      <c r="AJ78" s="282"/>
      <c r="AK78" s="282"/>
      <c r="AL78" s="282"/>
      <c r="AM78" s="282"/>
      <c r="AN78" s="282"/>
      <c r="AO78" s="282"/>
      <c r="AP78" s="282"/>
      <c r="AQ78" s="282"/>
      <c r="AR78" s="282"/>
      <c r="AS78" s="28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</row>
    <row r="79" s="163" customFormat="1" spans="1:55">
      <c r="A79" s="190">
        <v>42809</v>
      </c>
      <c r="B79" s="191" t="s">
        <v>36</v>
      </c>
      <c r="C79" s="192">
        <f>61828+3655</f>
        <v>65483</v>
      </c>
      <c r="D79" s="193">
        <f>19452+12492</f>
        <v>31944</v>
      </c>
      <c r="E79" s="193">
        <f>78748+19452</f>
        <v>98200</v>
      </c>
      <c r="F79" s="194">
        <v>5003</v>
      </c>
      <c r="G79" s="193">
        <v>3124</v>
      </c>
      <c r="H79" s="195"/>
      <c r="I79" s="195"/>
      <c r="J79" s="220">
        <f t="shared" si="24"/>
        <v>66256</v>
      </c>
      <c r="K79" s="193">
        <v>327</v>
      </c>
      <c r="L79" s="193">
        <v>0</v>
      </c>
      <c r="M79" s="221">
        <f t="shared" si="25"/>
        <v>446</v>
      </c>
      <c r="N79" s="222">
        <f t="shared" si="21"/>
        <v>853941</v>
      </c>
      <c r="O79" s="217">
        <f t="shared" si="23"/>
        <v>450876</v>
      </c>
      <c r="P79" s="224">
        <f t="shared" si="22"/>
        <v>1321777</v>
      </c>
      <c r="Q79" s="242">
        <f t="shared" si="20"/>
        <v>4320713.3</v>
      </c>
      <c r="R79" s="223">
        <f t="shared" si="20"/>
        <v>2299479</v>
      </c>
      <c r="S79" s="243">
        <f t="shared" si="20"/>
        <v>6731295.47</v>
      </c>
      <c r="T79" s="244">
        <f>N79/'2017'!N79-1</f>
        <v>-0.169513596993704</v>
      </c>
      <c r="U79" s="245">
        <f>O79/'2017'!O79-1</f>
        <v>0.123658901900777</v>
      </c>
      <c r="V79" s="245">
        <f>P79/'2017'!P79-1</f>
        <v>-0.0934432267343567</v>
      </c>
      <c r="W79" s="245">
        <f>Q79/'2017'!Q79-1</f>
        <v>0.0786538311807772</v>
      </c>
      <c r="X79" s="245">
        <f>R79/'2017'!R79-1</f>
        <v>0.225347091592534</v>
      </c>
      <c r="Y79" s="267">
        <f>S79/'2017'!S79-1</f>
        <v>0.12283382668307</v>
      </c>
      <c r="Z79" s="268">
        <v>17.59</v>
      </c>
      <c r="AA79" s="269">
        <f t="shared" si="30"/>
        <v>414.48133</v>
      </c>
      <c r="AB79" s="270">
        <v>4269.48</v>
      </c>
      <c r="AC79" s="221">
        <f t="shared" ref="AC79:AC135" si="31">AA79*10000/AB79</f>
        <v>970.800495610707</v>
      </c>
      <c r="AD79" s="270">
        <f t="shared" si="26"/>
        <v>4431816.47</v>
      </c>
      <c r="AE79" s="193">
        <f t="shared" si="28"/>
        <v>22497.29</v>
      </c>
      <c r="AF79" s="193">
        <f t="shared" si="29"/>
        <v>43161.64</v>
      </c>
      <c r="AG79" s="221">
        <f t="shared" si="27"/>
        <v>45444.2399999999</v>
      </c>
      <c r="AH79" s="281"/>
      <c r="AI79" s="282"/>
      <c r="AJ79" s="282"/>
      <c r="AK79" s="282"/>
      <c r="AL79" s="282"/>
      <c r="AM79" s="282"/>
      <c r="AN79" s="282"/>
      <c r="AO79" s="282"/>
      <c r="AP79" s="282"/>
      <c r="AQ79" s="282"/>
      <c r="AR79" s="282"/>
      <c r="AS79" s="28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</row>
    <row r="80" spans="1:55">
      <c r="A80" s="189">
        <v>42810</v>
      </c>
      <c r="B80" s="184" t="s">
        <v>37</v>
      </c>
      <c r="C80" s="185">
        <f>65153+4296</f>
        <v>69449</v>
      </c>
      <c r="D80" s="186">
        <f>18088+13334</f>
        <v>31422</v>
      </c>
      <c r="E80" s="186">
        <f>83759+18088</f>
        <v>101847</v>
      </c>
      <c r="F80" s="187">
        <v>5254</v>
      </c>
      <c r="G80" s="186">
        <v>3154</v>
      </c>
      <c r="H80" s="188"/>
      <c r="I80" s="188"/>
      <c r="J80" s="214">
        <f t="shared" si="24"/>
        <v>70425</v>
      </c>
      <c r="K80" s="186">
        <v>561</v>
      </c>
      <c r="L80" s="186">
        <v>0</v>
      </c>
      <c r="M80" s="215">
        <f t="shared" si="25"/>
        <v>415</v>
      </c>
      <c r="N80" s="216">
        <f t="shared" si="21"/>
        <v>923390</v>
      </c>
      <c r="O80" s="217">
        <f t="shared" si="23"/>
        <v>482298</v>
      </c>
      <c r="P80" s="218">
        <f t="shared" si="22"/>
        <v>1423624</v>
      </c>
      <c r="Q80" s="238">
        <f t="shared" si="20"/>
        <v>4390162.3</v>
      </c>
      <c r="R80" s="217">
        <f t="shared" si="20"/>
        <v>2330901</v>
      </c>
      <c r="S80" s="239">
        <f t="shared" si="20"/>
        <v>6833142.47</v>
      </c>
      <c r="T80" s="240">
        <f>N80/'2017'!N80-1</f>
        <v>-0.157460126281981</v>
      </c>
      <c r="U80" s="241">
        <f>O80/'2017'!O80-1</f>
        <v>0.118776879288508</v>
      </c>
      <c r="V80" s="241">
        <f>P80/'2017'!P80-1</f>
        <v>-0.0859885615669678</v>
      </c>
      <c r="W80" s="241">
        <f>Q80/'2017'!Q80-1</f>
        <v>0.0777712010796991</v>
      </c>
      <c r="X80" s="241">
        <f>R80/'2017'!R80-1</f>
        <v>0.222651645928964</v>
      </c>
      <c r="Y80" s="262">
        <f>S80/'2017'!S80-1</f>
        <v>0.12120668981588</v>
      </c>
      <c r="Z80" s="263"/>
      <c r="AA80" s="264">
        <f t="shared" si="30"/>
        <v>439.01623</v>
      </c>
      <c r="AB80" s="265"/>
      <c r="AC80" s="266"/>
      <c r="AD80" s="265">
        <f t="shared" si="26"/>
        <v>4502241.47</v>
      </c>
      <c r="AE80" s="186">
        <f t="shared" si="28"/>
        <v>23058.29</v>
      </c>
      <c r="AF80" s="186">
        <f t="shared" si="29"/>
        <v>43161.64</v>
      </c>
      <c r="AG80" s="266">
        <f t="shared" si="27"/>
        <v>45859.2399999999</v>
      </c>
      <c r="AH80" s="281"/>
      <c r="AI80" s="282"/>
      <c r="AJ80" s="282"/>
      <c r="AK80" s="282"/>
      <c r="AL80" s="282"/>
      <c r="AM80" s="282"/>
      <c r="AN80" s="282"/>
      <c r="AO80" s="282"/>
      <c r="AP80" s="282"/>
      <c r="AQ80" s="282"/>
      <c r="AR80" s="282"/>
      <c r="AS80" s="28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</row>
    <row r="81" spans="1:55">
      <c r="A81" s="189">
        <v>42811</v>
      </c>
      <c r="B81" s="184" t="s">
        <v>38</v>
      </c>
      <c r="C81" s="185">
        <f>60541+4041</f>
        <v>64582</v>
      </c>
      <c r="D81" s="186">
        <f>21102+12965</f>
        <v>34067</v>
      </c>
      <c r="E81" s="186">
        <f>78674+21102</f>
        <v>99776</v>
      </c>
      <c r="F81" s="187">
        <v>5035</v>
      </c>
      <c r="G81" s="186">
        <v>3278</v>
      </c>
      <c r="H81" s="188"/>
      <c r="I81" s="188"/>
      <c r="J81" s="214">
        <f t="shared" si="24"/>
        <v>65709</v>
      </c>
      <c r="K81" s="186">
        <v>324</v>
      </c>
      <c r="L81" s="186">
        <v>0</v>
      </c>
      <c r="M81" s="215">
        <f t="shared" si="25"/>
        <v>803</v>
      </c>
      <c r="N81" s="216">
        <f t="shared" si="21"/>
        <v>987972</v>
      </c>
      <c r="O81" s="217">
        <f t="shared" si="23"/>
        <v>516365</v>
      </c>
      <c r="P81" s="218">
        <f t="shared" si="22"/>
        <v>1523400</v>
      </c>
      <c r="Q81" s="238">
        <f t="shared" si="20"/>
        <v>4454744.3</v>
      </c>
      <c r="R81" s="217">
        <f t="shared" si="20"/>
        <v>2364968</v>
      </c>
      <c r="S81" s="239">
        <f t="shared" si="20"/>
        <v>6932918.47</v>
      </c>
      <c r="T81" s="240">
        <f>N81/'2017'!N81-1</f>
        <v>-0.15101528731385</v>
      </c>
      <c r="U81" s="241">
        <f>O81/'2017'!O81-1</f>
        <v>0.121033835198593</v>
      </c>
      <c r="V81" s="241">
        <f>P81/'2017'!P81-1</f>
        <v>-0.0809371376446556</v>
      </c>
      <c r="W81" s="241">
        <f>Q81/'2017'!Q81-1</f>
        <v>0.0757338304688935</v>
      </c>
      <c r="X81" s="241">
        <f>R81/'2017'!R81-1</f>
        <v>0.221604667884328</v>
      </c>
      <c r="Y81" s="262">
        <f>S81/'2017'!S81-1</f>
        <v>0.119213470133924</v>
      </c>
      <c r="Z81" s="263"/>
      <c r="AA81" s="264">
        <f t="shared" si="30"/>
        <v>445.47443</v>
      </c>
      <c r="AB81" s="265"/>
      <c r="AC81" s="266"/>
      <c r="AD81" s="265">
        <f t="shared" si="26"/>
        <v>4567950.47</v>
      </c>
      <c r="AE81" s="186">
        <f>AE80+K82</f>
        <v>23282.29</v>
      </c>
      <c r="AF81" s="186">
        <f t="shared" si="29"/>
        <v>43161.64</v>
      </c>
      <c r="AG81" s="266">
        <f t="shared" si="27"/>
        <v>46762.2399999999</v>
      </c>
      <c r="AH81" s="281"/>
      <c r="AI81" s="282"/>
      <c r="AJ81" s="282"/>
      <c r="AK81" s="282"/>
      <c r="AL81" s="282"/>
      <c r="AM81" s="282"/>
      <c r="AN81" s="282"/>
      <c r="AO81" s="282"/>
      <c r="AP81" s="282"/>
      <c r="AQ81" s="282"/>
      <c r="AR81" s="282"/>
      <c r="AS81" s="28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</row>
    <row r="82" spans="1:55">
      <c r="A82" s="189">
        <v>42812</v>
      </c>
      <c r="B82" s="184" t="s">
        <v>1</v>
      </c>
      <c r="C82" s="185">
        <v>61547</v>
      </c>
      <c r="D82" s="186">
        <f>9697+24421</f>
        <v>34118</v>
      </c>
      <c r="E82" s="186">
        <v>96336</v>
      </c>
      <c r="F82" s="187">
        <v>4800</v>
      </c>
      <c r="G82" s="186">
        <v>3179</v>
      </c>
      <c r="H82" s="188"/>
      <c r="I82" s="188"/>
      <c r="J82" s="214">
        <f t="shared" si="24"/>
        <v>62218</v>
      </c>
      <c r="K82" s="186">
        <v>224</v>
      </c>
      <c r="L82" s="186">
        <v>0</v>
      </c>
      <c r="M82" s="215">
        <f t="shared" ref="M82:M85" si="32">J82-K82-L82-C82</f>
        <v>447</v>
      </c>
      <c r="N82" s="216">
        <f t="shared" si="21"/>
        <v>1049519</v>
      </c>
      <c r="O82" s="217">
        <f t="shared" si="23"/>
        <v>550483</v>
      </c>
      <c r="P82" s="218">
        <f t="shared" si="22"/>
        <v>1619736</v>
      </c>
      <c r="Q82" s="238">
        <f t="shared" si="20"/>
        <v>4516291.3</v>
      </c>
      <c r="R82" s="217">
        <f t="shared" si="20"/>
        <v>2399086</v>
      </c>
      <c r="S82" s="239">
        <f t="shared" si="20"/>
        <v>7029254.47</v>
      </c>
      <c r="T82" s="240">
        <f>N82/'2017'!N82-1</f>
        <v>-0.146864999012349</v>
      </c>
      <c r="U82" s="241">
        <f>O82/'2017'!O82-1</f>
        <v>0.123606674490994</v>
      </c>
      <c r="V82" s="241">
        <f>P82/'2017'!P82-1</f>
        <v>-0.0778149305601024</v>
      </c>
      <c r="W82" s="241">
        <f>Q82/'2017'!Q82-1</f>
        <v>0.0733645807097092</v>
      </c>
      <c r="X82" s="241">
        <f>R82/'2017'!R82-1</f>
        <v>0.220746139700457</v>
      </c>
      <c r="Y82" s="262">
        <f>S82/'2017'!S82-1</f>
        <v>0.116940959850754</v>
      </c>
      <c r="Z82" s="263"/>
      <c r="AA82" s="264">
        <f t="shared" si="30"/>
        <v>451.62913</v>
      </c>
      <c r="AB82" s="265"/>
      <c r="AC82" s="266"/>
      <c r="AD82" s="265">
        <f t="shared" si="26"/>
        <v>4630168.47</v>
      </c>
      <c r="AE82" s="186">
        <f>AE81+K83</f>
        <v>24083.29</v>
      </c>
      <c r="AF82" s="186">
        <f t="shared" si="29"/>
        <v>43161.64</v>
      </c>
      <c r="AG82" s="266">
        <f t="shared" si="27"/>
        <v>46632.2399999999</v>
      </c>
      <c r="AH82" s="281"/>
      <c r="AI82" s="282"/>
      <c r="AJ82" s="282"/>
      <c r="AK82" s="282"/>
      <c r="AL82" s="282"/>
      <c r="AM82" s="282"/>
      <c r="AN82" s="282"/>
      <c r="AO82" s="282"/>
      <c r="AP82" s="282"/>
      <c r="AQ82" s="282"/>
      <c r="AR82" s="282"/>
      <c r="AS82" s="28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</row>
    <row r="83" spans="1:55">
      <c r="A83" s="189">
        <v>42813</v>
      </c>
      <c r="B83" s="184" t="s">
        <v>39</v>
      </c>
      <c r="C83" s="185">
        <v>67766</v>
      </c>
      <c r="D83" s="186">
        <f>9782+23617</f>
        <v>33399</v>
      </c>
      <c r="E83" s="186">
        <v>102190</v>
      </c>
      <c r="F83" s="187">
        <v>5275</v>
      </c>
      <c r="G83" s="186">
        <v>3099</v>
      </c>
      <c r="H83" s="188"/>
      <c r="I83" s="188"/>
      <c r="J83" s="214">
        <f t="shared" si="24"/>
        <v>68791</v>
      </c>
      <c r="K83" s="186">
        <v>801</v>
      </c>
      <c r="L83" s="186">
        <v>0</v>
      </c>
      <c r="M83" s="215">
        <f t="shared" si="32"/>
        <v>224</v>
      </c>
      <c r="N83" s="216">
        <f t="shared" si="21"/>
        <v>1117285</v>
      </c>
      <c r="O83" s="217">
        <f t="shared" si="23"/>
        <v>583882</v>
      </c>
      <c r="P83" s="218">
        <f t="shared" si="22"/>
        <v>1721926</v>
      </c>
      <c r="Q83" s="238">
        <f t="shared" si="20"/>
        <v>4584057.3</v>
      </c>
      <c r="R83" s="217">
        <f t="shared" si="20"/>
        <v>2432485</v>
      </c>
      <c r="S83" s="239">
        <f t="shared" si="20"/>
        <v>7131444.47</v>
      </c>
      <c r="T83" s="240">
        <f>N83/'2017'!N83-1</f>
        <v>-0.137302274871709</v>
      </c>
      <c r="U83" s="241">
        <f>O83/'2017'!O83-1</f>
        <v>0.131620055429579</v>
      </c>
      <c r="V83" s="241">
        <f>P83/'2017'!P83-1</f>
        <v>-0.0693710472241529</v>
      </c>
      <c r="W83" s="241">
        <f>Q83/'2017'!Q83-1</f>
        <v>0.0729171953362613</v>
      </c>
      <c r="X83" s="241">
        <f>R83/'2017'!R83-1</f>
        <v>0.221551975662216</v>
      </c>
      <c r="Y83" s="262">
        <f>S83/'2017'!S83-1</f>
        <v>0.116524756629807</v>
      </c>
      <c r="Z83" s="263"/>
      <c r="AA83" s="264">
        <f t="shared" si="30"/>
        <v>458.40573</v>
      </c>
      <c r="AB83" s="265"/>
      <c r="AC83" s="266"/>
      <c r="AD83" s="265">
        <f t="shared" si="26"/>
        <v>4698959.47</v>
      </c>
      <c r="AE83" s="186">
        <f>AE82+K84</f>
        <v>24830.29</v>
      </c>
      <c r="AF83" s="186">
        <f t="shared" si="29"/>
        <v>43161.64</v>
      </c>
      <c r="AG83" s="266">
        <f t="shared" si="27"/>
        <v>46910.2399999999</v>
      </c>
      <c r="AH83" s="281"/>
      <c r="AI83" s="282"/>
      <c r="AJ83" s="282"/>
      <c r="AK83" s="282"/>
      <c r="AL83" s="282"/>
      <c r="AM83" s="282"/>
      <c r="AN83" s="282"/>
      <c r="AO83" s="282"/>
      <c r="AP83" s="282"/>
      <c r="AQ83" s="282"/>
      <c r="AR83" s="282"/>
      <c r="AS83" s="28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</row>
    <row r="84" spans="1:55">
      <c r="A84" s="189">
        <v>42814</v>
      </c>
      <c r="B84" s="184" t="s">
        <v>34</v>
      </c>
      <c r="C84" s="185">
        <v>69479</v>
      </c>
      <c r="D84" s="186">
        <f>9794+24310</f>
        <v>34104</v>
      </c>
      <c r="E84" s="186">
        <v>104759</v>
      </c>
      <c r="F84" s="187">
        <v>5404</v>
      </c>
      <c r="G84" s="186">
        <v>3264</v>
      </c>
      <c r="H84" s="188"/>
      <c r="I84" s="188"/>
      <c r="J84" s="214">
        <f t="shared" si="24"/>
        <v>70655</v>
      </c>
      <c r="K84" s="186">
        <v>747</v>
      </c>
      <c r="L84" s="186">
        <v>0</v>
      </c>
      <c r="M84" s="215">
        <f t="shared" si="32"/>
        <v>429</v>
      </c>
      <c r="N84" s="216">
        <f t="shared" si="21"/>
        <v>1186764</v>
      </c>
      <c r="O84" s="217">
        <f t="shared" si="23"/>
        <v>617986</v>
      </c>
      <c r="P84" s="218">
        <f t="shared" si="22"/>
        <v>1826685</v>
      </c>
      <c r="Q84" s="238">
        <f t="shared" si="20"/>
        <v>4653536.3</v>
      </c>
      <c r="R84" s="217">
        <f t="shared" si="20"/>
        <v>2466589</v>
      </c>
      <c r="S84" s="239">
        <f t="shared" si="20"/>
        <v>7236203.47</v>
      </c>
      <c r="T84" s="240">
        <f>N84/'2017'!N84-1</f>
        <v>-0.128251160604102</v>
      </c>
      <c r="U84" s="241">
        <f>O84/'2017'!O84-1</f>
        <v>0.136599137415742</v>
      </c>
      <c r="V84" s="241">
        <f>P84/'2017'!P84-1</f>
        <v>-0.0616577156902782</v>
      </c>
      <c r="W84" s="241">
        <f>Q84/'2017'!Q84-1</f>
        <v>0.0725470315868133</v>
      </c>
      <c r="X84" s="241">
        <f>R84/'2017'!R84-1</f>
        <v>0.221656995461236</v>
      </c>
      <c r="Y84" s="262">
        <f>S84/'2017'!S84-1</f>
        <v>0.11607580449365</v>
      </c>
      <c r="Z84" s="263"/>
      <c r="AA84" s="264">
        <f t="shared" si="30"/>
        <v>465.35363</v>
      </c>
      <c r="AB84" s="265"/>
      <c r="AC84" s="266"/>
      <c r="AD84" s="265">
        <f t="shared" si="26"/>
        <v>4769614.47</v>
      </c>
      <c r="AE84" s="186">
        <f>AE83+K85</f>
        <v>25593.29</v>
      </c>
      <c r="AF84" s="186">
        <f t="shared" si="29"/>
        <v>43161.64</v>
      </c>
      <c r="AG84" s="266">
        <f t="shared" si="27"/>
        <v>47323.2399999999</v>
      </c>
      <c r="AH84" s="281"/>
      <c r="AI84" s="282"/>
      <c r="AJ84" s="282"/>
      <c r="AK84" s="282"/>
      <c r="AL84" s="282"/>
      <c r="AM84" s="282"/>
      <c r="AN84" s="282"/>
      <c r="AO84" s="282"/>
      <c r="AP84" s="282"/>
      <c r="AQ84" s="282"/>
      <c r="AR84" s="282"/>
      <c r="AS84" s="28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</row>
    <row r="85" spans="1:55">
      <c r="A85" s="189">
        <v>42815</v>
      </c>
      <c r="B85" s="184" t="s">
        <v>35</v>
      </c>
      <c r="C85" s="185">
        <v>67600</v>
      </c>
      <c r="D85" s="186">
        <f>9797+26705</f>
        <v>36502</v>
      </c>
      <c r="E85" s="186">
        <v>105649</v>
      </c>
      <c r="F85" s="187">
        <v>5387</v>
      </c>
      <c r="G85" s="186">
        <v>3289</v>
      </c>
      <c r="H85" s="188"/>
      <c r="I85" s="188"/>
      <c r="J85" s="214">
        <f t="shared" si="24"/>
        <v>69147</v>
      </c>
      <c r="K85" s="186">
        <v>763</v>
      </c>
      <c r="L85" s="186">
        <v>0</v>
      </c>
      <c r="M85" s="215">
        <f t="shared" si="32"/>
        <v>784</v>
      </c>
      <c r="N85" s="216">
        <f t="shared" si="21"/>
        <v>1254364</v>
      </c>
      <c r="O85" s="217">
        <f t="shared" si="23"/>
        <v>654488</v>
      </c>
      <c r="P85" s="218">
        <f t="shared" si="22"/>
        <v>1932334</v>
      </c>
      <c r="Q85" s="238">
        <f t="shared" si="20"/>
        <v>4721136.3</v>
      </c>
      <c r="R85" s="217">
        <f t="shared" si="20"/>
        <v>2503091</v>
      </c>
      <c r="S85" s="239">
        <f t="shared" si="20"/>
        <v>7341852.47</v>
      </c>
      <c r="T85" s="240">
        <f>N85/'2017'!N85-1</f>
        <v>-0.120107015566219</v>
      </c>
      <c r="U85" s="241">
        <f>O85/'2017'!O85-1</f>
        <v>0.14478218130044</v>
      </c>
      <c r="V85" s="241">
        <f>P85/'2017'!P85-1</f>
        <v>-0.0536917517437809</v>
      </c>
      <c r="W85" s="241">
        <f>Q85/'2017'!Q85-1</f>
        <v>0.0722548492818864</v>
      </c>
      <c r="X85" s="241">
        <f>R85/'2017'!R85-1</f>
        <v>0.222779012345076</v>
      </c>
      <c r="Y85" s="262">
        <f>S85/'2017'!S85-1</f>
        <v>0.115974887931221</v>
      </c>
      <c r="Z85" s="263"/>
      <c r="AA85" s="264">
        <f t="shared" si="30"/>
        <v>472.11363</v>
      </c>
      <c r="AB85" s="265"/>
      <c r="AC85" s="266"/>
      <c r="AD85" s="265">
        <f t="shared" si="26"/>
        <v>4838761.47</v>
      </c>
      <c r="AE85" s="186">
        <f>AE84+K86</f>
        <v>26158.29</v>
      </c>
      <c r="AF85" s="186">
        <f t="shared" si="29"/>
        <v>43161.64</v>
      </c>
      <c r="AG85" s="266">
        <f t="shared" si="27"/>
        <v>48305.2399999999</v>
      </c>
      <c r="AH85" s="281"/>
      <c r="AI85" s="282"/>
      <c r="AJ85" s="282"/>
      <c r="AK85" s="282"/>
      <c r="AL85" s="282"/>
      <c r="AM85" s="282"/>
      <c r="AN85" s="282"/>
      <c r="AO85" s="282"/>
      <c r="AP85" s="282"/>
      <c r="AQ85" s="282"/>
      <c r="AR85" s="282"/>
      <c r="AS85" s="28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</row>
    <row r="86" s="163" customFormat="1" spans="1:55">
      <c r="A86" s="190">
        <v>42816</v>
      </c>
      <c r="B86" s="191" t="s">
        <v>36</v>
      </c>
      <c r="C86" s="192">
        <f>62391+4281</f>
        <v>66672</v>
      </c>
      <c r="D86" s="193">
        <f>21247+12927</f>
        <v>34174</v>
      </c>
      <c r="E86" s="193">
        <f>81354+21247</f>
        <v>102601</v>
      </c>
      <c r="F86" s="194">
        <v>5026</v>
      </c>
      <c r="G86" s="193">
        <v>3447</v>
      </c>
      <c r="H86" s="195"/>
      <c r="I86" s="195"/>
      <c r="J86" s="220">
        <f t="shared" si="24"/>
        <v>68427</v>
      </c>
      <c r="K86" s="193">
        <v>565</v>
      </c>
      <c r="L86" s="193">
        <v>0</v>
      </c>
      <c r="M86" s="221">
        <f t="shared" si="25"/>
        <v>1190</v>
      </c>
      <c r="N86" s="222">
        <f t="shared" si="21"/>
        <v>1321036</v>
      </c>
      <c r="O86" s="217">
        <f t="shared" si="23"/>
        <v>688662</v>
      </c>
      <c r="P86" s="224">
        <f t="shared" si="22"/>
        <v>2034935</v>
      </c>
      <c r="Q86" s="242">
        <f t="shared" si="20"/>
        <v>4787808.3</v>
      </c>
      <c r="R86" s="223">
        <f t="shared" si="20"/>
        <v>2537265</v>
      </c>
      <c r="S86" s="243">
        <f t="shared" si="20"/>
        <v>7444453.47</v>
      </c>
      <c r="T86" s="244">
        <f>N86/'2017'!N86-1</f>
        <v>-0.115161209081507</v>
      </c>
      <c r="U86" s="245">
        <f>O86/'2017'!O86-1</f>
        <v>0.147584473843395</v>
      </c>
      <c r="V86" s="245">
        <f>P86/'2017'!P86-1</f>
        <v>-0.0494262742298939</v>
      </c>
      <c r="W86" s="245">
        <f>Q86/'2017'!Q86-1</f>
        <v>0.0710071690292267</v>
      </c>
      <c r="X86" s="245">
        <f>R86/'2017'!R86-1</f>
        <v>0.222522614547126</v>
      </c>
      <c r="Y86" s="267">
        <f>S86/'2017'!S86-1</f>
        <v>0.11483269017136</v>
      </c>
      <c r="Z86" s="268">
        <v>20.5</v>
      </c>
      <c r="AA86" s="269">
        <f t="shared" si="30"/>
        <v>458.28083</v>
      </c>
      <c r="AB86" s="270">
        <v>4269.48</v>
      </c>
      <c r="AC86" s="221">
        <f t="shared" si="31"/>
        <v>1073.38793014606</v>
      </c>
      <c r="AD86" s="270">
        <f t="shared" si="26"/>
        <v>4907188.47</v>
      </c>
      <c r="AE86" s="193">
        <f t="shared" si="28"/>
        <v>26723.29</v>
      </c>
      <c r="AF86" s="193">
        <f t="shared" si="29"/>
        <v>43161.64</v>
      </c>
      <c r="AG86" s="221">
        <f t="shared" si="27"/>
        <v>49495.2399999999</v>
      </c>
      <c r="AH86" s="281"/>
      <c r="AI86" s="282"/>
      <c r="AJ86" s="282"/>
      <c r="AK86" s="282"/>
      <c r="AL86" s="282"/>
      <c r="AM86" s="282"/>
      <c r="AN86" s="282"/>
      <c r="AO86" s="282"/>
      <c r="AP86" s="282"/>
      <c r="AQ86" s="282"/>
      <c r="AR86" s="282"/>
      <c r="AS86" s="28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</row>
    <row r="87" spans="1:55">
      <c r="A87" s="189">
        <v>42817</v>
      </c>
      <c r="B87" s="184" t="s">
        <v>37</v>
      </c>
      <c r="C87" s="185">
        <f>61804+4776</f>
        <v>66580</v>
      </c>
      <c r="D87" s="186">
        <f>20127+12844</f>
        <v>32971</v>
      </c>
      <c r="E87" s="186">
        <f>81394+20127</f>
        <v>101521</v>
      </c>
      <c r="F87" s="187">
        <v>4933</v>
      </c>
      <c r="G87" s="186">
        <v>3414</v>
      </c>
      <c r="H87" s="188"/>
      <c r="I87" s="188"/>
      <c r="J87" s="214">
        <f t="shared" si="24"/>
        <v>68550</v>
      </c>
      <c r="K87" s="186">
        <v>878</v>
      </c>
      <c r="L87" s="186">
        <v>0</v>
      </c>
      <c r="M87" s="215">
        <f t="shared" si="25"/>
        <v>1092</v>
      </c>
      <c r="N87" s="216">
        <f t="shared" si="21"/>
        <v>1387616</v>
      </c>
      <c r="O87" s="217">
        <f t="shared" si="23"/>
        <v>721633</v>
      </c>
      <c r="P87" s="218">
        <f t="shared" si="22"/>
        <v>2136456</v>
      </c>
      <c r="Q87" s="238">
        <f t="shared" si="20"/>
        <v>4854388.3</v>
      </c>
      <c r="R87" s="217">
        <f t="shared" si="20"/>
        <v>2570236</v>
      </c>
      <c r="S87" s="239">
        <f t="shared" si="20"/>
        <v>7545974.47</v>
      </c>
      <c r="T87" s="240">
        <f>N87/'2017'!N87-1</f>
        <v>-0.110677008227873</v>
      </c>
      <c r="U87" s="241">
        <f>O87/'2017'!O87-1</f>
        <v>0.149853327108433</v>
      </c>
      <c r="V87" s="241">
        <f>P87/'2017'!P87-1</f>
        <v>-0.0455394075476536</v>
      </c>
      <c r="W87" s="241">
        <f>Q87/'2017'!Q87-1</f>
        <v>0.0697864052933115</v>
      </c>
      <c r="X87" s="241">
        <f>R87/'2017'!R87-1</f>
        <v>0.222220108762846</v>
      </c>
      <c r="Y87" s="262">
        <f>S87/'2017'!S87-1</f>
        <v>0.113749479135125</v>
      </c>
      <c r="Z87" s="263"/>
      <c r="AA87" s="264">
        <f t="shared" si="30"/>
        <v>485.43883</v>
      </c>
      <c r="AB87" s="265"/>
      <c r="AC87" s="266"/>
      <c r="AD87" s="265">
        <f t="shared" si="26"/>
        <v>4975738.47</v>
      </c>
      <c r="AE87" s="186">
        <f t="shared" si="28"/>
        <v>27601.29</v>
      </c>
      <c r="AF87" s="186">
        <f t="shared" ref="AF87:AF102" si="33">AF86+L87</f>
        <v>43161.64</v>
      </c>
      <c r="AG87" s="266">
        <f t="shared" si="27"/>
        <v>50587.2399999999</v>
      </c>
      <c r="AH87" s="281"/>
      <c r="AI87" s="282"/>
      <c r="AJ87" s="282"/>
      <c r="AK87" s="282"/>
      <c r="AL87" s="282"/>
      <c r="AM87" s="282"/>
      <c r="AN87" s="282"/>
      <c r="AO87" s="282"/>
      <c r="AP87" s="282"/>
      <c r="AQ87" s="282"/>
      <c r="AR87" s="282"/>
      <c r="AS87" s="28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</row>
    <row r="88" spans="1:55">
      <c r="A88" s="189">
        <v>42818</v>
      </c>
      <c r="B88" s="184" t="s">
        <v>38</v>
      </c>
      <c r="C88" s="185">
        <f>61288+3566</f>
        <v>64854</v>
      </c>
      <c r="D88" s="186">
        <f>20683+12543</f>
        <v>33226</v>
      </c>
      <c r="E88" s="186">
        <f>78947+20683</f>
        <v>99630</v>
      </c>
      <c r="F88" s="187">
        <v>4816</v>
      </c>
      <c r="G88" s="186">
        <v>3360</v>
      </c>
      <c r="H88" s="188"/>
      <c r="I88" s="188"/>
      <c r="J88" s="214">
        <f t="shared" si="24"/>
        <v>66404</v>
      </c>
      <c r="K88" s="186">
        <v>659</v>
      </c>
      <c r="L88" s="186">
        <v>0</v>
      </c>
      <c r="M88" s="215">
        <f t="shared" si="25"/>
        <v>891</v>
      </c>
      <c r="N88" s="216">
        <f t="shared" si="21"/>
        <v>1452470</v>
      </c>
      <c r="O88" s="217">
        <f t="shared" si="23"/>
        <v>754859</v>
      </c>
      <c r="P88" s="218">
        <f t="shared" si="22"/>
        <v>2236086</v>
      </c>
      <c r="Q88" s="238">
        <f t="shared" si="20"/>
        <v>4919242.3</v>
      </c>
      <c r="R88" s="217">
        <f t="shared" si="20"/>
        <v>2603462</v>
      </c>
      <c r="S88" s="239">
        <f t="shared" si="20"/>
        <v>7645604.47</v>
      </c>
      <c r="T88" s="240">
        <f>N88/'2017'!N88-1</f>
        <v>-0.109081362639897</v>
      </c>
      <c r="U88" s="241">
        <f>O88/'2017'!O88-1</f>
        <v>0.151285868109678</v>
      </c>
      <c r="V88" s="241">
        <f>P88/'2017'!P88-1</f>
        <v>-0.0436307444637717</v>
      </c>
      <c r="W88" s="241">
        <f>Q88/'2017'!Q88-1</f>
        <v>0.0676093949270307</v>
      </c>
      <c r="X88" s="241">
        <f>R88/'2017'!R88-1</f>
        <v>0.221707336873763</v>
      </c>
      <c r="Y88" s="262">
        <f>S88/'2017'!S88-1</f>
        <v>0.112088426300972</v>
      </c>
      <c r="Z88" s="263"/>
      <c r="AA88" s="264">
        <f t="shared" si="30"/>
        <v>491.92423</v>
      </c>
      <c r="AB88" s="265"/>
      <c r="AC88" s="266"/>
      <c r="AD88" s="265">
        <f t="shared" si="26"/>
        <v>5042142.47</v>
      </c>
      <c r="AE88" s="186">
        <f t="shared" si="28"/>
        <v>28260.29</v>
      </c>
      <c r="AF88" s="186">
        <f t="shared" si="33"/>
        <v>43161.64</v>
      </c>
      <c r="AG88" s="266">
        <f t="shared" si="27"/>
        <v>51478.2399999999</v>
      </c>
      <c r="AH88" s="281"/>
      <c r="AI88" s="282"/>
      <c r="AJ88" s="282"/>
      <c r="AK88" s="282"/>
      <c r="AL88" s="282"/>
      <c r="AM88" s="282"/>
      <c r="AN88" s="282"/>
      <c r="AO88" s="282"/>
      <c r="AP88" s="282"/>
      <c r="AQ88" s="282"/>
      <c r="AR88" s="282"/>
      <c r="AS88" s="28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</row>
    <row r="89" spans="1:55">
      <c r="A89" s="189">
        <v>42819</v>
      </c>
      <c r="B89" s="184" t="s">
        <v>1</v>
      </c>
      <c r="C89" s="185">
        <v>63228</v>
      </c>
      <c r="D89" s="186">
        <f>9605+22651</f>
        <v>32256</v>
      </c>
      <c r="E89" s="186">
        <v>96260</v>
      </c>
      <c r="F89" s="187">
        <v>4763</v>
      </c>
      <c r="G89" s="186">
        <v>3270</v>
      </c>
      <c r="H89" s="188"/>
      <c r="I89" s="188"/>
      <c r="J89" s="214">
        <f t="shared" si="24"/>
        <v>64004</v>
      </c>
      <c r="K89" s="186">
        <v>231</v>
      </c>
      <c r="L89" s="186">
        <v>0</v>
      </c>
      <c r="M89" s="215">
        <f t="shared" si="25"/>
        <v>545</v>
      </c>
      <c r="N89" s="216">
        <f t="shared" si="21"/>
        <v>1515698</v>
      </c>
      <c r="O89" s="217">
        <f t="shared" si="23"/>
        <v>787115</v>
      </c>
      <c r="P89" s="218">
        <f t="shared" si="22"/>
        <v>2332346</v>
      </c>
      <c r="Q89" s="238">
        <f t="shared" si="20"/>
        <v>4982470.3</v>
      </c>
      <c r="R89" s="217">
        <f t="shared" si="20"/>
        <v>2635718</v>
      </c>
      <c r="S89" s="239">
        <f t="shared" si="20"/>
        <v>7741864.47</v>
      </c>
      <c r="T89" s="240">
        <f>N89/'2017'!N89-1</f>
        <v>-0.106491898758802</v>
      </c>
      <c r="U89" s="241">
        <f>O89/'2017'!O89-1</f>
        <v>0.153113096982127</v>
      </c>
      <c r="V89" s="241">
        <f>P89/'2017'!P89-1</f>
        <v>-0.041263929823696</v>
      </c>
      <c r="W89" s="241">
        <f>Q89/'2017'!Q89-1</f>
        <v>0.0660526477768955</v>
      </c>
      <c r="X89" s="241">
        <f>R89/'2017'!R89-1</f>
        <v>0.221406370992295</v>
      </c>
      <c r="Y89" s="262">
        <f>S89/'2017'!S89-1</f>
        <v>0.110800259986563</v>
      </c>
      <c r="Z89" s="263">
        <v>21.66</v>
      </c>
      <c r="AA89" s="264">
        <f t="shared" si="30"/>
        <v>476.58703</v>
      </c>
      <c r="AB89" s="265">
        <v>4269.48</v>
      </c>
      <c r="AC89" s="266">
        <f t="shared" si="31"/>
        <v>1116.26481445047</v>
      </c>
      <c r="AD89" s="265">
        <f t="shared" si="26"/>
        <v>5106146.47</v>
      </c>
      <c r="AE89" s="186">
        <f t="shared" si="28"/>
        <v>28491.29</v>
      </c>
      <c r="AF89" s="186">
        <f t="shared" si="33"/>
        <v>43161.64</v>
      </c>
      <c r="AG89" s="266">
        <f t="shared" si="27"/>
        <v>52023.2399999999</v>
      </c>
      <c r="AH89" s="281"/>
      <c r="AI89" s="282"/>
      <c r="AJ89" s="282"/>
      <c r="AK89" s="282"/>
      <c r="AL89" s="282"/>
      <c r="AM89" s="282"/>
      <c r="AN89" s="282"/>
      <c r="AO89" s="282"/>
      <c r="AP89" s="282"/>
      <c r="AQ89" s="282"/>
      <c r="AR89" s="282"/>
      <c r="AS89" s="28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</row>
    <row r="90" spans="1:55">
      <c r="A90" s="189">
        <v>42820</v>
      </c>
      <c r="B90" s="184" t="s">
        <v>39</v>
      </c>
      <c r="C90" s="185">
        <v>67800</v>
      </c>
      <c r="D90" s="186">
        <f>9732+22713</f>
        <v>32445</v>
      </c>
      <c r="E90" s="186">
        <v>101441</v>
      </c>
      <c r="F90" s="187">
        <v>5182</v>
      </c>
      <c r="G90" s="186">
        <v>3209</v>
      </c>
      <c r="H90" s="188"/>
      <c r="I90" s="188"/>
      <c r="J90" s="214">
        <f t="shared" si="24"/>
        <v>68996</v>
      </c>
      <c r="K90" s="186">
        <v>653</v>
      </c>
      <c r="L90" s="186">
        <v>0</v>
      </c>
      <c r="M90" s="215">
        <f t="shared" si="25"/>
        <v>543</v>
      </c>
      <c r="N90" s="216">
        <f t="shared" si="21"/>
        <v>1583498</v>
      </c>
      <c r="O90" s="217">
        <f t="shared" si="23"/>
        <v>819560</v>
      </c>
      <c r="P90" s="218">
        <f t="shared" si="22"/>
        <v>2433787</v>
      </c>
      <c r="Q90" s="238">
        <f t="shared" si="20"/>
        <v>5050270.3</v>
      </c>
      <c r="R90" s="217">
        <f t="shared" si="20"/>
        <v>2668163</v>
      </c>
      <c r="S90" s="239">
        <f t="shared" si="20"/>
        <v>7843305.47</v>
      </c>
      <c r="T90" s="240">
        <f>N90/'2017'!N90-1</f>
        <v>-0.098249628280203</v>
      </c>
      <c r="U90" s="241">
        <f>O90/'2017'!O90-1</f>
        <v>0.155141235452558</v>
      </c>
      <c r="V90" s="241">
        <f>P90/'2017'!P90-1</f>
        <v>-0.0346941608560799</v>
      </c>
      <c r="W90" s="241">
        <f>Q90/'2017'!Q90-1</f>
        <v>0.0669348491690074</v>
      </c>
      <c r="X90" s="241">
        <f>R90/'2017'!R90-1</f>
        <v>0.221224481949592</v>
      </c>
      <c r="Y90" s="262">
        <f>S90/'2017'!S90-1</f>
        <v>0.111239730600937</v>
      </c>
      <c r="Z90" s="263">
        <v>22.11</v>
      </c>
      <c r="AA90" s="264">
        <f t="shared" si="30"/>
        <v>482.91703</v>
      </c>
      <c r="AB90" s="265"/>
      <c r="AC90" s="266"/>
      <c r="AD90" s="265">
        <f t="shared" si="26"/>
        <v>5175142.47</v>
      </c>
      <c r="AE90" s="186">
        <f t="shared" si="28"/>
        <v>29144.29</v>
      </c>
      <c r="AF90" s="186">
        <f t="shared" si="33"/>
        <v>43161.64</v>
      </c>
      <c r="AG90" s="266">
        <f t="shared" si="27"/>
        <v>52566.2399999999</v>
      </c>
      <c r="AH90" s="281"/>
      <c r="AI90" s="282"/>
      <c r="AJ90" s="282"/>
      <c r="AK90" s="282"/>
      <c r="AL90" s="282"/>
      <c r="AM90" s="282"/>
      <c r="AN90" s="282"/>
      <c r="AO90" s="282"/>
      <c r="AP90" s="282"/>
      <c r="AQ90" s="282"/>
      <c r="AR90" s="282"/>
      <c r="AS90" s="28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</row>
    <row r="91" spans="1:55">
      <c r="A91" s="189">
        <v>42821</v>
      </c>
      <c r="B91" s="184" t="s">
        <v>34</v>
      </c>
      <c r="C91" s="185">
        <v>68939</v>
      </c>
      <c r="D91" s="186">
        <f>9795+21218</f>
        <v>31013</v>
      </c>
      <c r="E91" s="186">
        <v>101194</v>
      </c>
      <c r="F91" s="187">
        <v>4966</v>
      </c>
      <c r="G91" s="186">
        <v>3377</v>
      </c>
      <c r="H91" s="188"/>
      <c r="I91" s="188"/>
      <c r="J91" s="214">
        <f t="shared" si="24"/>
        <v>70181</v>
      </c>
      <c r="K91" s="186">
        <v>247</v>
      </c>
      <c r="L91" s="186">
        <v>0</v>
      </c>
      <c r="M91" s="215">
        <f t="shared" si="25"/>
        <v>995</v>
      </c>
      <c r="N91" s="216">
        <f t="shared" si="21"/>
        <v>1652437</v>
      </c>
      <c r="O91" s="217">
        <f t="shared" si="23"/>
        <v>850573</v>
      </c>
      <c r="P91" s="218">
        <f t="shared" si="22"/>
        <v>2534981</v>
      </c>
      <c r="Q91" s="238">
        <f t="shared" si="20"/>
        <v>5119209.3</v>
      </c>
      <c r="R91" s="217">
        <f t="shared" si="20"/>
        <v>2699176</v>
      </c>
      <c r="S91" s="239">
        <f t="shared" si="20"/>
        <v>7944499.47</v>
      </c>
      <c r="T91" s="240">
        <f>N91/'2017'!N91-1</f>
        <v>-0.0906606045397714</v>
      </c>
      <c r="U91" s="241">
        <f>O91/'2017'!O91-1</f>
        <v>0.152437999956643</v>
      </c>
      <c r="V91" s="241">
        <f>P91/'2017'!P91-1</f>
        <v>-0.0301456705339977</v>
      </c>
      <c r="W91" s="241">
        <f>Q91/'2017'!Q91-1</f>
        <v>0.0677041456754268</v>
      </c>
      <c r="X91" s="241">
        <f>R91/'2017'!R91-1</f>
        <v>0.219469946927827</v>
      </c>
      <c r="Y91" s="262">
        <f>S91/'2017'!S91-1</f>
        <v>0.111014249208934</v>
      </c>
      <c r="Z91" s="263"/>
      <c r="AA91" s="264">
        <f t="shared" si="30"/>
        <v>511.92093</v>
      </c>
      <c r="AB91" s="265"/>
      <c r="AC91" s="266"/>
      <c r="AD91" s="265">
        <f t="shared" si="26"/>
        <v>5245323.47</v>
      </c>
      <c r="AE91" s="186">
        <f t="shared" si="28"/>
        <v>29391.29</v>
      </c>
      <c r="AF91" s="186">
        <f t="shared" si="33"/>
        <v>43161.64</v>
      </c>
      <c r="AG91" s="266">
        <f t="shared" si="27"/>
        <v>53561.2399999999</v>
      </c>
      <c r="AH91" s="281"/>
      <c r="AI91" s="282"/>
      <c r="AJ91" s="282"/>
      <c r="AK91" s="282"/>
      <c r="AL91" s="282"/>
      <c r="AM91" s="282"/>
      <c r="AN91" s="282"/>
      <c r="AO91" s="282"/>
      <c r="AP91" s="282"/>
      <c r="AQ91" s="282"/>
      <c r="AR91" s="282"/>
      <c r="AS91" s="28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</row>
    <row r="92" spans="1:55">
      <c r="A92" s="189">
        <v>42822</v>
      </c>
      <c r="B92" s="184" t="s">
        <v>35</v>
      </c>
      <c r="C92" s="185">
        <v>67264</v>
      </c>
      <c r="D92" s="186">
        <f>9997+21430</f>
        <v>31427</v>
      </c>
      <c r="E92" s="186">
        <v>100421</v>
      </c>
      <c r="F92" s="187">
        <v>4878</v>
      </c>
      <c r="G92" s="186">
        <v>3380</v>
      </c>
      <c r="H92" s="188"/>
      <c r="I92" s="188"/>
      <c r="J92" s="214">
        <f t="shared" si="24"/>
        <v>68994</v>
      </c>
      <c r="K92" s="186">
        <v>588</v>
      </c>
      <c r="L92" s="186">
        <v>0</v>
      </c>
      <c r="M92" s="215">
        <f t="shared" si="25"/>
        <v>1142</v>
      </c>
      <c r="N92" s="216">
        <f t="shared" si="21"/>
        <v>1719701</v>
      </c>
      <c r="O92" s="217">
        <f t="shared" si="23"/>
        <v>882000</v>
      </c>
      <c r="P92" s="218">
        <f t="shared" si="22"/>
        <v>2635402</v>
      </c>
      <c r="Q92" s="238">
        <f t="shared" si="20"/>
        <v>5186473.3</v>
      </c>
      <c r="R92" s="217">
        <f t="shared" si="20"/>
        <v>2730603</v>
      </c>
      <c r="S92" s="239">
        <f t="shared" si="20"/>
        <v>8044920.47</v>
      </c>
      <c r="T92" s="240">
        <f>N92/'2017'!N92-1</f>
        <v>-0.0862156640302238</v>
      </c>
      <c r="U92" s="241">
        <f>O92/'2017'!O92-1</f>
        <v>0.152838701919306</v>
      </c>
      <c r="V92" s="241">
        <f>P92/'2017'!P92-1</f>
        <v>-0.026866211745244</v>
      </c>
      <c r="W92" s="241">
        <f>Q92/'2017'!Q92-1</f>
        <v>0.0673147399185989</v>
      </c>
      <c r="X92" s="241">
        <f>R92/'2017'!R92-1</f>
        <v>0.218798833246667</v>
      </c>
      <c r="Y92" s="262">
        <f>S92/'2017'!S92-1</f>
        <v>0.110401130586522</v>
      </c>
      <c r="Z92" s="263"/>
      <c r="AA92" s="264">
        <f t="shared" si="30"/>
        <v>518.64733</v>
      </c>
      <c r="AB92" s="265"/>
      <c r="AC92" s="266"/>
      <c r="AD92" s="265">
        <f t="shared" si="26"/>
        <v>5314317.47</v>
      </c>
      <c r="AE92" s="186">
        <f t="shared" si="28"/>
        <v>29979.29</v>
      </c>
      <c r="AF92" s="186">
        <f t="shared" si="33"/>
        <v>43161.64</v>
      </c>
      <c r="AG92" s="266">
        <f t="shared" si="27"/>
        <v>54703.2399999999</v>
      </c>
      <c r="AH92" s="281"/>
      <c r="AI92" s="282"/>
      <c r="AJ92" s="282"/>
      <c r="AK92" s="282"/>
      <c r="AL92" s="282"/>
      <c r="AM92" s="282"/>
      <c r="AN92" s="282"/>
      <c r="AO92" s="282"/>
      <c r="AP92" s="282"/>
      <c r="AQ92" s="282"/>
      <c r="AR92" s="282"/>
      <c r="AS92" s="28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</row>
    <row r="93" s="163" customFormat="1" spans="1:55">
      <c r="A93" s="190">
        <v>42823</v>
      </c>
      <c r="B93" s="191" t="s">
        <v>36</v>
      </c>
      <c r="C93" s="192">
        <f>64114+4466</f>
        <v>68580</v>
      </c>
      <c r="D93" s="193">
        <f>17348+13602</f>
        <v>30950</v>
      </c>
      <c r="E93" s="193">
        <f>83750+17348</f>
        <v>101098</v>
      </c>
      <c r="F93" s="194">
        <v>4911</v>
      </c>
      <c r="G93" s="193">
        <v>3368</v>
      </c>
      <c r="H93" s="195"/>
      <c r="I93" s="195"/>
      <c r="J93" s="220">
        <f t="shared" si="24"/>
        <v>70148</v>
      </c>
      <c r="K93" s="193">
        <v>571</v>
      </c>
      <c r="L93" s="193">
        <v>0</v>
      </c>
      <c r="M93" s="221">
        <f t="shared" si="25"/>
        <v>997</v>
      </c>
      <c r="N93" s="222">
        <f t="shared" si="21"/>
        <v>1788281</v>
      </c>
      <c r="O93" s="217">
        <f t="shared" si="23"/>
        <v>912950</v>
      </c>
      <c r="P93" s="224">
        <f t="shared" si="22"/>
        <v>2736500</v>
      </c>
      <c r="Q93" s="242">
        <f t="shared" si="20"/>
        <v>5255053.3</v>
      </c>
      <c r="R93" s="223">
        <f t="shared" si="20"/>
        <v>2761553</v>
      </c>
      <c r="S93" s="243">
        <f t="shared" si="20"/>
        <v>8146018.47</v>
      </c>
      <c r="T93" s="244">
        <f>N93/'2017'!N93-1</f>
        <v>-0.0796535553345973</v>
      </c>
      <c r="U93" s="245">
        <f>O93/'2017'!O93-1</f>
        <v>0.149101939609057</v>
      </c>
      <c r="V93" s="245">
        <f>P93/'2017'!P93-1</f>
        <v>-0.0233057486656782</v>
      </c>
      <c r="W93" s="245">
        <f>Q93/'2017'!Q93-1</f>
        <v>0.0679996899153796</v>
      </c>
      <c r="X93" s="245">
        <f>R93/'2017'!R93-1</f>
        <v>0.216635893396281</v>
      </c>
      <c r="Y93" s="267">
        <f>S93/'2017'!S93-1</f>
        <v>0.110008998100072</v>
      </c>
      <c r="Z93" s="268">
        <v>23.59</v>
      </c>
      <c r="AA93" s="269">
        <f t="shared" si="30"/>
        <v>501.91533</v>
      </c>
      <c r="AB93" s="270">
        <v>4269.48</v>
      </c>
      <c r="AC93" s="221">
        <f t="shared" si="31"/>
        <v>1175.58890075606</v>
      </c>
      <c r="AD93" s="270">
        <f t="shared" si="26"/>
        <v>5384465.47</v>
      </c>
      <c r="AE93" s="193">
        <f t="shared" si="28"/>
        <v>30550.29</v>
      </c>
      <c r="AF93" s="193">
        <f t="shared" si="33"/>
        <v>43161.64</v>
      </c>
      <c r="AG93" s="221">
        <f t="shared" si="27"/>
        <v>55700.2399999999</v>
      </c>
      <c r="AH93" s="281"/>
      <c r="AI93" s="282"/>
      <c r="AJ93" s="282"/>
      <c r="AK93" s="282"/>
      <c r="AL93" s="282"/>
      <c r="AM93" s="282"/>
      <c r="AN93" s="282"/>
      <c r="AO93" s="282"/>
      <c r="AP93" s="282"/>
      <c r="AQ93" s="282"/>
      <c r="AR93" s="282"/>
      <c r="AS93" s="28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</row>
    <row r="94" spans="1:55">
      <c r="A94" s="189">
        <v>42824</v>
      </c>
      <c r="B94" s="184" t="s">
        <v>37</v>
      </c>
      <c r="C94" s="185">
        <v>68728</v>
      </c>
      <c r="D94" s="186">
        <f>20180+10938</f>
        <v>31118</v>
      </c>
      <c r="E94" s="186">
        <v>101478</v>
      </c>
      <c r="F94" s="187">
        <v>4972.2</v>
      </c>
      <c r="G94" s="186">
        <v>3372.3</v>
      </c>
      <c r="H94" s="188"/>
      <c r="I94" s="188"/>
      <c r="J94" s="214">
        <f t="shared" si="24"/>
        <v>70360</v>
      </c>
      <c r="K94" s="186">
        <v>506</v>
      </c>
      <c r="L94" s="186">
        <v>0</v>
      </c>
      <c r="M94" s="215">
        <f t="shared" si="25"/>
        <v>1126</v>
      </c>
      <c r="N94" s="216">
        <f t="shared" si="21"/>
        <v>1857009</v>
      </c>
      <c r="O94" s="217">
        <f t="shared" si="23"/>
        <v>944068</v>
      </c>
      <c r="P94" s="218">
        <f t="shared" si="22"/>
        <v>2837978</v>
      </c>
      <c r="Q94" s="238">
        <f t="shared" si="20"/>
        <v>5323781.3</v>
      </c>
      <c r="R94" s="217">
        <f t="shared" si="20"/>
        <v>2792671</v>
      </c>
      <c r="S94" s="239">
        <f t="shared" si="20"/>
        <v>8247496.47</v>
      </c>
      <c r="T94" s="240">
        <f>N94/'2017'!N94-1</f>
        <v>-0.0743672755276754</v>
      </c>
      <c r="U94" s="241">
        <f>O94/'2017'!O94-1</f>
        <v>0.145685784325623</v>
      </c>
      <c r="V94" s="241">
        <f>P94/'2017'!P94-1</f>
        <v>-0.0207534253192755</v>
      </c>
      <c r="W94" s="241">
        <f>Q94/'2017'!Q94-1</f>
        <v>0.0682566550388051</v>
      </c>
      <c r="X94" s="241">
        <f>R94/'2017'!R94-1</f>
        <v>0.214544326957493</v>
      </c>
      <c r="Y94" s="262">
        <f>S94/'2017'!S94-1</f>
        <v>0.109276690000243</v>
      </c>
      <c r="Z94" s="263"/>
      <c r="AA94" s="264">
        <f t="shared" si="30"/>
        <v>532.37813</v>
      </c>
      <c r="AB94" s="265"/>
      <c r="AC94" s="266"/>
      <c r="AD94" s="265">
        <f t="shared" si="26"/>
        <v>5454825.47</v>
      </c>
      <c r="AE94" s="186">
        <f t="shared" si="28"/>
        <v>31056.29</v>
      </c>
      <c r="AF94" s="186">
        <f t="shared" si="33"/>
        <v>43161.64</v>
      </c>
      <c r="AG94" s="266">
        <f t="shared" si="27"/>
        <v>56826.2399999999</v>
      </c>
      <c r="AH94" s="281"/>
      <c r="AI94" s="282"/>
      <c r="AJ94" s="282"/>
      <c r="AK94" s="282"/>
      <c r="AL94" s="282"/>
      <c r="AM94" s="282"/>
      <c r="AN94" s="282"/>
      <c r="AO94" s="282"/>
      <c r="AP94" s="282"/>
      <c r="AQ94" s="282"/>
      <c r="AR94" s="282"/>
      <c r="AS94" s="28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</row>
    <row r="95" spans="1:55">
      <c r="A95" s="204">
        <v>42825</v>
      </c>
      <c r="B95" s="197" t="s">
        <v>38</v>
      </c>
      <c r="C95" s="198">
        <v>66290</v>
      </c>
      <c r="D95" s="199">
        <f>20421+10969</f>
        <v>31390</v>
      </c>
      <c r="E95" s="199">
        <v>98986</v>
      </c>
      <c r="F95" s="200">
        <v>4793.1</v>
      </c>
      <c r="G95" s="199">
        <v>3386.7</v>
      </c>
      <c r="H95" s="201"/>
      <c r="I95" s="201"/>
      <c r="J95" s="226">
        <f t="shared" si="24"/>
        <v>67596</v>
      </c>
      <c r="K95" s="199">
        <v>170</v>
      </c>
      <c r="L95" s="199">
        <v>0</v>
      </c>
      <c r="M95" s="227">
        <f t="shared" si="25"/>
        <v>1136</v>
      </c>
      <c r="N95" s="228">
        <f t="shared" si="21"/>
        <v>1923299</v>
      </c>
      <c r="O95" s="229">
        <f t="shared" si="23"/>
        <v>975458</v>
      </c>
      <c r="P95" s="233">
        <f t="shared" si="22"/>
        <v>2936964</v>
      </c>
      <c r="Q95" s="246">
        <f t="shared" si="20"/>
        <v>5390071.3</v>
      </c>
      <c r="R95" s="229">
        <f t="shared" ref="R95:S95" si="34">R$63+O95</f>
        <v>2824061</v>
      </c>
      <c r="S95" s="247">
        <f t="shared" si="34"/>
        <v>8346482.47</v>
      </c>
      <c r="T95" s="248">
        <f>N95/'2017'!N95-1</f>
        <v>-0.0711142914020931</v>
      </c>
      <c r="U95" s="249">
        <f>O95/'2017'!O95-1</f>
        <v>0.144747898173488</v>
      </c>
      <c r="V95" s="249">
        <f>P95/'2017'!P95-1</f>
        <v>-0.0187892305369096</v>
      </c>
      <c r="W95" s="286">
        <f>Q95/'2017'!Q95-1</f>
        <v>0.0677731177592507</v>
      </c>
      <c r="X95" s="249">
        <f>R95/'2017'!R95-1</f>
        <v>0.213369722181286</v>
      </c>
      <c r="Y95" s="287">
        <f>S95/'2017'!S95-1</f>
        <v>0.108415608997401</v>
      </c>
      <c r="Z95" s="273"/>
      <c r="AA95" s="274">
        <f t="shared" si="30"/>
        <v>539.00713</v>
      </c>
      <c r="AB95" s="275"/>
      <c r="AC95" s="276"/>
      <c r="AD95" s="275">
        <f t="shared" si="26"/>
        <v>5522421.47</v>
      </c>
      <c r="AE95" s="199">
        <f t="shared" si="28"/>
        <v>31226.29</v>
      </c>
      <c r="AF95" s="199">
        <f t="shared" si="33"/>
        <v>43161.64</v>
      </c>
      <c r="AG95" s="276">
        <f t="shared" si="27"/>
        <v>57962.2399999999</v>
      </c>
      <c r="AH95" s="281"/>
      <c r="AI95" s="282"/>
      <c r="AJ95" s="282"/>
      <c r="AK95" s="282"/>
      <c r="AL95" s="282"/>
      <c r="AM95" s="282"/>
      <c r="AN95" s="282"/>
      <c r="AO95" s="282"/>
      <c r="AP95" s="282"/>
      <c r="AQ95" s="282"/>
      <c r="AR95" s="282"/>
      <c r="AS95" s="28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</row>
    <row r="96" spans="1:55">
      <c r="A96" s="189">
        <v>42826</v>
      </c>
      <c r="B96" s="184" t="s">
        <v>1</v>
      </c>
      <c r="C96" s="185">
        <v>64756</v>
      </c>
      <c r="D96" s="186">
        <f>17305+11294</f>
        <v>28599</v>
      </c>
      <c r="E96" s="186">
        <v>94516</v>
      </c>
      <c r="F96" s="187">
        <v>4485.8</v>
      </c>
      <c r="G96" s="186">
        <v>3270.9</v>
      </c>
      <c r="H96" s="188"/>
      <c r="I96" s="188"/>
      <c r="J96" s="214">
        <f t="shared" si="24"/>
        <v>65917</v>
      </c>
      <c r="K96" s="186">
        <v>129</v>
      </c>
      <c r="L96" s="186">
        <v>0</v>
      </c>
      <c r="M96" s="215">
        <f t="shared" si="25"/>
        <v>1032</v>
      </c>
      <c r="N96" s="216">
        <f>C96</f>
        <v>64756</v>
      </c>
      <c r="O96" s="217">
        <f>D96</f>
        <v>28599</v>
      </c>
      <c r="P96" s="218">
        <f>E96</f>
        <v>94516</v>
      </c>
      <c r="Q96" s="238">
        <f>N96+Q$95</f>
        <v>5454827.3</v>
      </c>
      <c r="R96" s="217">
        <f>O96+R$95</f>
        <v>2852660</v>
      </c>
      <c r="S96" s="239">
        <f>P96+S$95</f>
        <v>8440998.47</v>
      </c>
      <c r="T96" s="240">
        <f>N96/'2017'!N96-1</f>
        <v>0.0868383068712026</v>
      </c>
      <c r="U96" s="241">
        <f>O96/'2017'!O96-1</f>
        <v>-0.0317239978331527</v>
      </c>
      <c r="V96" s="241">
        <f>P96/'2017'!P96-1</f>
        <v>0.0199971941335808</v>
      </c>
      <c r="W96" s="241">
        <f>Q96/'2017'!Q96-1</f>
        <v>0.0679955227975304</v>
      </c>
      <c r="X96" s="241">
        <f>R96/'2017'!R96-1</f>
        <v>0.210298393416346</v>
      </c>
      <c r="Y96" s="262">
        <f>S96/'2017'!S96-1</f>
        <v>0.107340786974565</v>
      </c>
      <c r="Z96" s="263"/>
      <c r="AA96" s="264">
        <f t="shared" si="30"/>
        <v>545.48273</v>
      </c>
      <c r="AB96" s="265"/>
      <c r="AC96" s="266"/>
      <c r="AD96" s="265">
        <f t="shared" si="26"/>
        <v>5588338.47</v>
      </c>
      <c r="AE96" s="186">
        <f t="shared" si="28"/>
        <v>31355.29</v>
      </c>
      <c r="AF96" s="186">
        <f t="shared" si="33"/>
        <v>43161.64</v>
      </c>
      <c r="AG96" s="266">
        <f t="shared" si="27"/>
        <v>58994.239999999</v>
      </c>
      <c r="AH96" s="281"/>
      <c r="AI96" s="282"/>
      <c r="AJ96" s="282"/>
      <c r="AK96" s="282"/>
      <c r="AL96" s="282"/>
      <c r="AM96" s="282"/>
      <c r="AN96" s="282"/>
      <c r="AO96" s="282"/>
      <c r="AP96" s="282"/>
      <c r="AQ96" s="282"/>
      <c r="AR96" s="282"/>
      <c r="AS96" s="28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</row>
    <row r="97" spans="1:55">
      <c r="A97" s="189">
        <v>42827</v>
      </c>
      <c r="B97" s="184" t="s">
        <v>39</v>
      </c>
      <c r="C97" s="185">
        <f>66811+4405</f>
        <v>71216</v>
      </c>
      <c r="D97" s="186">
        <f>14882+14627</f>
        <v>29509</v>
      </c>
      <c r="E97" s="186">
        <f>86991+14882</f>
        <v>101873</v>
      </c>
      <c r="F97" s="187">
        <v>5056</v>
      </c>
      <c r="G97" s="186">
        <v>3210</v>
      </c>
      <c r="H97" s="188"/>
      <c r="I97" s="188"/>
      <c r="J97" s="214">
        <f t="shared" si="24"/>
        <v>72364</v>
      </c>
      <c r="K97" s="186">
        <v>231</v>
      </c>
      <c r="L97" s="186">
        <v>0</v>
      </c>
      <c r="M97" s="215">
        <f t="shared" si="25"/>
        <v>917</v>
      </c>
      <c r="N97" s="216">
        <f t="shared" ref="N97:P112" si="35">N96+C97</f>
        <v>135972</v>
      </c>
      <c r="O97" s="219">
        <f t="shared" si="35"/>
        <v>58108</v>
      </c>
      <c r="P97" s="218">
        <f t="shared" si="35"/>
        <v>196389</v>
      </c>
      <c r="Q97" s="238">
        <f t="shared" ref="Q97:S124" si="36">N97+Q$95</f>
        <v>5526043.3</v>
      </c>
      <c r="R97" s="217">
        <f t="shared" si="36"/>
        <v>2882169</v>
      </c>
      <c r="S97" s="239">
        <f t="shared" si="36"/>
        <v>8542871.47</v>
      </c>
      <c r="T97" s="240">
        <f>N97/'2017'!N97-1</f>
        <v>0.151846298508221</v>
      </c>
      <c r="U97" s="241">
        <f>O97/'2017'!O97-1</f>
        <v>0.017190071070966</v>
      </c>
      <c r="V97" s="241">
        <f>P97/'2017'!P97-1</f>
        <v>0.0802653509133815</v>
      </c>
      <c r="W97" s="241">
        <f>Q97/'2017'!Q97-1</f>
        <v>0.0696942524386372</v>
      </c>
      <c r="X97" s="241">
        <f>R97/'2017'!R97-1</f>
        <v>0.208669958093232</v>
      </c>
      <c r="Y97" s="262">
        <f>S97/'2017'!S97-1</f>
        <v>0.107752006875119</v>
      </c>
      <c r="Z97" s="263"/>
      <c r="AA97" s="264">
        <f t="shared" si="30"/>
        <v>552.60433</v>
      </c>
      <c r="AB97" s="265"/>
      <c r="AC97" s="266"/>
      <c r="AD97" s="265">
        <f t="shared" si="26"/>
        <v>5660702.47</v>
      </c>
      <c r="AE97" s="186">
        <f t="shared" si="28"/>
        <v>31586.29</v>
      </c>
      <c r="AF97" s="186">
        <f t="shared" si="33"/>
        <v>43161.64</v>
      </c>
      <c r="AG97" s="266">
        <f t="shared" si="27"/>
        <v>59911.239999999</v>
      </c>
      <c r="AH97" s="281"/>
      <c r="AI97" s="282"/>
      <c r="AJ97" s="282"/>
      <c r="AK97" s="282"/>
      <c r="AL97" s="282"/>
      <c r="AM97" s="282"/>
      <c r="AN97" s="282"/>
      <c r="AO97" s="282"/>
      <c r="AP97" s="282"/>
      <c r="AQ97" s="282"/>
      <c r="AR97" s="282"/>
      <c r="AS97" s="28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</row>
    <row r="98" spans="1:55">
      <c r="A98" s="189">
        <v>42828</v>
      </c>
      <c r="B98" s="184" t="s">
        <v>34</v>
      </c>
      <c r="C98" s="185">
        <v>71651</v>
      </c>
      <c r="D98" s="186">
        <f>11142+18118</f>
        <v>29260</v>
      </c>
      <c r="E98" s="186">
        <f>87128+15024</f>
        <v>102152</v>
      </c>
      <c r="F98" s="187">
        <v>4973</v>
      </c>
      <c r="G98" s="186">
        <v>3387</v>
      </c>
      <c r="H98" s="188"/>
      <c r="I98" s="188"/>
      <c r="J98" s="214">
        <f t="shared" si="24"/>
        <v>72892</v>
      </c>
      <c r="K98" s="186">
        <v>203</v>
      </c>
      <c r="L98" s="186">
        <v>0</v>
      </c>
      <c r="M98" s="215">
        <f t="shared" si="25"/>
        <v>1038</v>
      </c>
      <c r="N98" s="216">
        <f t="shared" si="35"/>
        <v>207623</v>
      </c>
      <c r="O98" s="219">
        <f t="shared" si="35"/>
        <v>87368</v>
      </c>
      <c r="P98" s="218">
        <f t="shared" si="35"/>
        <v>298541</v>
      </c>
      <c r="Q98" s="238">
        <f t="shared" si="36"/>
        <v>5597694.3</v>
      </c>
      <c r="R98" s="217">
        <f t="shared" si="36"/>
        <v>2911429</v>
      </c>
      <c r="S98" s="239">
        <f t="shared" si="36"/>
        <v>8645023.47</v>
      </c>
      <c r="T98" s="240">
        <f>N98/'2017'!N98-1</f>
        <v>0.204009440800728</v>
      </c>
      <c r="U98" s="241">
        <f>O98/'2017'!O98-1</f>
        <v>0.0555642813130519</v>
      </c>
      <c r="V98" s="241">
        <f>P98/'2017'!P98-1</f>
        <v>0.125673520329096</v>
      </c>
      <c r="W98" s="241">
        <f>Q98/'2017'!Q98-1</f>
        <v>0.0722733488736409</v>
      </c>
      <c r="X98" s="241">
        <f>R98/'2017'!R98-1</f>
        <v>0.207950553932376</v>
      </c>
      <c r="Y98" s="262">
        <f>S98/'2017'!S98-1</f>
        <v>0.109002755143803</v>
      </c>
      <c r="Z98" s="263"/>
      <c r="AA98" s="264">
        <f t="shared" si="30"/>
        <v>559.76943</v>
      </c>
      <c r="AB98" s="265"/>
      <c r="AC98" s="266"/>
      <c r="AD98" s="265">
        <f t="shared" si="26"/>
        <v>5733594.47</v>
      </c>
      <c r="AE98" s="186">
        <f t="shared" si="28"/>
        <v>31789.29</v>
      </c>
      <c r="AF98" s="186">
        <f t="shared" si="33"/>
        <v>43161.64</v>
      </c>
      <c r="AG98" s="266">
        <f t="shared" si="27"/>
        <v>60949.239999999</v>
      </c>
      <c r="AH98" s="281"/>
      <c r="AI98" s="282"/>
      <c r="AJ98" s="282"/>
      <c r="AK98" s="282"/>
      <c r="AL98" s="282"/>
      <c r="AM98" s="282"/>
      <c r="AN98" s="282"/>
      <c r="AO98" s="282"/>
      <c r="AP98" s="282"/>
      <c r="AQ98" s="282"/>
      <c r="AR98" s="282"/>
      <c r="AS98" s="28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</row>
    <row r="99" spans="1:55">
      <c r="A99" s="189">
        <v>42829</v>
      </c>
      <c r="B99" s="184" t="s">
        <v>35</v>
      </c>
      <c r="C99" s="185">
        <f>66172+4239</f>
        <v>70411</v>
      </c>
      <c r="D99" s="186">
        <f>15432+14235</f>
        <v>29667</v>
      </c>
      <c r="E99" s="186">
        <f>85608+15432</f>
        <v>101040</v>
      </c>
      <c r="F99" s="187">
        <v>5130</v>
      </c>
      <c r="G99" s="186">
        <v>3383</v>
      </c>
      <c r="H99" s="188"/>
      <c r="I99" s="188"/>
      <c r="J99" s="214">
        <f t="shared" si="24"/>
        <v>71373</v>
      </c>
      <c r="K99" s="186">
        <v>433</v>
      </c>
      <c r="L99" s="186">
        <v>0</v>
      </c>
      <c r="M99" s="215">
        <f t="shared" si="25"/>
        <v>529</v>
      </c>
      <c r="N99" s="216">
        <f t="shared" si="35"/>
        <v>278034</v>
      </c>
      <c r="O99" s="219">
        <f t="shared" si="35"/>
        <v>117035</v>
      </c>
      <c r="P99" s="218">
        <f t="shared" si="35"/>
        <v>399581</v>
      </c>
      <c r="Q99" s="238">
        <f t="shared" si="36"/>
        <v>5668105.3</v>
      </c>
      <c r="R99" s="217">
        <f t="shared" si="36"/>
        <v>2941096</v>
      </c>
      <c r="S99" s="239">
        <f t="shared" si="36"/>
        <v>8746063.47</v>
      </c>
      <c r="T99" s="240">
        <f>N99/'2017'!N99-1</f>
        <v>0.276163898158051</v>
      </c>
      <c r="U99" s="241">
        <f>O99/'2017'!O99-1</f>
        <v>0.10765663448798</v>
      </c>
      <c r="V99" s="241">
        <f>P99/'2017'!P99-1</f>
        <v>0.191846973411839</v>
      </c>
      <c r="W99" s="241">
        <f>Q99/'2017'!Q99-1</f>
        <v>0.0763950326082099</v>
      </c>
      <c r="X99" s="241">
        <f>R99/'2017'!R99-1</f>
        <v>0.208779041499511</v>
      </c>
      <c r="Y99" s="262">
        <f>S99/'2017'!S99-1</f>
        <v>0.1119718800733</v>
      </c>
      <c r="Z99" s="263"/>
      <c r="AA99" s="264">
        <f t="shared" si="30"/>
        <v>566.81053</v>
      </c>
      <c r="AB99" s="265"/>
      <c r="AC99" s="266"/>
      <c r="AD99" s="265">
        <f t="shared" si="26"/>
        <v>5804967.47</v>
      </c>
      <c r="AE99" s="186">
        <f t="shared" si="28"/>
        <v>32222.29</v>
      </c>
      <c r="AF99" s="186">
        <f t="shared" si="33"/>
        <v>43161.64</v>
      </c>
      <c r="AG99" s="266">
        <f t="shared" si="27"/>
        <v>61478.239999999</v>
      </c>
      <c r="AH99" s="281"/>
      <c r="AI99" s="282"/>
      <c r="AJ99" s="282"/>
      <c r="AK99" s="282"/>
      <c r="AL99" s="282"/>
      <c r="AM99" s="282"/>
      <c r="AN99" s="282"/>
      <c r="AO99" s="282"/>
      <c r="AP99" s="282"/>
      <c r="AQ99" s="282"/>
      <c r="AR99" s="282"/>
      <c r="AS99" s="28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</row>
    <row r="100" s="163" customFormat="1" spans="1:55">
      <c r="A100" s="190">
        <v>42830</v>
      </c>
      <c r="B100" s="191" t="s">
        <v>36</v>
      </c>
      <c r="C100" s="192">
        <f>52879+1919</f>
        <v>54798</v>
      </c>
      <c r="D100" s="193">
        <f>13258+12605</f>
        <v>25863</v>
      </c>
      <c r="E100" s="193">
        <f>68150+13258</f>
        <v>81408</v>
      </c>
      <c r="F100" s="194">
        <v>3650</v>
      </c>
      <c r="G100" s="193">
        <v>3047</v>
      </c>
      <c r="H100" s="195"/>
      <c r="I100" s="195"/>
      <c r="J100" s="220">
        <f t="shared" si="24"/>
        <v>55545</v>
      </c>
      <c r="K100" s="193">
        <v>349</v>
      </c>
      <c r="L100" s="193">
        <v>0</v>
      </c>
      <c r="M100" s="221">
        <f t="shared" si="25"/>
        <v>398</v>
      </c>
      <c r="N100" s="222">
        <f t="shared" si="35"/>
        <v>332832</v>
      </c>
      <c r="O100" s="225">
        <f t="shared" si="35"/>
        <v>142898</v>
      </c>
      <c r="P100" s="224">
        <f t="shared" si="35"/>
        <v>480989</v>
      </c>
      <c r="Q100" s="242">
        <f t="shared" si="36"/>
        <v>5722903.3</v>
      </c>
      <c r="R100" s="223">
        <f t="shared" si="36"/>
        <v>2966959</v>
      </c>
      <c r="S100" s="243">
        <f t="shared" si="36"/>
        <v>8827471.47</v>
      </c>
      <c r="T100" s="244">
        <f>N100/'2017'!N100-1</f>
        <v>0.205781980219541</v>
      </c>
      <c r="U100" s="245">
        <f>O100/'2017'!O100-1</f>
        <v>0.0906412663522156</v>
      </c>
      <c r="V100" s="245">
        <f>P100/'2017'!P100-1</f>
        <v>0.140130181666477</v>
      </c>
      <c r="W100" s="245">
        <f>Q100/'2017'!Q100-1</f>
        <v>0.0749283937302001</v>
      </c>
      <c r="X100" s="245">
        <f>R100/'2017'!R100-1</f>
        <v>0.206829030191481</v>
      </c>
      <c r="Y100" s="267">
        <f>S100/'2017'!S100-1</f>
        <v>0.110098145986266</v>
      </c>
      <c r="Z100" s="268">
        <v>26.431179</v>
      </c>
      <c r="AA100" s="269">
        <f t="shared" si="30"/>
        <v>545.859151</v>
      </c>
      <c r="AB100" s="270">
        <v>4269.48</v>
      </c>
      <c r="AC100" s="221">
        <f t="shared" si="31"/>
        <v>1278.51436474699</v>
      </c>
      <c r="AD100" s="270">
        <f t="shared" si="26"/>
        <v>5860512.47</v>
      </c>
      <c r="AE100" s="193">
        <f t="shared" si="28"/>
        <v>32571.29</v>
      </c>
      <c r="AF100" s="193">
        <f t="shared" si="33"/>
        <v>43161.64</v>
      </c>
      <c r="AG100" s="221">
        <f t="shared" si="27"/>
        <v>61876.239999999</v>
      </c>
      <c r="AH100" s="281"/>
      <c r="AI100" s="282"/>
      <c r="AJ100" s="282"/>
      <c r="AK100" s="282"/>
      <c r="AL100" s="282"/>
      <c r="AM100" s="282"/>
      <c r="AN100" s="282"/>
      <c r="AO100" s="282"/>
      <c r="AP100" s="282"/>
      <c r="AQ100" s="282"/>
      <c r="AR100" s="282"/>
      <c r="AS100" s="28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</row>
    <row r="101" spans="1:55">
      <c r="A101" s="189">
        <v>42831</v>
      </c>
      <c r="B101" s="184" t="s">
        <v>37</v>
      </c>
      <c r="C101" s="185">
        <f>57740+4579</f>
        <v>62319</v>
      </c>
      <c r="D101" s="186">
        <f>15088+12688</f>
        <v>27776</v>
      </c>
      <c r="E101" s="186">
        <f>76160+15088</f>
        <v>91248</v>
      </c>
      <c r="F101" s="187">
        <v>4506</v>
      </c>
      <c r="G101" s="186">
        <v>2717</v>
      </c>
      <c r="H101" s="188"/>
      <c r="I101" s="188"/>
      <c r="J101" s="214">
        <f t="shared" si="24"/>
        <v>63472</v>
      </c>
      <c r="K101" s="186">
        <v>193</v>
      </c>
      <c r="L101" s="186">
        <v>0</v>
      </c>
      <c r="M101" s="215">
        <f t="shared" si="25"/>
        <v>960</v>
      </c>
      <c r="N101" s="216">
        <f t="shared" si="35"/>
        <v>395151</v>
      </c>
      <c r="O101" s="219">
        <f t="shared" si="35"/>
        <v>170674</v>
      </c>
      <c r="P101" s="218">
        <f t="shared" si="35"/>
        <v>572237</v>
      </c>
      <c r="Q101" s="238">
        <f t="shared" si="36"/>
        <v>5785222.3</v>
      </c>
      <c r="R101" s="217">
        <f t="shared" si="36"/>
        <v>2994735</v>
      </c>
      <c r="S101" s="239">
        <f t="shared" si="36"/>
        <v>8918719.47</v>
      </c>
      <c r="T101" s="240">
        <f>N101/'2017'!N101-1</f>
        <v>0.165052923312793</v>
      </c>
      <c r="U101" s="241">
        <f>O101/'2017'!O101-1</f>
        <v>0.0827301389937387</v>
      </c>
      <c r="V101" s="241">
        <f>P101/'2017'!P101-1</f>
        <v>0.111718331092685</v>
      </c>
      <c r="W101" s="241">
        <f>Q101/'2017'!Q101-1</f>
        <v>0.0738977924073316</v>
      </c>
      <c r="X101" s="241">
        <f>R101/'2017'!R101-1</f>
        <v>0.205083043403729</v>
      </c>
      <c r="Y101" s="262">
        <f>S101/'2017'!S101-1</f>
        <v>0.108626926816167</v>
      </c>
      <c r="Z101" s="263"/>
      <c r="AA101" s="264">
        <f t="shared" si="30"/>
        <v>578.52223</v>
      </c>
      <c r="AB101" s="265"/>
      <c r="AC101" s="266"/>
      <c r="AD101" s="265">
        <f t="shared" si="26"/>
        <v>5923984.47</v>
      </c>
      <c r="AE101" s="186">
        <f t="shared" si="28"/>
        <v>32764.29</v>
      </c>
      <c r="AF101" s="186">
        <f t="shared" si="33"/>
        <v>43161.64</v>
      </c>
      <c r="AG101" s="266">
        <f t="shared" si="27"/>
        <v>62836.239999999</v>
      </c>
      <c r="AH101" s="281"/>
      <c r="AI101" s="282"/>
      <c r="AJ101" s="282"/>
      <c r="AK101" s="282"/>
      <c r="AL101" s="282"/>
      <c r="AM101" s="282"/>
      <c r="AN101" s="282"/>
      <c r="AO101" s="282"/>
      <c r="AP101" s="282"/>
      <c r="AQ101" s="282"/>
      <c r="AR101" s="282"/>
      <c r="AS101" s="28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</row>
    <row r="102" spans="1:55">
      <c r="A102" s="189">
        <v>42832</v>
      </c>
      <c r="B102" s="184" t="s">
        <v>38</v>
      </c>
      <c r="C102" s="185">
        <f>62799+4599</f>
        <v>67398</v>
      </c>
      <c r="D102" s="186">
        <f>15877+12758</f>
        <v>28635</v>
      </c>
      <c r="E102" s="186">
        <f>81727+15877</f>
        <v>97604</v>
      </c>
      <c r="F102" s="187">
        <v>4697</v>
      </c>
      <c r="G102" s="186">
        <v>3191</v>
      </c>
      <c r="H102" s="188"/>
      <c r="I102" s="188"/>
      <c r="J102" s="214">
        <f t="shared" si="24"/>
        <v>68969</v>
      </c>
      <c r="K102" s="186">
        <v>121</v>
      </c>
      <c r="L102" s="186">
        <v>0</v>
      </c>
      <c r="M102" s="215">
        <f t="shared" si="25"/>
        <v>1450</v>
      </c>
      <c r="N102" s="216">
        <f t="shared" si="35"/>
        <v>462549</v>
      </c>
      <c r="O102" s="219">
        <f t="shared" si="35"/>
        <v>199309</v>
      </c>
      <c r="P102" s="218">
        <f t="shared" si="35"/>
        <v>669841</v>
      </c>
      <c r="Q102" s="238">
        <f t="shared" si="36"/>
        <v>5852620.3</v>
      </c>
      <c r="R102" s="217">
        <f t="shared" si="36"/>
        <v>3023370</v>
      </c>
      <c r="S102" s="239">
        <f t="shared" si="36"/>
        <v>9016323.47</v>
      </c>
      <c r="T102" s="240">
        <f>N102/'2017'!N102-1</f>
        <v>0.143680505589224</v>
      </c>
      <c r="U102" s="241">
        <f>O102/'2017'!O102-1</f>
        <v>0.0882163448938587</v>
      </c>
      <c r="V102" s="241">
        <f>P102/'2017'!P102-1</f>
        <v>0.100696561232153</v>
      </c>
      <c r="W102" s="241">
        <f>Q102/'2017'!Q102-1</f>
        <v>0.0734036544724703</v>
      </c>
      <c r="X102" s="241">
        <f>R102/'2017'!R102-1</f>
        <v>0.204239615550833</v>
      </c>
      <c r="Y102" s="262">
        <f>S102/'2017'!S102-1</f>
        <v>0.107838424330618</v>
      </c>
      <c r="Z102" s="263"/>
      <c r="AA102" s="264">
        <f t="shared" si="30"/>
        <v>585.26203</v>
      </c>
      <c r="AB102" s="265"/>
      <c r="AC102" s="266"/>
      <c r="AD102" s="265">
        <f t="shared" si="26"/>
        <v>5992953.47</v>
      </c>
      <c r="AE102" s="186">
        <f t="shared" si="28"/>
        <v>32885.29</v>
      </c>
      <c r="AF102" s="186">
        <f t="shared" si="33"/>
        <v>43161.64</v>
      </c>
      <c r="AG102" s="266">
        <f t="shared" si="27"/>
        <v>64286.239999999</v>
      </c>
      <c r="AH102" s="281"/>
      <c r="AI102" s="282"/>
      <c r="AJ102" s="282"/>
      <c r="AK102" s="282"/>
      <c r="AL102" s="282"/>
      <c r="AM102" s="282"/>
      <c r="AN102" s="282"/>
      <c r="AO102" s="282"/>
      <c r="AP102" s="282"/>
      <c r="AQ102" s="282"/>
      <c r="AR102" s="282"/>
      <c r="AS102" s="28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</row>
    <row r="103" spans="1:55">
      <c r="A103" s="189">
        <v>42833</v>
      </c>
      <c r="B103" s="184" t="s">
        <v>1</v>
      </c>
      <c r="C103" s="185">
        <v>66556</v>
      </c>
      <c r="D103" s="186">
        <f>10311+19919</f>
        <v>30230</v>
      </c>
      <c r="E103" s="186">
        <v>98730</v>
      </c>
      <c r="F103" s="187">
        <v>4767</v>
      </c>
      <c r="G103" s="186">
        <v>3367</v>
      </c>
      <c r="H103" s="188"/>
      <c r="I103" s="188"/>
      <c r="J103" s="214">
        <f t="shared" si="24"/>
        <v>68500</v>
      </c>
      <c r="K103" s="186">
        <v>563</v>
      </c>
      <c r="L103" s="186">
        <v>0</v>
      </c>
      <c r="M103" s="215">
        <f t="shared" si="25"/>
        <v>1381</v>
      </c>
      <c r="N103" s="216">
        <f t="shared" si="35"/>
        <v>529105</v>
      </c>
      <c r="O103" s="219">
        <f t="shared" si="35"/>
        <v>229539</v>
      </c>
      <c r="P103" s="218">
        <f t="shared" si="35"/>
        <v>768571</v>
      </c>
      <c r="Q103" s="238">
        <f t="shared" si="36"/>
        <v>5919176.3</v>
      </c>
      <c r="R103" s="217">
        <f t="shared" si="36"/>
        <v>3053600</v>
      </c>
      <c r="S103" s="239">
        <f t="shared" si="36"/>
        <v>9115053.47</v>
      </c>
      <c r="T103" s="240">
        <f>N103/'2017'!N103-1</f>
        <v>0.131160823851854</v>
      </c>
      <c r="U103" s="241">
        <f>O103/'2017'!O103-1</f>
        <v>0.0971545745245277</v>
      </c>
      <c r="V103" s="241">
        <f>P103/'2017'!P103-1</f>
        <v>0.0962108980539598</v>
      </c>
      <c r="W103" s="241">
        <f>Q103/'2017'!Q103-1</f>
        <v>0.0731486460542652</v>
      </c>
      <c r="X103" s="241">
        <f>R103/'2017'!R103-1</f>
        <v>0.203784810455929</v>
      </c>
      <c r="Y103" s="262">
        <f>S103/'2017'!S103-1</f>
        <v>0.107376040098332</v>
      </c>
      <c r="Z103" s="263"/>
      <c r="AA103" s="264">
        <f t="shared" si="30"/>
        <v>591.91763</v>
      </c>
      <c r="AB103" s="265"/>
      <c r="AC103" s="266"/>
      <c r="AD103" s="265">
        <f t="shared" si="26"/>
        <v>6061453.47</v>
      </c>
      <c r="AE103" s="186">
        <f t="shared" si="28"/>
        <v>33448.29</v>
      </c>
      <c r="AF103" s="186">
        <f t="shared" ref="AF103:AF118" si="37">AF102+L103</f>
        <v>43161.64</v>
      </c>
      <c r="AG103" s="266">
        <f t="shared" si="27"/>
        <v>65667.239999999</v>
      </c>
      <c r="AH103" s="281"/>
      <c r="AI103" s="282"/>
      <c r="AJ103" s="282"/>
      <c r="AK103" s="282"/>
      <c r="AL103" s="282"/>
      <c r="AM103" s="282"/>
      <c r="AN103" s="282"/>
      <c r="AO103" s="282"/>
      <c r="AP103" s="282"/>
      <c r="AQ103" s="282"/>
      <c r="AR103" s="282"/>
      <c r="AS103" s="28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</row>
    <row r="104" spans="1:55">
      <c r="A104" s="189">
        <v>42834</v>
      </c>
      <c r="B104" s="184" t="s">
        <v>39</v>
      </c>
      <c r="C104" s="185">
        <v>68163</v>
      </c>
      <c r="D104" s="186">
        <f>10702+19546</f>
        <v>30248</v>
      </c>
      <c r="E104" s="186">
        <v>100142</v>
      </c>
      <c r="F104" s="187">
        <v>4870</v>
      </c>
      <c r="G104" s="186">
        <v>3332</v>
      </c>
      <c r="H104" s="188"/>
      <c r="I104" s="188"/>
      <c r="J104" s="214">
        <f t="shared" si="24"/>
        <v>69894</v>
      </c>
      <c r="K104" s="186">
        <v>378</v>
      </c>
      <c r="L104" s="186">
        <v>0</v>
      </c>
      <c r="M104" s="215">
        <f t="shared" si="25"/>
        <v>1353</v>
      </c>
      <c r="N104" s="216">
        <f t="shared" si="35"/>
        <v>597268</v>
      </c>
      <c r="O104" s="219">
        <f t="shared" si="35"/>
        <v>259787</v>
      </c>
      <c r="P104" s="218">
        <f t="shared" si="35"/>
        <v>868713</v>
      </c>
      <c r="Q104" s="238">
        <f t="shared" si="36"/>
        <v>5987339.3</v>
      </c>
      <c r="R104" s="217">
        <f t="shared" si="36"/>
        <v>3083848</v>
      </c>
      <c r="S104" s="239">
        <f t="shared" si="36"/>
        <v>9215195.47</v>
      </c>
      <c r="T104" s="240">
        <f>N104/'2017'!N104-1</f>
        <v>0.130247521005223</v>
      </c>
      <c r="U104" s="241">
        <f>O104/'2017'!O104-1</f>
        <v>0.107045302492468</v>
      </c>
      <c r="V104" s="241">
        <f>P104/'2017'!P104-1</f>
        <v>0.0995378896327039</v>
      </c>
      <c r="W104" s="241">
        <f>Q104/'2017'!Q104-1</f>
        <v>0.0736934247030583</v>
      </c>
      <c r="X104" s="241">
        <f>R104/'2017'!R104-1</f>
        <v>0.203631367773563</v>
      </c>
      <c r="Y104" s="262">
        <f>S104/'2017'!S104-1</f>
        <v>0.107572594229487</v>
      </c>
      <c r="Z104" s="263"/>
      <c r="AA104" s="264">
        <f t="shared" si="30"/>
        <v>598.73393</v>
      </c>
      <c r="AB104" s="265"/>
      <c r="AC104" s="266"/>
      <c r="AD104" s="265">
        <f t="shared" si="26"/>
        <v>6131347.47</v>
      </c>
      <c r="AE104" s="186">
        <f t="shared" si="28"/>
        <v>33826.29</v>
      </c>
      <c r="AF104" s="186">
        <f t="shared" si="37"/>
        <v>43161.64</v>
      </c>
      <c r="AG104" s="266">
        <f t="shared" si="27"/>
        <v>67020.239999999</v>
      </c>
      <c r="AH104" s="281"/>
      <c r="AI104" s="282"/>
      <c r="AJ104" s="282"/>
      <c r="AK104" s="282"/>
      <c r="AL104" s="282"/>
      <c r="AM104" s="282"/>
      <c r="AN104" s="282"/>
      <c r="AO104" s="282"/>
      <c r="AP104" s="282"/>
      <c r="AQ104" s="282"/>
      <c r="AR104" s="282"/>
      <c r="AS104" s="28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</row>
    <row r="105" spans="1:55">
      <c r="A105" s="189">
        <v>42835</v>
      </c>
      <c r="B105" s="184" t="s">
        <v>34</v>
      </c>
      <c r="C105" s="185">
        <v>68825</v>
      </c>
      <c r="D105" s="186">
        <f>19915+9492</f>
        <v>29407</v>
      </c>
      <c r="E105" s="186">
        <v>100598</v>
      </c>
      <c r="F105" s="187">
        <v>4823.6</v>
      </c>
      <c r="G105" s="186">
        <v>3355.8</v>
      </c>
      <c r="H105" s="188"/>
      <c r="I105" s="188"/>
      <c r="J105" s="214">
        <f t="shared" si="24"/>
        <v>71191</v>
      </c>
      <c r="K105" s="186">
        <v>910</v>
      </c>
      <c r="L105" s="186">
        <v>0</v>
      </c>
      <c r="M105" s="215">
        <f t="shared" si="25"/>
        <v>1456</v>
      </c>
      <c r="N105" s="216">
        <f t="shared" si="35"/>
        <v>666093</v>
      </c>
      <c r="O105" s="219">
        <f t="shared" si="35"/>
        <v>289194</v>
      </c>
      <c r="P105" s="218">
        <f t="shared" si="35"/>
        <v>969311</v>
      </c>
      <c r="Q105" s="238">
        <f t="shared" si="36"/>
        <v>6056164.3</v>
      </c>
      <c r="R105" s="217">
        <f t="shared" si="36"/>
        <v>3113255</v>
      </c>
      <c r="S105" s="239">
        <f t="shared" si="36"/>
        <v>9315793.47</v>
      </c>
      <c r="T105" s="240">
        <f>N105/'2017'!N105-1</f>
        <v>0.122941561244032</v>
      </c>
      <c r="U105" s="241">
        <f>O105/'2017'!O105-1</f>
        <v>0.113029488965692</v>
      </c>
      <c r="V105" s="241">
        <f>P105/'2017'!P105-1</f>
        <v>0.098024755968948</v>
      </c>
      <c r="W105" s="241">
        <f>Q105/'2017'!Q105-1</f>
        <v>0.0735741172670386</v>
      </c>
      <c r="X105" s="241">
        <f>R105/'2017'!R105-1</f>
        <v>0.203293112184654</v>
      </c>
      <c r="Y105" s="262">
        <f>S105/'2017'!S105-1</f>
        <v>0.107325279969013</v>
      </c>
      <c r="Z105" s="263"/>
      <c r="AA105" s="264">
        <f t="shared" si="30"/>
        <v>605.61643</v>
      </c>
      <c r="AB105" s="265"/>
      <c r="AC105" s="266"/>
      <c r="AD105" s="265">
        <f t="shared" si="26"/>
        <v>6202538.47</v>
      </c>
      <c r="AE105" s="186">
        <f t="shared" si="28"/>
        <v>34736.29</v>
      </c>
      <c r="AF105" s="186">
        <f t="shared" si="37"/>
        <v>43161.64</v>
      </c>
      <c r="AG105" s="266">
        <f t="shared" si="27"/>
        <v>68476.239999999</v>
      </c>
      <c r="AH105" s="281"/>
      <c r="AI105" s="282"/>
      <c r="AJ105" s="282"/>
      <c r="AK105" s="282"/>
      <c r="AL105" s="282"/>
      <c r="AM105" s="282"/>
      <c r="AN105" s="282"/>
      <c r="AO105" s="282"/>
      <c r="AP105" s="282"/>
      <c r="AQ105" s="282"/>
      <c r="AR105" s="282"/>
      <c r="AS105" s="28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</row>
    <row r="106" spans="1:55">
      <c r="A106" s="189">
        <v>42836</v>
      </c>
      <c r="B106" s="184" t="s">
        <v>35</v>
      </c>
      <c r="C106" s="185">
        <v>71865</v>
      </c>
      <c r="D106" s="186">
        <f>19911+9465</f>
        <v>29376</v>
      </c>
      <c r="E106" s="186">
        <v>102624</v>
      </c>
      <c r="F106" s="187">
        <v>5005.6</v>
      </c>
      <c r="G106" s="186">
        <v>3392.8</v>
      </c>
      <c r="H106" s="188"/>
      <c r="I106" s="188"/>
      <c r="J106" s="214">
        <f t="shared" si="24"/>
        <v>73248</v>
      </c>
      <c r="K106" s="186">
        <v>495</v>
      </c>
      <c r="L106" s="186">
        <v>0</v>
      </c>
      <c r="M106" s="215">
        <f t="shared" si="25"/>
        <v>888</v>
      </c>
      <c r="N106" s="216">
        <f t="shared" si="35"/>
        <v>737958</v>
      </c>
      <c r="O106" s="219">
        <f t="shared" si="35"/>
        <v>318570</v>
      </c>
      <c r="P106" s="218">
        <f t="shared" si="35"/>
        <v>1071935</v>
      </c>
      <c r="Q106" s="238">
        <f t="shared" si="36"/>
        <v>6128029.3</v>
      </c>
      <c r="R106" s="217">
        <f t="shared" si="36"/>
        <v>3142631</v>
      </c>
      <c r="S106" s="239">
        <f t="shared" si="36"/>
        <v>9418417.47</v>
      </c>
      <c r="T106" s="240">
        <f>N106/'2017'!N106-1</f>
        <v>0.119323999035324</v>
      </c>
      <c r="U106" s="241">
        <f>O106/'2017'!O106-1</f>
        <v>0.119336907865611</v>
      </c>
      <c r="V106" s="241">
        <f>P106/'2017'!P106-1</f>
        <v>0.0974619653131847</v>
      </c>
      <c r="W106" s="241">
        <f>Q106/'2017'!Q106-1</f>
        <v>0.0737281681010689</v>
      </c>
      <c r="X106" s="241">
        <f>R106/'2017'!R106-1</f>
        <v>0.20312404888251</v>
      </c>
      <c r="Y106" s="262">
        <f>S106/'2017'!S106-1</f>
        <v>0.107157931698001</v>
      </c>
      <c r="Z106" s="263"/>
      <c r="AA106" s="264">
        <f t="shared" si="30"/>
        <v>612.80293</v>
      </c>
      <c r="AB106" s="265"/>
      <c r="AC106" s="266"/>
      <c r="AD106" s="265">
        <f t="shared" si="26"/>
        <v>6275786.47</v>
      </c>
      <c r="AE106" s="186">
        <f t="shared" si="28"/>
        <v>35231.29</v>
      </c>
      <c r="AF106" s="186">
        <f t="shared" si="37"/>
        <v>43161.64</v>
      </c>
      <c r="AG106" s="266">
        <f t="shared" si="27"/>
        <v>69364.239999999</v>
      </c>
      <c r="AH106" s="281"/>
      <c r="AI106" s="282"/>
      <c r="AJ106" s="282"/>
      <c r="AK106" s="282"/>
      <c r="AL106" s="282"/>
      <c r="AM106" s="282"/>
      <c r="AN106" s="282"/>
      <c r="AO106" s="282"/>
      <c r="AP106" s="282"/>
      <c r="AQ106" s="282"/>
      <c r="AR106" s="282"/>
      <c r="AS106" s="28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</row>
    <row r="107" s="163" customFormat="1" spans="1:55">
      <c r="A107" s="190">
        <v>42837</v>
      </c>
      <c r="B107" s="191" t="s">
        <v>36</v>
      </c>
      <c r="C107" s="192">
        <f>67461+5467</f>
        <v>72928</v>
      </c>
      <c r="D107" s="193">
        <f>18388+11574</f>
        <v>29962</v>
      </c>
      <c r="E107" s="193">
        <f>85641+18388</f>
        <v>104029</v>
      </c>
      <c r="F107" s="194">
        <v>5214</v>
      </c>
      <c r="G107" s="193">
        <v>3420</v>
      </c>
      <c r="H107" s="195"/>
      <c r="I107" s="195"/>
      <c r="J107" s="220">
        <f t="shared" si="24"/>
        <v>74067</v>
      </c>
      <c r="K107" s="193">
        <v>582</v>
      </c>
      <c r="L107" s="193">
        <v>0</v>
      </c>
      <c r="M107" s="221">
        <f t="shared" si="25"/>
        <v>557</v>
      </c>
      <c r="N107" s="222">
        <f t="shared" si="35"/>
        <v>810886</v>
      </c>
      <c r="O107" s="225">
        <f t="shared" si="35"/>
        <v>348532</v>
      </c>
      <c r="P107" s="224">
        <f t="shared" si="35"/>
        <v>1175964</v>
      </c>
      <c r="Q107" s="242">
        <f t="shared" si="36"/>
        <v>6200957.3</v>
      </c>
      <c r="R107" s="223">
        <f t="shared" si="36"/>
        <v>3172593</v>
      </c>
      <c r="S107" s="243">
        <f t="shared" si="36"/>
        <v>9522446.47</v>
      </c>
      <c r="T107" s="244">
        <f>N107/'2017'!N107-1</f>
        <v>0.120788504704933</v>
      </c>
      <c r="U107" s="245">
        <f>O107/'2017'!O107-1</f>
        <v>0.12576753500541</v>
      </c>
      <c r="V107" s="245">
        <f>P107/'2017'!P107-1</f>
        <v>0.100171018213253</v>
      </c>
      <c r="W107" s="245">
        <f>Q107/'2017'!Q107-1</f>
        <v>0.0744190056546277</v>
      </c>
      <c r="X107" s="245">
        <f>R107/'2017'!R107-1</f>
        <v>0.203085040545337</v>
      </c>
      <c r="Y107" s="267">
        <f>S107/'2017'!S107-1</f>
        <v>0.107390770830607</v>
      </c>
      <c r="Z107" s="268">
        <v>29.89</v>
      </c>
      <c r="AA107" s="269">
        <f t="shared" si="30"/>
        <v>590.20573</v>
      </c>
      <c r="AB107" s="270">
        <v>4269.48</v>
      </c>
      <c r="AC107" s="221">
        <f t="shared" si="31"/>
        <v>1382.38317078426</v>
      </c>
      <c r="AD107" s="270">
        <f t="shared" si="26"/>
        <v>6349853.47</v>
      </c>
      <c r="AE107" s="193">
        <f t="shared" si="28"/>
        <v>35813.29</v>
      </c>
      <c r="AF107" s="193">
        <f t="shared" si="37"/>
        <v>43161.64</v>
      </c>
      <c r="AG107" s="221">
        <f t="shared" si="27"/>
        <v>69921.239999999</v>
      </c>
      <c r="AH107" s="281"/>
      <c r="AI107" s="282"/>
      <c r="AJ107" s="282"/>
      <c r="AK107" s="282"/>
      <c r="AL107" s="282"/>
      <c r="AM107" s="282"/>
      <c r="AN107" s="282"/>
      <c r="AO107" s="282"/>
      <c r="AP107" s="282"/>
      <c r="AQ107" s="282"/>
      <c r="AR107" s="282"/>
      <c r="AS107" s="28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</row>
    <row r="108" spans="1:55">
      <c r="A108" s="189">
        <v>42838</v>
      </c>
      <c r="B108" s="184" t="s">
        <v>37</v>
      </c>
      <c r="C108" s="185">
        <v>72584</v>
      </c>
      <c r="D108" s="186">
        <f>20278+9830</f>
        <v>30108</v>
      </c>
      <c r="E108" s="186">
        <v>103714</v>
      </c>
      <c r="F108" s="187">
        <v>5229.1</v>
      </c>
      <c r="G108" s="186">
        <v>3400.1</v>
      </c>
      <c r="H108" s="188"/>
      <c r="I108" s="188"/>
      <c r="J108" s="214">
        <f t="shared" si="24"/>
        <v>73606</v>
      </c>
      <c r="K108" s="186">
        <v>432</v>
      </c>
      <c r="L108" s="186">
        <v>0</v>
      </c>
      <c r="M108" s="215">
        <f t="shared" si="25"/>
        <v>590</v>
      </c>
      <c r="N108" s="216">
        <f t="shared" si="35"/>
        <v>883470</v>
      </c>
      <c r="O108" s="219">
        <f t="shared" si="35"/>
        <v>378640</v>
      </c>
      <c r="P108" s="218">
        <f t="shared" si="35"/>
        <v>1279678</v>
      </c>
      <c r="Q108" s="238">
        <f t="shared" si="36"/>
        <v>6273541.3</v>
      </c>
      <c r="R108" s="217">
        <f t="shared" si="36"/>
        <v>3202701</v>
      </c>
      <c r="S108" s="239">
        <f t="shared" si="36"/>
        <v>9626160.47</v>
      </c>
      <c r="T108" s="240">
        <f>N108/'2017'!N108-1</f>
        <v>0.124036235018703</v>
      </c>
      <c r="U108" s="241">
        <f>O108/'2017'!O108-1</f>
        <v>0.130464378907393</v>
      </c>
      <c r="V108" s="241">
        <f>P108/'2017'!P108-1</f>
        <v>0.102726747076823</v>
      </c>
      <c r="W108" s="241">
        <f>Q108/'2017'!Q108-1</f>
        <v>0.0753531954049111</v>
      </c>
      <c r="X108" s="241">
        <f>R108/'2017'!R108-1</f>
        <v>0.202939834246984</v>
      </c>
      <c r="Y108" s="262">
        <f>S108/'2017'!S108-1</f>
        <v>0.107655965225921</v>
      </c>
      <c r="Z108" s="263"/>
      <c r="AA108" s="264">
        <f t="shared" si="30"/>
        <v>627.35413</v>
      </c>
      <c r="AB108" s="265"/>
      <c r="AC108" s="266"/>
      <c r="AD108" s="265">
        <f t="shared" si="26"/>
        <v>6423459.47</v>
      </c>
      <c r="AE108" s="186">
        <f t="shared" si="28"/>
        <v>36245.29</v>
      </c>
      <c r="AF108" s="186">
        <f t="shared" si="37"/>
        <v>43161.64</v>
      </c>
      <c r="AG108" s="266">
        <f t="shared" si="27"/>
        <v>70511.239999999</v>
      </c>
      <c r="AH108" s="281"/>
      <c r="AI108" s="282"/>
      <c r="AJ108" s="282"/>
      <c r="AK108" s="282"/>
      <c r="AL108" s="282"/>
      <c r="AM108" s="282"/>
      <c r="AN108" s="282"/>
      <c r="AO108" s="282"/>
      <c r="AP108" s="282"/>
      <c r="AQ108" s="282"/>
      <c r="AR108" s="282"/>
      <c r="AS108" s="28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</row>
    <row r="109" spans="1:55">
      <c r="A109" s="189">
        <v>42839</v>
      </c>
      <c r="B109" s="184" t="s">
        <v>38</v>
      </c>
      <c r="C109" s="185">
        <v>68418</v>
      </c>
      <c r="D109" s="186">
        <f>21644+9818</f>
        <v>31462</v>
      </c>
      <c r="E109" s="186">
        <v>101156</v>
      </c>
      <c r="F109" s="187">
        <v>5103.3</v>
      </c>
      <c r="G109" s="186">
        <v>3345</v>
      </c>
      <c r="H109" s="188"/>
      <c r="I109" s="188"/>
      <c r="J109" s="214">
        <f t="shared" si="24"/>
        <v>69694</v>
      </c>
      <c r="K109" s="186">
        <v>701</v>
      </c>
      <c r="L109" s="186">
        <v>0</v>
      </c>
      <c r="M109" s="215">
        <f t="shared" si="25"/>
        <v>575</v>
      </c>
      <c r="N109" s="216">
        <f t="shared" si="35"/>
        <v>951888</v>
      </c>
      <c r="O109" s="219">
        <f t="shared" si="35"/>
        <v>410102</v>
      </c>
      <c r="P109" s="218">
        <f t="shared" si="35"/>
        <v>1380834</v>
      </c>
      <c r="Q109" s="238">
        <f t="shared" si="36"/>
        <v>6341959.3</v>
      </c>
      <c r="R109" s="217">
        <f t="shared" si="36"/>
        <v>3234163</v>
      </c>
      <c r="S109" s="239">
        <f t="shared" si="36"/>
        <v>9727316.47</v>
      </c>
      <c r="T109" s="240">
        <f>N109/'2017'!N109-1</f>
        <v>0.121302182909203</v>
      </c>
      <c r="U109" s="241">
        <f>O109/'2017'!O109-1</f>
        <v>0.137314608361898</v>
      </c>
      <c r="V109" s="241">
        <f>P109/'2017'!P109-1</f>
        <v>0.10255910698744</v>
      </c>
      <c r="W109" s="241">
        <f>Q109/'2017'!Q109-1</f>
        <v>0.0754791601164739</v>
      </c>
      <c r="X109" s="241">
        <f>R109/'2017'!R109-1</f>
        <v>0.203167287998955</v>
      </c>
      <c r="Y109" s="262">
        <f>S109/'2017'!S109-1</f>
        <v>0.10758046737179</v>
      </c>
      <c r="Z109" s="263"/>
      <c r="AA109" s="264">
        <f t="shared" si="30"/>
        <v>634.19593</v>
      </c>
      <c r="AB109" s="265"/>
      <c r="AC109" s="266"/>
      <c r="AD109" s="265">
        <f t="shared" si="26"/>
        <v>6493153.47</v>
      </c>
      <c r="AE109" s="186">
        <f t="shared" si="28"/>
        <v>36946.29</v>
      </c>
      <c r="AF109" s="186">
        <f t="shared" si="37"/>
        <v>43161.64</v>
      </c>
      <c r="AG109" s="266">
        <f t="shared" si="27"/>
        <v>71086.239999999</v>
      </c>
      <c r="AH109" s="281"/>
      <c r="AI109" s="282"/>
      <c r="AJ109" s="282"/>
      <c r="AK109" s="282"/>
      <c r="AL109" s="282"/>
      <c r="AM109" s="282"/>
      <c r="AN109" s="282"/>
      <c r="AO109" s="282"/>
      <c r="AP109" s="282"/>
      <c r="AQ109" s="282"/>
      <c r="AR109" s="282"/>
      <c r="AS109" s="28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</row>
    <row r="110" spans="1:55">
      <c r="A110" s="189">
        <v>42840</v>
      </c>
      <c r="B110" s="184" t="s">
        <v>1</v>
      </c>
      <c r="C110" s="185">
        <v>60936</v>
      </c>
      <c r="D110" s="186">
        <f>20945+9841</f>
        <v>30786</v>
      </c>
      <c r="E110" s="186">
        <v>93025</v>
      </c>
      <c r="F110" s="187">
        <v>4466.7</v>
      </c>
      <c r="G110" s="186">
        <v>3239.1</v>
      </c>
      <c r="H110" s="188"/>
      <c r="I110" s="188"/>
      <c r="J110" s="214">
        <f t="shared" si="24"/>
        <v>62239</v>
      </c>
      <c r="K110" s="186">
        <v>306</v>
      </c>
      <c r="L110" s="186">
        <v>0</v>
      </c>
      <c r="M110" s="215">
        <f t="shared" si="25"/>
        <v>997</v>
      </c>
      <c r="N110" s="216">
        <f t="shared" si="35"/>
        <v>1012824</v>
      </c>
      <c r="O110" s="219">
        <f t="shared" si="35"/>
        <v>440888</v>
      </c>
      <c r="P110" s="218">
        <f t="shared" si="35"/>
        <v>1473859</v>
      </c>
      <c r="Q110" s="238">
        <f t="shared" si="36"/>
        <v>6402895.3</v>
      </c>
      <c r="R110" s="217">
        <f t="shared" si="36"/>
        <v>3264949</v>
      </c>
      <c r="S110" s="239">
        <f t="shared" si="36"/>
        <v>9820341.47</v>
      </c>
      <c r="T110" s="240">
        <f>N110/'2017'!N110-1</f>
        <v>0.113176897290762</v>
      </c>
      <c r="U110" s="241">
        <f>O110/'2017'!O110-1</f>
        <v>0.138921753506755</v>
      </c>
      <c r="V110" s="241">
        <f>P110/'2017'!P110-1</f>
        <v>0.0972842223128854</v>
      </c>
      <c r="W110" s="241">
        <f>Q110/'2017'!Q110-1</f>
        <v>0.0747069842716805</v>
      </c>
      <c r="X110" s="241">
        <f>R110/'2017'!R110-1</f>
        <v>0.202753076646223</v>
      </c>
      <c r="Y110" s="262">
        <f>S110/'2017'!S110-1</f>
        <v>0.106730603187073</v>
      </c>
      <c r="Z110" s="263"/>
      <c r="AA110" s="264">
        <f t="shared" si="30"/>
        <v>640.28953</v>
      </c>
      <c r="AB110" s="265"/>
      <c r="AC110" s="266"/>
      <c r="AD110" s="265">
        <f t="shared" si="26"/>
        <v>6555392.47</v>
      </c>
      <c r="AE110" s="186">
        <f t="shared" si="28"/>
        <v>37252.29</v>
      </c>
      <c r="AF110" s="186">
        <f t="shared" si="37"/>
        <v>43161.64</v>
      </c>
      <c r="AG110" s="266">
        <f t="shared" si="27"/>
        <v>72083.239999999</v>
      </c>
      <c r="AH110" s="281"/>
      <c r="AI110" s="282"/>
      <c r="AJ110" s="282"/>
      <c r="AK110" s="282"/>
      <c r="AL110" s="282"/>
      <c r="AM110" s="282"/>
      <c r="AN110" s="282"/>
      <c r="AO110" s="282"/>
      <c r="AP110" s="282"/>
      <c r="AQ110" s="282"/>
      <c r="AR110" s="282"/>
      <c r="AS110" s="28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</row>
    <row r="111" spans="1:55">
      <c r="A111" s="189">
        <v>42841</v>
      </c>
      <c r="B111" s="184" t="s">
        <v>39</v>
      </c>
      <c r="C111" s="185">
        <v>68810</v>
      </c>
      <c r="D111" s="186">
        <f>20500+9829</f>
        <v>30329</v>
      </c>
      <c r="E111" s="186">
        <v>100288</v>
      </c>
      <c r="F111" s="187">
        <v>5062.9</v>
      </c>
      <c r="G111" s="186">
        <v>3132.3</v>
      </c>
      <c r="H111" s="188"/>
      <c r="I111" s="188"/>
      <c r="J111" s="214">
        <f t="shared" si="24"/>
        <v>69959</v>
      </c>
      <c r="K111" s="186">
        <v>714</v>
      </c>
      <c r="L111" s="186">
        <v>0</v>
      </c>
      <c r="M111" s="215">
        <f t="shared" si="25"/>
        <v>435</v>
      </c>
      <c r="N111" s="216">
        <f t="shared" si="35"/>
        <v>1081634</v>
      </c>
      <c r="O111" s="219">
        <f t="shared" si="35"/>
        <v>471217</v>
      </c>
      <c r="P111" s="218">
        <f t="shared" si="35"/>
        <v>1574147</v>
      </c>
      <c r="Q111" s="238">
        <f t="shared" si="36"/>
        <v>6471705.3</v>
      </c>
      <c r="R111" s="217">
        <f t="shared" si="36"/>
        <v>3295278</v>
      </c>
      <c r="S111" s="239">
        <f t="shared" si="36"/>
        <v>9920629.47</v>
      </c>
      <c r="T111" s="240">
        <f>N111/'2017'!N111-1</f>
        <v>0.118701040268248</v>
      </c>
      <c r="U111" s="241">
        <f>O111/'2017'!O111-1</f>
        <v>0.138461055261206</v>
      </c>
      <c r="V111" s="241">
        <f>P111/'2017'!P111-1</f>
        <v>0.100727433174113</v>
      </c>
      <c r="W111" s="241">
        <f>Q111/'2017'!Q111-1</f>
        <v>0.0759596409709646</v>
      </c>
      <c r="X111" s="241">
        <f>R111/'2017'!R111-1</f>
        <v>0.202059561677416</v>
      </c>
      <c r="Y111" s="262">
        <f>S111/'2017'!S111-1</f>
        <v>0.107188533871303</v>
      </c>
      <c r="Z111" s="263"/>
      <c r="AA111" s="264">
        <f t="shared" si="30"/>
        <v>647.17053</v>
      </c>
      <c r="AB111" s="265"/>
      <c r="AC111" s="266"/>
      <c r="AD111" s="265">
        <f t="shared" si="26"/>
        <v>6625351.47</v>
      </c>
      <c r="AE111" s="186">
        <f t="shared" si="28"/>
        <v>37966.29</v>
      </c>
      <c r="AF111" s="186">
        <f t="shared" si="37"/>
        <v>43161.64</v>
      </c>
      <c r="AG111" s="266">
        <f t="shared" si="27"/>
        <v>72518.239999999</v>
      </c>
      <c r="AH111" s="281"/>
      <c r="AI111" s="282"/>
      <c r="AJ111" s="282"/>
      <c r="AK111" s="282"/>
      <c r="AL111" s="282"/>
      <c r="AM111" s="282"/>
      <c r="AN111" s="282"/>
      <c r="AO111" s="282"/>
      <c r="AP111" s="282"/>
      <c r="AQ111" s="282"/>
      <c r="AR111" s="282"/>
      <c r="AS111" s="28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</row>
    <row r="112" spans="1:55">
      <c r="A112" s="189">
        <v>42842</v>
      </c>
      <c r="B112" s="184" t="s">
        <v>34</v>
      </c>
      <c r="C112" s="185">
        <v>65392</v>
      </c>
      <c r="D112" s="186">
        <f>22671+9815</f>
        <v>32486</v>
      </c>
      <c r="E112" s="186">
        <v>99957</v>
      </c>
      <c r="F112" s="187">
        <v>4787.1</v>
      </c>
      <c r="G112" s="186">
        <v>3379.7</v>
      </c>
      <c r="H112" s="188"/>
      <c r="I112" s="188"/>
      <c r="J112" s="214">
        <f t="shared" si="24"/>
        <v>67471</v>
      </c>
      <c r="K112" s="186">
        <v>902</v>
      </c>
      <c r="L112" s="186">
        <v>0</v>
      </c>
      <c r="M112" s="215">
        <f t="shared" si="25"/>
        <v>1177</v>
      </c>
      <c r="N112" s="216">
        <f t="shared" si="35"/>
        <v>1147026</v>
      </c>
      <c r="O112" s="219">
        <f t="shared" si="35"/>
        <v>503703</v>
      </c>
      <c r="P112" s="218">
        <f t="shared" si="35"/>
        <v>1674104</v>
      </c>
      <c r="Q112" s="238">
        <f t="shared" si="36"/>
        <v>6537097.3</v>
      </c>
      <c r="R112" s="217">
        <f t="shared" si="36"/>
        <v>3327764</v>
      </c>
      <c r="S112" s="239">
        <f t="shared" si="36"/>
        <v>10020586.47</v>
      </c>
      <c r="T112" s="240">
        <f>N112/'2017'!N112-1</f>
        <v>0.114782044154865</v>
      </c>
      <c r="U112" s="241">
        <f>O112/'2017'!O112-1</f>
        <v>0.143412647607633</v>
      </c>
      <c r="V112" s="241">
        <f>P112/'2017'!P112-1</f>
        <v>0.0999629426188793</v>
      </c>
      <c r="W112" s="241">
        <f>Q112/'2017'!Q112-1</f>
        <v>0.0757325666354611</v>
      </c>
      <c r="X112" s="241">
        <f>R112/'2017'!R112-1</f>
        <v>0.20223599962283</v>
      </c>
      <c r="Y112" s="262">
        <f>S112/'2017'!S112-1</f>
        <v>0.106994424696348</v>
      </c>
      <c r="Z112" s="263"/>
      <c r="AA112" s="264">
        <f t="shared" si="30"/>
        <v>653.70973</v>
      </c>
      <c r="AB112" s="265"/>
      <c r="AC112" s="266"/>
      <c r="AD112" s="265">
        <f t="shared" si="26"/>
        <v>6692822.47</v>
      </c>
      <c r="AE112" s="186">
        <f t="shared" si="28"/>
        <v>38868.29</v>
      </c>
      <c r="AF112" s="186">
        <f t="shared" si="37"/>
        <v>43161.64</v>
      </c>
      <c r="AG112" s="266">
        <f t="shared" si="27"/>
        <v>73695.239999999</v>
      </c>
      <c r="AH112" s="281"/>
      <c r="AI112" s="282"/>
      <c r="AJ112" s="282"/>
      <c r="AK112" s="282"/>
      <c r="AL112" s="282"/>
      <c r="AM112" s="282"/>
      <c r="AN112" s="282"/>
      <c r="AO112" s="282"/>
      <c r="AP112" s="282"/>
      <c r="AQ112" s="282"/>
      <c r="AR112" s="282"/>
      <c r="AS112" s="28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</row>
    <row r="113" ht="15" customHeight="1" spans="1:55">
      <c r="A113" s="189">
        <v>42843</v>
      </c>
      <c r="B113" s="184" t="s">
        <v>35</v>
      </c>
      <c r="C113" s="185">
        <v>65444</v>
      </c>
      <c r="D113" s="186">
        <f>22125+9839</f>
        <v>31964</v>
      </c>
      <c r="E113" s="186">
        <v>99806</v>
      </c>
      <c r="F113" s="187">
        <v>4807.9</v>
      </c>
      <c r="G113" s="186">
        <v>3406.8</v>
      </c>
      <c r="H113" s="188"/>
      <c r="I113" s="188"/>
      <c r="J113" s="214">
        <f t="shared" si="24"/>
        <v>67842</v>
      </c>
      <c r="K113" s="186">
        <v>1250</v>
      </c>
      <c r="L113" s="186">
        <v>0</v>
      </c>
      <c r="M113" s="215">
        <f t="shared" si="25"/>
        <v>1148</v>
      </c>
      <c r="N113" s="216">
        <f t="shared" ref="N113:P124" si="38">N112+C113</f>
        <v>1212470</v>
      </c>
      <c r="O113" s="219">
        <f t="shared" si="38"/>
        <v>535667</v>
      </c>
      <c r="P113" s="218">
        <f t="shared" si="38"/>
        <v>1773910</v>
      </c>
      <c r="Q113" s="238">
        <f t="shared" si="36"/>
        <v>6602541.3</v>
      </c>
      <c r="R113" s="217">
        <f t="shared" si="36"/>
        <v>3359728</v>
      </c>
      <c r="S113" s="239">
        <f t="shared" si="36"/>
        <v>10120392.47</v>
      </c>
      <c r="T113" s="240">
        <f>N113/'2017'!N113-1</f>
        <v>0.10958586942894</v>
      </c>
      <c r="U113" s="241">
        <f>O113/'2017'!O113-1</f>
        <v>0.148085834187074</v>
      </c>
      <c r="V113" s="241">
        <f>P113/'2017'!P113-1</f>
        <v>0.0983575192702177</v>
      </c>
      <c r="W113" s="241">
        <f>Q113/'2017'!Q113-1</f>
        <v>0.0752136236617014</v>
      </c>
      <c r="X113" s="241">
        <f>R113/'2017'!R113-1</f>
        <v>0.202467979013803</v>
      </c>
      <c r="Y113" s="262">
        <f>S113/'2017'!S113-1</f>
        <v>0.106639326220966</v>
      </c>
      <c r="Z113" s="263">
        <v>32.87</v>
      </c>
      <c r="AA113" s="264">
        <f t="shared" si="30"/>
        <v>627.38413</v>
      </c>
      <c r="AB113" s="265"/>
      <c r="AC113" s="266"/>
      <c r="AD113" s="265">
        <f t="shared" si="26"/>
        <v>6760664.47</v>
      </c>
      <c r="AE113" s="186">
        <f t="shared" si="28"/>
        <v>40118.29</v>
      </c>
      <c r="AF113" s="186">
        <f t="shared" si="37"/>
        <v>43161.64</v>
      </c>
      <c r="AG113" s="266">
        <f t="shared" si="27"/>
        <v>74843.239999999</v>
      </c>
      <c r="AH113" s="281"/>
      <c r="AI113" s="282"/>
      <c r="AJ113" s="282"/>
      <c r="AK113" s="282"/>
      <c r="AL113" s="282"/>
      <c r="AM113" s="282"/>
      <c r="AN113" s="282"/>
      <c r="AO113" s="282"/>
      <c r="AP113" s="282"/>
      <c r="AQ113" s="282"/>
      <c r="AR113" s="282"/>
      <c r="AS113" s="28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</row>
    <row r="114" s="163" customFormat="1" ht="15" customHeight="1" spans="1:55">
      <c r="A114" s="190">
        <v>42844</v>
      </c>
      <c r="B114" s="191" t="s">
        <v>36</v>
      </c>
      <c r="C114" s="192">
        <v>65932</v>
      </c>
      <c r="D114" s="193">
        <f>9777+21815</f>
        <v>31592</v>
      </c>
      <c r="E114" s="193">
        <v>99990</v>
      </c>
      <c r="F114" s="194">
        <v>4825</v>
      </c>
      <c r="G114" s="193">
        <v>3385</v>
      </c>
      <c r="H114" s="195"/>
      <c r="I114" s="195"/>
      <c r="J114" s="220">
        <f t="shared" si="24"/>
        <v>68398</v>
      </c>
      <c r="K114" s="193">
        <v>1242</v>
      </c>
      <c r="L114" s="193">
        <v>0</v>
      </c>
      <c r="M114" s="221">
        <f t="shared" si="25"/>
        <v>1224</v>
      </c>
      <c r="N114" s="222">
        <f t="shared" si="38"/>
        <v>1278402</v>
      </c>
      <c r="O114" s="225">
        <f t="shared" si="38"/>
        <v>567259</v>
      </c>
      <c r="P114" s="224">
        <f t="shared" si="38"/>
        <v>1873900</v>
      </c>
      <c r="Q114" s="242">
        <f t="shared" si="36"/>
        <v>6668473.3</v>
      </c>
      <c r="R114" s="223">
        <f t="shared" si="36"/>
        <v>3391320</v>
      </c>
      <c r="S114" s="243">
        <f t="shared" si="36"/>
        <v>10220382.47</v>
      </c>
      <c r="T114" s="244">
        <f>N114/'2017'!N114-1</f>
        <v>0.106312827116391</v>
      </c>
      <c r="U114" s="245">
        <f>O114/'2017'!O114-1</f>
        <v>0.149260716470889</v>
      </c>
      <c r="V114" s="245">
        <f>P114/'2017'!P114-1</f>
        <v>0.0971285781532127</v>
      </c>
      <c r="W114" s="245">
        <f>Q114/'2017'!Q114-1</f>
        <v>0.074952062483244</v>
      </c>
      <c r="X114" s="245">
        <f>R114/'2017'!R114-1</f>
        <v>0.202152823835473</v>
      </c>
      <c r="Y114" s="267">
        <f>S114/'2017'!S114-1</f>
        <v>0.10632878578237</v>
      </c>
      <c r="Z114" s="268">
        <v>33.34</v>
      </c>
      <c r="AA114" s="269">
        <f t="shared" si="30"/>
        <v>633.50733</v>
      </c>
      <c r="AB114" s="270">
        <v>4269.48</v>
      </c>
      <c r="AC114" s="221">
        <f t="shared" si="31"/>
        <v>1483.80442114731</v>
      </c>
      <c r="AD114" s="270">
        <f t="shared" si="26"/>
        <v>6829062.47</v>
      </c>
      <c r="AE114" s="193">
        <f t="shared" si="28"/>
        <v>41360.29</v>
      </c>
      <c r="AF114" s="193">
        <f t="shared" si="37"/>
        <v>43161.64</v>
      </c>
      <c r="AG114" s="221">
        <f t="shared" si="27"/>
        <v>76067.239999999</v>
      </c>
      <c r="AH114" s="281"/>
      <c r="AI114" s="282"/>
      <c r="AJ114" s="282"/>
      <c r="AK114" s="282"/>
      <c r="AL114" s="282"/>
      <c r="AM114" s="282"/>
      <c r="AN114" s="282"/>
      <c r="AO114" s="282"/>
      <c r="AP114" s="282"/>
      <c r="AQ114" s="282"/>
      <c r="AR114" s="282"/>
      <c r="AS114" s="28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</row>
    <row r="115" ht="15" customHeight="1" spans="1:55">
      <c r="A115" s="189">
        <v>42845</v>
      </c>
      <c r="B115" s="184" t="s">
        <v>37</v>
      </c>
      <c r="C115" s="185">
        <v>63918</v>
      </c>
      <c r="D115" s="186">
        <f>23268+9777</f>
        <v>33045</v>
      </c>
      <c r="E115" s="186">
        <v>99648</v>
      </c>
      <c r="F115" s="187">
        <v>4827.8</v>
      </c>
      <c r="G115" s="186">
        <v>3370.2</v>
      </c>
      <c r="H115" s="188"/>
      <c r="I115" s="188"/>
      <c r="J115" s="214">
        <f t="shared" si="24"/>
        <v>66603</v>
      </c>
      <c r="K115" s="186">
        <v>1384</v>
      </c>
      <c r="L115" s="186">
        <v>0</v>
      </c>
      <c r="M115" s="215">
        <f t="shared" si="25"/>
        <v>1301</v>
      </c>
      <c r="N115" s="216">
        <f t="shared" si="38"/>
        <v>1342320</v>
      </c>
      <c r="O115" s="219">
        <f t="shared" ref="O115:P117" si="39">O114+D115</f>
        <v>600304</v>
      </c>
      <c r="P115" s="218">
        <f t="shared" si="39"/>
        <v>1973548</v>
      </c>
      <c r="Q115" s="238">
        <f t="shared" si="36"/>
        <v>6732391.3</v>
      </c>
      <c r="R115" s="217">
        <f t="shared" si="36"/>
        <v>3424365</v>
      </c>
      <c r="S115" s="239">
        <f t="shared" si="36"/>
        <v>10320030.47</v>
      </c>
      <c r="T115" s="240">
        <f>N115/'2017'!N115-1</f>
        <v>0.100831659653476</v>
      </c>
      <c r="U115" s="241">
        <f>O115/'2017'!O115-1</f>
        <v>0.153479148932899</v>
      </c>
      <c r="V115" s="241">
        <f>P115/'2017'!P115-1</f>
        <v>0.0955038529046381</v>
      </c>
      <c r="W115" s="241">
        <f>Q115/'2017'!Q115-1</f>
        <v>0.0742049788290764</v>
      </c>
      <c r="X115" s="241">
        <f>R115/'2017'!R115-1</f>
        <v>0.202425170705809</v>
      </c>
      <c r="Y115" s="262">
        <f>S115/'2017'!S115-1</f>
        <v>0.105922949318806</v>
      </c>
      <c r="Z115" s="263"/>
      <c r="AA115" s="264">
        <f t="shared" si="30"/>
        <v>673.23913</v>
      </c>
      <c r="AB115" s="265"/>
      <c r="AC115" s="266"/>
      <c r="AD115" s="265">
        <f t="shared" si="26"/>
        <v>6895665.47</v>
      </c>
      <c r="AE115" s="186">
        <f t="shared" si="28"/>
        <v>42744.29</v>
      </c>
      <c r="AF115" s="186">
        <f t="shared" si="37"/>
        <v>43161.64</v>
      </c>
      <c r="AG115" s="266">
        <f t="shared" si="27"/>
        <v>77368.239999999</v>
      </c>
      <c r="AH115" s="281"/>
      <c r="AI115" s="282"/>
      <c r="AJ115" s="282"/>
      <c r="AK115" s="282"/>
      <c r="AL115" s="282"/>
      <c r="AM115" s="282"/>
      <c r="AN115" s="282"/>
      <c r="AO115" s="282"/>
      <c r="AP115" s="282"/>
      <c r="AQ115" s="282"/>
      <c r="AR115" s="282"/>
      <c r="AS115" s="28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</row>
    <row r="116" ht="15" customHeight="1" spans="1:55">
      <c r="A116" s="189">
        <v>42846</v>
      </c>
      <c r="B116" s="184" t="s">
        <v>38</v>
      </c>
      <c r="C116" s="185">
        <v>64335</v>
      </c>
      <c r="D116" s="186">
        <f>24701+9706</f>
        <v>34407</v>
      </c>
      <c r="E116" s="186">
        <v>100766</v>
      </c>
      <c r="F116" s="187">
        <v>4987.8</v>
      </c>
      <c r="G116" s="186">
        <v>3350.6</v>
      </c>
      <c r="H116" s="188"/>
      <c r="I116" s="188"/>
      <c r="J116" s="214">
        <f t="shared" si="24"/>
        <v>66359</v>
      </c>
      <c r="K116" s="186">
        <v>1057</v>
      </c>
      <c r="L116" s="186">
        <v>0</v>
      </c>
      <c r="M116" s="215">
        <f t="shared" si="25"/>
        <v>967</v>
      </c>
      <c r="N116" s="216">
        <f t="shared" si="38"/>
        <v>1406655</v>
      </c>
      <c r="O116" s="219">
        <f t="shared" si="39"/>
        <v>634711</v>
      </c>
      <c r="P116" s="218">
        <f t="shared" si="39"/>
        <v>2074314</v>
      </c>
      <c r="Q116" s="238">
        <f t="shared" si="36"/>
        <v>6796726.3</v>
      </c>
      <c r="R116" s="217">
        <f t="shared" si="36"/>
        <v>3458772</v>
      </c>
      <c r="S116" s="239">
        <f t="shared" si="36"/>
        <v>10420796.47</v>
      </c>
      <c r="T116" s="240">
        <f>N116/'2017'!N116-1</f>
        <v>0.0959584508836433</v>
      </c>
      <c r="U116" s="241">
        <f>O116/'2017'!O116-1</f>
        <v>0.16055073550251</v>
      </c>
      <c r="V116" s="241">
        <f>P116/'2017'!P116-1</f>
        <v>0.0946201810229825</v>
      </c>
      <c r="W116" s="241">
        <f>Q116/'2017'!Q116-1</f>
        <v>0.0734867671933925</v>
      </c>
      <c r="X116" s="241">
        <f>R116/'2017'!R116-1</f>
        <v>0.203319836986207</v>
      </c>
      <c r="Y116" s="262">
        <f>S116/'2017'!S116-1</f>
        <v>0.10564190697317</v>
      </c>
      <c r="Z116" s="263"/>
      <c r="AA116" s="264">
        <f t="shared" si="30"/>
        <v>679.67263</v>
      </c>
      <c r="AB116" s="265"/>
      <c r="AC116" s="266"/>
      <c r="AD116" s="265">
        <f t="shared" si="26"/>
        <v>6962024.47</v>
      </c>
      <c r="AE116" s="186">
        <f t="shared" si="28"/>
        <v>43801.29</v>
      </c>
      <c r="AF116" s="186">
        <f t="shared" si="37"/>
        <v>43161.64</v>
      </c>
      <c r="AG116" s="266">
        <f t="shared" si="27"/>
        <v>78335.239999999</v>
      </c>
      <c r="AH116" s="281"/>
      <c r="AI116" s="282"/>
      <c r="AJ116" s="282"/>
      <c r="AK116" s="282"/>
      <c r="AL116" s="282"/>
      <c r="AM116" s="282"/>
      <c r="AN116" s="282"/>
      <c r="AO116" s="282"/>
      <c r="AP116" s="282"/>
      <c r="AQ116" s="282"/>
      <c r="AR116" s="282"/>
      <c r="AS116" s="28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</row>
    <row r="117" ht="15" customHeight="1" spans="1:55">
      <c r="A117" s="189">
        <v>42847</v>
      </c>
      <c r="B117" s="184" t="s">
        <v>1</v>
      </c>
      <c r="C117" s="185">
        <v>62314</v>
      </c>
      <c r="D117" s="186">
        <f>23776+9716</f>
        <v>33492</v>
      </c>
      <c r="E117" s="186">
        <v>97755</v>
      </c>
      <c r="F117" s="187">
        <v>4757.3</v>
      </c>
      <c r="G117" s="186">
        <v>3345.1</v>
      </c>
      <c r="H117" s="188"/>
      <c r="I117" s="188"/>
      <c r="J117" s="214">
        <f t="shared" si="24"/>
        <v>64263</v>
      </c>
      <c r="K117" s="186">
        <v>1073</v>
      </c>
      <c r="L117" s="186">
        <v>0</v>
      </c>
      <c r="M117" s="215">
        <f t="shared" si="25"/>
        <v>876</v>
      </c>
      <c r="N117" s="216">
        <f t="shared" si="38"/>
        <v>1468969</v>
      </c>
      <c r="O117" s="219">
        <f t="shared" si="39"/>
        <v>668203</v>
      </c>
      <c r="P117" s="218">
        <f t="shared" si="39"/>
        <v>2172069</v>
      </c>
      <c r="Q117" s="238">
        <f t="shared" si="36"/>
        <v>6859040.3</v>
      </c>
      <c r="R117" s="217">
        <f t="shared" si="36"/>
        <v>3492264</v>
      </c>
      <c r="S117" s="239">
        <f t="shared" si="36"/>
        <v>10518551.47</v>
      </c>
      <c r="T117" s="240">
        <f>N117/'2017'!N117-1</f>
        <v>0.090331693471529</v>
      </c>
      <c r="U117" s="241">
        <f>O117/'2017'!O117-1</f>
        <v>0.169250017498425</v>
      </c>
      <c r="V117" s="241">
        <f>P117/'2017'!P117-1</f>
        <v>0.093438720294474</v>
      </c>
      <c r="W117" s="241">
        <f>Q117/'2017'!Q117-1</f>
        <v>0.0725254843747363</v>
      </c>
      <c r="X117" s="241">
        <f>R117/'2017'!R117-1</f>
        <v>0.204672201806665</v>
      </c>
      <c r="Y117" s="262">
        <f>S117/'2017'!S117-1</f>
        <v>0.1052893796794</v>
      </c>
      <c r="Z117" s="263"/>
      <c r="AA117" s="264">
        <f t="shared" si="30"/>
        <v>685.90403</v>
      </c>
      <c r="AB117" s="265"/>
      <c r="AC117" s="266"/>
      <c r="AD117" s="265">
        <f t="shared" si="26"/>
        <v>7026287.47</v>
      </c>
      <c r="AE117" s="186">
        <f t="shared" si="28"/>
        <v>44874.29</v>
      </c>
      <c r="AF117" s="186">
        <f t="shared" si="37"/>
        <v>43161.64</v>
      </c>
      <c r="AG117" s="266">
        <f t="shared" si="27"/>
        <v>79211.239999999</v>
      </c>
      <c r="AH117" s="281"/>
      <c r="AI117" s="282"/>
      <c r="AJ117" s="282"/>
      <c r="AK117" s="282"/>
      <c r="AL117" s="282"/>
      <c r="AM117" s="282"/>
      <c r="AN117" s="282"/>
      <c r="AO117" s="282"/>
      <c r="AP117" s="282"/>
      <c r="AQ117" s="282"/>
      <c r="AR117" s="282"/>
      <c r="AS117" s="28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</row>
    <row r="118" ht="15" customHeight="1" spans="1:55">
      <c r="A118" s="189">
        <v>42848</v>
      </c>
      <c r="B118" s="184" t="s">
        <v>39</v>
      </c>
      <c r="C118" s="185">
        <v>67016</v>
      </c>
      <c r="D118" s="186">
        <f>23945+9732</f>
        <v>33677</v>
      </c>
      <c r="E118" s="186">
        <f>102626</f>
        <v>102626</v>
      </c>
      <c r="F118" s="187">
        <v>5299.1</v>
      </c>
      <c r="G118" s="186">
        <v>3301.5</v>
      </c>
      <c r="H118" s="188"/>
      <c r="I118" s="188"/>
      <c r="J118" s="214">
        <f t="shared" si="24"/>
        <v>68949</v>
      </c>
      <c r="K118" s="186">
        <v>1467</v>
      </c>
      <c r="L118" s="186">
        <v>0</v>
      </c>
      <c r="M118" s="215">
        <f t="shared" si="25"/>
        <v>466</v>
      </c>
      <c r="N118" s="216">
        <f t="shared" si="38"/>
        <v>1535985</v>
      </c>
      <c r="O118" s="219">
        <f t="shared" si="38"/>
        <v>701880</v>
      </c>
      <c r="P118" s="218">
        <f t="shared" si="38"/>
        <v>2274695</v>
      </c>
      <c r="Q118" s="238">
        <f t="shared" si="36"/>
        <v>6926056.3</v>
      </c>
      <c r="R118" s="217">
        <f t="shared" si="36"/>
        <v>3525941</v>
      </c>
      <c r="S118" s="239">
        <f t="shared" si="36"/>
        <v>10621177.47</v>
      </c>
      <c r="T118" s="240">
        <f>N118/'2017'!N118-1</f>
        <v>0.0907171677434291</v>
      </c>
      <c r="U118" s="241">
        <f>O118/'2017'!O118-1</f>
        <v>0.178705117160145</v>
      </c>
      <c r="V118" s="241">
        <f>P118/'2017'!P118-1</f>
        <v>0.0964900864005429</v>
      </c>
      <c r="W118" s="241">
        <f>Q118/'2017'!Q118-1</f>
        <v>0.0727777092036179</v>
      </c>
      <c r="X118" s="241">
        <f>R118/'2017'!R118-1</f>
        <v>0.206307733362528</v>
      </c>
      <c r="Y118" s="262">
        <f>S118/'2017'!S118-1</f>
        <v>0.105839789477909</v>
      </c>
      <c r="Z118" s="263"/>
      <c r="AA118" s="264">
        <f t="shared" si="30"/>
        <v>692.60563</v>
      </c>
      <c r="AB118" s="265"/>
      <c r="AC118" s="266"/>
      <c r="AD118" s="265">
        <f t="shared" si="26"/>
        <v>7095236.47</v>
      </c>
      <c r="AE118" s="186">
        <f t="shared" si="28"/>
        <v>46341.29</v>
      </c>
      <c r="AF118" s="186">
        <f t="shared" si="37"/>
        <v>43161.64</v>
      </c>
      <c r="AG118" s="266">
        <f t="shared" si="27"/>
        <v>79677.239999999</v>
      </c>
      <c r="AH118" s="281"/>
      <c r="AI118" s="282"/>
      <c r="AJ118" s="282"/>
      <c r="AK118" s="282"/>
      <c r="AL118" s="282"/>
      <c r="AM118" s="282"/>
      <c r="AN118" s="282"/>
      <c r="AO118" s="282"/>
      <c r="AP118" s="282"/>
      <c r="AQ118" s="282"/>
      <c r="AR118" s="282"/>
      <c r="AS118" s="28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</row>
    <row r="119" ht="15" customHeight="1" spans="1:55">
      <c r="A119" s="189">
        <v>42849</v>
      </c>
      <c r="B119" s="184" t="s">
        <v>34</v>
      </c>
      <c r="C119" s="185">
        <v>64528</v>
      </c>
      <c r="D119" s="186">
        <f>23874+9900</f>
        <v>33774</v>
      </c>
      <c r="E119" s="186">
        <v>100557</v>
      </c>
      <c r="F119" s="187">
        <v>5097.1</v>
      </c>
      <c r="G119" s="186">
        <v>3289.9</v>
      </c>
      <c r="H119" s="188"/>
      <c r="I119" s="188"/>
      <c r="J119" s="214">
        <f t="shared" si="24"/>
        <v>66783</v>
      </c>
      <c r="K119" s="186">
        <v>1122</v>
      </c>
      <c r="L119" s="186">
        <v>0</v>
      </c>
      <c r="M119" s="215">
        <f t="shared" si="25"/>
        <v>1133</v>
      </c>
      <c r="N119" s="216">
        <f t="shared" si="38"/>
        <v>1600513</v>
      </c>
      <c r="O119" s="219">
        <f t="shared" si="38"/>
        <v>735654</v>
      </c>
      <c r="P119" s="218">
        <f t="shared" si="38"/>
        <v>2375252</v>
      </c>
      <c r="Q119" s="238">
        <f t="shared" si="36"/>
        <v>6990584.3</v>
      </c>
      <c r="R119" s="217">
        <f t="shared" si="36"/>
        <v>3559715</v>
      </c>
      <c r="S119" s="239">
        <f t="shared" si="36"/>
        <v>10721734.47</v>
      </c>
      <c r="T119" s="240">
        <f>N119/'2017'!N119-1</f>
        <v>0.0861554143101255</v>
      </c>
      <c r="U119" s="241">
        <f>O119/'2017'!O119-1</f>
        <v>0.18784917554205</v>
      </c>
      <c r="V119" s="241">
        <f>P119/'2017'!P119-1</f>
        <v>0.0962902243902619</v>
      </c>
      <c r="W119" s="241">
        <f>Q119/'2017'!Q119-1</f>
        <v>0.071926659676173</v>
      </c>
      <c r="X119" s="241">
        <f>R119/'2017'!R119-1</f>
        <v>0.208006124674177</v>
      </c>
      <c r="Y119" s="262">
        <f>S119/'2017'!S119-1</f>
        <v>0.105706325693861</v>
      </c>
      <c r="Z119" s="263"/>
      <c r="AA119" s="264">
        <f t="shared" si="30"/>
        <v>699.05843</v>
      </c>
      <c r="AB119" s="265"/>
      <c r="AC119" s="266"/>
      <c r="AD119" s="265">
        <f t="shared" si="26"/>
        <v>7162019.47</v>
      </c>
      <c r="AE119" s="186">
        <f t="shared" si="28"/>
        <v>47463.29</v>
      </c>
      <c r="AF119" s="186">
        <f t="shared" ref="AF119:AF134" si="40">AF118+L119</f>
        <v>43161.64</v>
      </c>
      <c r="AG119" s="266">
        <f t="shared" si="27"/>
        <v>80810.239999999</v>
      </c>
      <c r="AH119" s="281"/>
      <c r="AI119" s="282"/>
      <c r="AJ119" s="282"/>
      <c r="AK119" s="282"/>
      <c r="AL119" s="282"/>
      <c r="AM119" s="282"/>
      <c r="AN119" s="282"/>
      <c r="AO119" s="282"/>
      <c r="AP119" s="282"/>
      <c r="AQ119" s="282"/>
      <c r="AR119" s="282"/>
      <c r="AS119" s="28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</row>
    <row r="120" ht="15" customHeight="1" spans="1:55">
      <c r="A120" s="189">
        <v>42850</v>
      </c>
      <c r="B120" s="184" t="s">
        <v>35</v>
      </c>
      <c r="C120" s="185">
        <f>60476+3775</f>
        <v>64251</v>
      </c>
      <c r="D120" s="186">
        <f>11753+20979</f>
        <v>32732</v>
      </c>
      <c r="E120" s="186">
        <f>78656+20979</f>
        <v>99635</v>
      </c>
      <c r="F120" s="187">
        <v>4803</v>
      </c>
      <c r="G120" s="186">
        <v>3357</v>
      </c>
      <c r="H120" s="188"/>
      <c r="I120" s="188"/>
      <c r="J120" s="214">
        <f t="shared" si="24"/>
        <v>66903</v>
      </c>
      <c r="K120" s="186">
        <v>1364</v>
      </c>
      <c r="L120" s="186">
        <v>0</v>
      </c>
      <c r="M120" s="215">
        <f t="shared" si="25"/>
        <v>1288</v>
      </c>
      <c r="N120" s="216">
        <f t="shared" si="38"/>
        <v>1664764</v>
      </c>
      <c r="O120" s="219">
        <f t="shared" si="38"/>
        <v>768386</v>
      </c>
      <c r="P120" s="218">
        <f t="shared" si="38"/>
        <v>2474887</v>
      </c>
      <c r="Q120" s="238">
        <f t="shared" si="36"/>
        <v>7054835.3</v>
      </c>
      <c r="R120" s="217">
        <f t="shared" si="36"/>
        <v>3592447</v>
      </c>
      <c r="S120" s="239">
        <f t="shared" si="36"/>
        <v>10821369.47</v>
      </c>
      <c r="T120" s="240">
        <f>N120/'2017'!N120-1</f>
        <v>0.0803217933418083</v>
      </c>
      <c r="U120" s="241">
        <f>O120/'2017'!O120-1</f>
        <v>0.193485105239532</v>
      </c>
      <c r="V120" s="241">
        <f>P120/'2017'!P120-1</f>
        <v>0.0947393052356584</v>
      </c>
      <c r="W120" s="241">
        <f>Q120/'2017'!Q120-1</f>
        <v>0.0707079384599651</v>
      </c>
      <c r="X120" s="241">
        <f>R120/'2017'!R120-1</f>
        <v>0.209061108549543</v>
      </c>
      <c r="Y120" s="262">
        <f>S120/'2017'!S120-1</f>
        <v>0.105257735420372</v>
      </c>
      <c r="Z120" s="263"/>
      <c r="AA120" s="264">
        <f t="shared" si="30"/>
        <v>705.48353</v>
      </c>
      <c r="AB120" s="265"/>
      <c r="AC120" s="266"/>
      <c r="AD120" s="265">
        <f t="shared" si="26"/>
        <v>7228922.47</v>
      </c>
      <c r="AE120" s="186">
        <f t="shared" si="28"/>
        <v>48827.29</v>
      </c>
      <c r="AF120" s="186">
        <f t="shared" si="40"/>
        <v>43161.64</v>
      </c>
      <c r="AG120" s="266">
        <f t="shared" si="27"/>
        <v>82098.239999999</v>
      </c>
      <c r="AH120" s="281"/>
      <c r="AI120" s="282"/>
      <c r="AJ120" s="282"/>
      <c r="AK120" s="282"/>
      <c r="AL120" s="282"/>
      <c r="AM120" s="282"/>
      <c r="AN120" s="282"/>
      <c r="AO120" s="282"/>
      <c r="AP120" s="282"/>
      <c r="AQ120" s="282"/>
      <c r="AR120" s="282"/>
      <c r="AS120" s="28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</row>
    <row r="121" s="163" customFormat="1" ht="15" customHeight="1" spans="1:55">
      <c r="A121" s="190">
        <v>42851</v>
      </c>
      <c r="B121" s="191" t="s">
        <v>36</v>
      </c>
      <c r="C121" s="192">
        <f>64318+3665</f>
        <v>67983</v>
      </c>
      <c r="D121" s="193">
        <f>19951+11494</f>
        <v>31445</v>
      </c>
      <c r="E121" s="193">
        <f>81735+19951</f>
        <v>101686</v>
      </c>
      <c r="F121" s="194">
        <v>4893</v>
      </c>
      <c r="G121" s="193">
        <v>3408</v>
      </c>
      <c r="H121" s="195"/>
      <c r="I121" s="195"/>
      <c r="J121" s="220">
        <f t="shared" si="24"/>
        <v>70241</v>
      </c>
      <c r="K121" s="193">
        <v>1357</v>
      </c>
      <c r="L121" s="193">
        <v>0</v>
      </c>
      <c r="M121" s="221">
        <f t="shared" si="25"/>
        <v>901</v>
      </c>
      <c r="N121" s="222">
        <f t="shared" si="38"/>
        <v>1732747</v>
      </c>
      <c r="O121" s="225">
        <f t="shared" si="38"/>
        <v>799831</v>
      </c>
      <c r="P121" s="224">
        <f t="shared" si="38"/>
        <v>2576573</v>
      </c>
      <c r="Q121" s="242">
        <f t="shared" si="36"/>
        <v>7122818.3</v>
      </c>
      <c r="R121" s="223">
        <f t="shared" si="36"/>
        <v>3623892</v>
      </c>
      <c r="S121" s="243">
        <f t="shared" si="36"/>
        <v>10923055.47</v>
      </c>
      <c r="T121" s="244">
        <f>N121/'2017'!N121-1</f>
        <v>0.0775488248152258</v>
      </c>
      <c r="U121" s="245">
        <f>O121/'2017'!O121-1</f>
        <v>0.196681797915538</v>
      </c>
      <c r="V121" s="245">
        <f>P121/'2017'!P121-1</f>
        <v>0.0944459028147679</v>
      </c>
      <c r="W121" s="245">
        <f>Q121/'2017'!Q121-1</f>
        <v>0.0701348628632412</v>
      </c>
      <c r="X121" s="245">
        <f>R121/'2017'!R121-1</f>
        <v>0.209646618446259</v>
      </c>
      <c r="Y121" s="267">
        <f>S121/'2017'!S121-1</f>
        <v>0.105088337190944</v>
      </c>
      <c r="Z121" s="268">
        <v>35.86</v>
      </c>
      <c r="AA121" s="269">
        <f t="shared" si="30"/>
        <v>676.42183</v>
      </c>
      <c r="AB121" s="270">
        <v>4269.48</v>
      </c>
      <c r="AC121" s="221">
        <f t="shared" si="31"/>
        <v>1584.31900371942</v>
      </c>
      <c r="AD121" s="270">
        <f t="shared" si="26"/>
        <v>7299163.47</v>
      </c>
      <c r="AE121" s="193">
        <f t="shared" si="28"/>
        <v>50184.29</v>
      </c>
      <c r="AF121" s="193">
        <f t="shared" si="40"/>
        <v>43161.64</v>
      </c>
      <c r="AG121" s="221">
        <f t="shared" si="27"/>
        <v>82999.239999999</v>
      </c>
      <c r="AH121" s="281"/>
      <c r="AI121" s="282"/>
      <c r="AJ121" s="282"/>
      <c r="AK121" s="282"/>
      <c r="AL121" s="282"/>
      <c r="AM121" s="282"/>
      <c r="AN121" s="282"/>
      <c r="AO121" s="282"/>
      <c r="AP121" s="282"/>
      <c r="AQ121" s="282"/>
      <c r="AR121" s="282"/>
      <c r="AS121" s="28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</row>
    <row r="122" ht="15" customHeight="1" spans="1:55">
      <c r="A122" s="189">
        <v>42852</v>
      </c>
      <c r="B122" s="184" t="s">
        <v>37</v>
      </c>
      <c r="C122" s="185">
        <f>63496+3196</f>
        <v>66692</v>
      </c>
      <c r="D122" s="186">
        <f>22259+11471</f>
        <v>33730</v>
      </c>
      <c r="E122" s="186">
        <f>79993+22259</f>
        <v>102252</v>
      </c>
      <c r="F122" s="187">
        <v>4991</v>
      </c>
      <c r="G122" s="186">
        <v>3418</v>
      </c>
      <c r="H122" s="188"/>
      <c r="I122" s="188"/>
      <c r="J122" s="214">
        <f t="shared" si="24"/>
        <v>68522</v>
      </c>
      <c r="K122" s="186">
        <v>951</v>
      </c>
      <c r="L122" s="186">
        <v>0</v>
      </c>
      <c r="M122" s="215">
        <f t="shared" si="25"/>
        <v>879</v>
      </c>
      <c r="N122" s="216">
        <f t="shared" si="38"/>
        <v>1799439</v>
      </c>
      <c r="O122" s="219">
        <f t="shared" si="38"/>
        <v>833561</v>
      </c>
      <c r="P122" s="218">
        <f t="shared" si="38"/>
        <v>2678825</v>
      </c>
      <c r="Q122" s="238">
        <f t="shared" si="36"/>
        <v>7189510.3</v>
      </c>
      <c r="R122" s="217">
        <f t="shared" si="36"/>
        <v>3657622</v>
      </c>
      <c r="S122" s="239">
        <f t="shared" si="36"/>
        <v>11025307.47</v>
      </c>
      <c r="T122" s="240">
        <f>N122/'2017'!N122-1</f>
        <v>0.075701591040199</v>
      </c>
      <c r="U122" s="241">
        <f>O122/'2017'!O122-1</f>
        <v>0.203409724167203</v>
      </c>
      <c r="V122" s="241">
        <f>P122/'2017'!P122-1</f>
        <v>0.0950602158950669</v>
      </c>
      <c r="W122" s="241">
        <f>Q122/'2017'!Q122-1</f>
        <v>0.0697465238238859</v>
      </c>
      <c r="X122" s="241">
        <f>R122/'2017'!R122-1</f>
        <v>0.211085391006116</v>
      </c>
      <c r="Y122" s="262">
        <f>S122/'2017'!S122-1</f>
        <v>0.105140770334876</v>
      </c>
      <c r="Z122" s="263"/>
      <c r="AA122" s="264">
        <f t="shared" si="30"/>
        <v>718.95103</v>
      </c>
      <c r="AB122" s="265"/>
      <c r="AC122" s="266"/>
      <c r="AD122" s="265">
        <f t="shared" si="26"/>
        <v>7367685.47</v>
      </c>
      <c r="AE122" s="186">
        <f t="shared" si="28"/>
        <v>51135.29</v>
      </c>
      <c r="AF122" s="186">
        <f t="shared" si="40"/>
        <v>43161.64</v>
      </c>
      <c r="AG122" s="266">
        <f t="shared" si="27"/>
        <v>83878.239999999</v>
      </c>
      <c r="AH122" s="281"/>
      <c r="AI122" s="282"/>
      <c r="AJ122" s="282"/>
      <c r="AK122" s="282"/>
      <c r="AL122" s="282"/>
      <c r="AM122" s="282"/>
      <c r="AN122" s="282"/>
      <c r="AO122" s="282"/>
      <c r="AP122" s="282"/>
      <c r="AQ122" s="282"/>
      <c r="AR122" s="282"/>
      <c r="AS122" s="28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</row>
    <row r="123" ht="15" customHeight="1" spans="1:55">
      <c r="A123" s="189">
        <v>42853</v>
      </c>
      <c r="B123" s="184" t="s">
        <v>38</v>
      </c>
      <c r="C123" s="185">
        <f>64575+3787</f>
        <v>68362</v>
      </c>
      <c r="D123" s="186">
        <f>20142+11302</f>
        <v>31444</v>
      </c>
      <c r="E123" s="186">
        <f>81623+20142</f>
        <v>101765</v>
      </c>
      <c r="F123" s="187">
        <v>4992</v>
      </c>
      <c r="G123" s="186">
        <v>3442</v>
      </c>
      <c r="H123" s="188"/>
      <c r="I123" s="188"/>
      <c r="J123" s="214">
        <f t="shared" si="24"/>
        <v>70321</v>
      </c>
      <c r="K123" s="186">
        <v>996</v>
      </c>
      <c r="L123" s="186">
        <v>0</v>
      </c>
      <c r="M123" s="215">
        <f t="shared" si="25"/>
        <v>963</v>
      </c>
      <c r="N123" s="216">
        <f t="shared" si="38"/>
        <v>1867801</v>
      </c>
      <c r="O123" s="219">
        <f t="shared" si="38"/>
        <v>865005</v>
      </c>
      <c r="P123" s="218">
        <f t="shared" si="38"/>
        <v>2780590</v>
      </c>
      <c r="Q123" s="238">
        <f t="shared" si="36"/>
        <v>7257872.3</v>
      </c>
      <c r="R123" s="217">
        <f t="shared" si="36"/>
        <v>3689066</v>
      </c>
      <c r="S123" s="239">
        <f t="shared" si="36"/>
        <v>11127072.47</v>
      </c>
      <c r="T123" s="240">
        <f>N123/'2017'!N123-1</f>
        <v>0.0754402692802418</v>
      </c>
      <c r="U123" s="241">
        <f>O123/'2017'!O123-1</f>
        <v>0.205978551830288</v>
      </c>
      <c r="V123" s="241">
        <f>P123/'2017'!P123-1</f>
        <v>0.0955861580390489</v>
      </c>
      <c r="W123" s="241">
        <f>Q123/'2017'!Q123-1</f>
        <v>0.0697357799431715</v>
      </c>
      <c r="X123" s="241">
        <f>R123/'2017'!R123-1</f>
        <v>0.211628535591321</v>
      </c>
      <c r="Y123" s="262">
        <f>S123/'2017'!S123-1</f>
        <v>0.105181525778246</v>
      </c>
      <c r="Z123" s="263"/>
      <c r="AA123" s="264">
        <f t="shared" si="30"/>
        <v>725.78723</v>
      </c>
      <c r="AB123" s="265"/>
      <c r="AC123" s="266"/>
      <c r="AD123" s="265">
        <f t="shared" si="26"/>
        <v>7438006.47</v>
      </c>
      <c r="AE123" s="186">
        <f t="shared" si="28"/>
        <v>52131.29</v>
      </c>
      <c r="AF123" s="186">
        <f t="shared" si="40"/>
        <v>43161.64</v>
      </c>
      <c r="AG123" s="266">
        <f t="shared" si="27"/>
        <v>84841.239999999</v>
      </c>
      <c r="AH123" s="281"/>
      <c r="AI123" s="282"/>
      <c r="AJ123" s="282"/>
      <c r="AK123" s="282"/>
      <c r="AL123" s="282"/>
      <c r="AM123" s="282"/>
      <c r="AN123" s="282"/>
      <c r="AO123" s="282"/>
      <c r="AP123" s="282"/>
      <c r="AQ123" s="282"/>
      <c r="AR123" s="282"/>
      <c r="AS123" s="28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</row>
    <row r="124" ht="15" customHeight="1" spans="1:55">
      <c r="A124" s="189">
        <v>42854</v>
      </c>
      <c r="B124" s="184" t="s">
        <v>1</v>
      </c>
      <c r="C124" s="185">
        <f>65248+3680</f>
        <v>68928</v>
      </c>
      <c r="D124" s="186">
        <f>18489+10767</f>
        <v>29256</v>
      </c>
      <c r="E124" s="186">
        <f>81006+18489</f>
        <v>99495</v>
      </c>
      <c r="F124" s="187">
        <v>4887</v>
      </c>
      <c r="G124" s="186">
        <v>3397</v>
      </c>
      <c r="H124" s="188"/>
      <c r="I124" s="188"/>
      <c r="J124" s="214">
        <f t="shared" si="24"/>
        <v>70239</v>
      </c>
      <c r="K124" s="186">
        <v>467</v>
      </c>
      <c r="L124" s="186">
        <v>0</v>
      </c>
      <c r="M124" s="215">
        <f t="shared" si="25"/>
        <v>844</v>
      </c>
      <c r="N124" s="216">
        <f t="shared" si="38"/>
        <v>1936729</v>
      </c>
      <c r="O124" s="219">
        <f t="shared" si="38"/>
        <v>894261</v>
      </c>
      <c r="P124" s="218">
        <f t="shared" si="38"/>
        <v>2880085</v>
      </c>
      <c r="Q124" s="238">
        <f t="shared" si="36"/>
        <v>7326800.3</v>
      </c>
      <c r="R124" s="217">
        <f t="shared" si="36"/>
        <v>3718322</v>
      </c>
      <c r="S124" s="239">
        <f t="shared" si="36"/>
        <v>11226567.47</v>
      </c>
      <c r="T124" s="240">
        <f>N124/'2017'!N124-1</f>
        <v>0.0766783411162997</v>
      </c>
      <c r="U124" s="241">
        <f>O124/'2017'!O124-1</f>
        <v>0.206281353824239</v>
      </c>
      <c r="V124" s="241">
        <f>P124/'2017'!P124-1</f>
        <v>0.0962781693303918</v>
      </c>
      <c r="W124" s="241">
        <f>Q124/'2017'!Q124-1</f>
        <v>0.0701127245288078</v>
      </c>
      <c r="X124" s="241">
        <f>R124/'2017'!R124-1</f>
        <v>0.21165736332561</v>
      </c>
      <c r="Y124" s="262">
        <f>S124/'2017'!S124-1</f>
        <v>0.105276289723197</v>
      </c>
      <c r="Z124" s="263"/>
      <c r="AA124" s="264">
        <f t="shared" si="30"/>
        <v>732.68003</v>
      </c>
      <c r="AB124" s="265"/>
      <c r="AC124" s="266"/>
      <c r="AD124" s="265">
        <f t="shared" si="26"/>
        <v>7508245.47</v>
      </c>
      <c r="AE124" s="186">
        <f t="shared" si="28"/>
        <v>52598.29</v>
      </c>
      <c r="AF124" s="186">
        <f t="shared" si="40"/>
        <v>43161.64</v>
      </c>
      <c r="AG124" s="266">
        <f t="shared" si="27"/>
        <v>85685.239999999</v>
      </c>
      <c r="AH124" s="281"/>
      <c r="AI124" s="282"/>
      <c r="AJ124" s="282"/>
      <c r="AK124" s="282"/>
      <c r="AL124" s="282"/>
      <c r="AM124" s="282"/>
      <c r="AN124" s="282"/>
      <c r="AO124" s="282"/>
      <c r="AP124" s="282"/>
      <c r="AQ124" s="282"/>
      <c r="AR124" s="282"/>
      <c r="AS124" s="28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</row>
    <row r="125" ht="15" customHeight="1" spans="1:55">
      <c r="A125" s="204">
        <v>42855</v>
      </c>
      <c r="B125" s="197" t="s">
        <v>39</v>
      </c>
      <c r="C125" s="198">
        <f>59393+3745</f>
        <v>63138</v>
      </c>
      <c r="D125" s="199">
        <f>16694+10304</f>
        <v>26998</v>
      </c>
      <c r="E125" s="199">
        <f>74493+16694</f>
        <v>91187</v>
      </c>
      <c r="F125" s="200">
        <v>4294</v>
      </c>
      <c r="G125" s="199">
        <v>3288</v>
      </c>
      <c r="H125" s="201"/>
      <c r="I125" s="201"/>
      <c r="J125" s="226">
        <f t="shared" si="24"/>
        <v>64189</v>
      </c>
      <c r="K125" s="199">
        <v>184</v>
      </c>
      <c r="L125" s="199">
        <v>0</v>
      </c>
      <c r="M125" s="227">
        <f t="shared" si="25"/>
        <v>867</v>
      </c>
      <c r="N125" s="228">
        <f>[3]表2、统调口径电量!$D$10</f>
        <v>2000577.88</v>
      </c>
      <c r="O125" s="232">
        <f>[3]表2、统调口径电量!$D$14</f>
        <v>921258</v>
      </c>
      <c r="P125" s="230">
        <f>[3]表2、统调口径电量!$D$3</f>
        <v>2971268.14</v>
      </c>
      <c r="Q125" s="246">
        <f>[3]表2、统调口径电量!$I$10</f>
        <v>7390704.48</v>
      </c>
      <c r="R125" s="229">
        <f>[3]表2、统调口径电量!$I$14</f>
        <v>3745318</v>
      </c>
      <c r="S125" s="247">
        <f>[3]表2、统调口径电量!$I$3</f>
        <v>11317748.98</v>
      </c>
      <c r="T125" s="248">
        <f>N125/'2017'!N125-1</f>
        <v>0.0806393376297945</v>
      </c>
      <c r="U125" s="249">
        <f>O125/'2017'!O125-1</f>
        <v>0.20336848815125</v>
      </c>
      <c r="V125" s="249">
        <f>P125/'2017'!P125-1</f>
        <v>0.097874842093584</v>
      </c>
      <c r="W125" s="249">
        <f>Q125/'2017'!Q125-1</f>
        <v>0.0712335560360553</v>
      </c>
      <c r="X125" s="249">
        <f>R125/'2017'!R125-1</f>
        <v>0.210893951831528</v>
      </c>
      <c r="Y125" s="272">
        <f>S125/'2017'!S125-1</f>
        <v>0.105628108057389</v>
      </c>
      <c r="Z125" s="273">
        <f>[3]表2、统调口径电量!$I$12/10000</f>
        <v>37.157039</v>
      </c>
      <c r="AA125" s="274">
        <f t="shared" si="30"/>
        <v>701.913409</v>
      </c>
      <c r="AB125" s="275">
        <v>4283.88</v>
      </c>
      <c r="AC125" s="276">
        <f t="shared" si="31"/>
        <v>1638.49923200463</v>
      </c>
      <c r="AD125" s="275">
        <f>[3]表2、统调口径电量!$I$4</f>
        <v>7572430.98</v>
      </c>
      <c r="AE125" s="199">
        <f>[3]表2、统调口径电量!$I$13</f>
        <v>52541.2</v>
      </c>
      <c r="AF125" s="199">
        <f>[3]表2、统调口径电量!$I$15</f>
        <v>43161.64</v>
      </c>
      <c r="AG125" s="276">
        <f>[3]表2、统调口径电量!$I$16+[3]表2、统调口径电量!$I$17</f>
        <v>86023.66</v>
      </c>
      <c r="AH125" s="289"/>
      <c r="AI125" s="282"/>
      <c r="AJ125" s="282"/>
      <c r="AK125" s="282"/>
      <c r="AL125" s="282"/>
      <c r="AM125" s="282"/>
      <c r="AN125" s="282"/>
      <c r="AO125" s="282"/>
      <c r="AP125" s="282"/>
      <c r="AQ125" s="282"/>
      <c r="AR125" s="282"/>
      <c r="AS125" s="28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</row>
    <row r="126" ht="15" customHeight="1" spans="1:55">
      <c r="A126" s="189">
        <v>42856</v>
      </c>
      <c r="B126" s="184" t="s">
        <v>34</v>
      </c>
      <c r="C126" s="185">
        <f>44761+1383</f>
        <v>46144</v>
      </c>
      <c r="D126" s="186">
        <f>14888+10251</f>
        <v>25139</v>
      </c>
      <c r="E126" s="186">
        <f>57400+14888</f>
        <v>72288</v>
      </c>
      <c r="F126" s="187">
        <v>3323</v>
      </c>
      <c r="G126" s="186">
        <v>2743</v>
      </c>
      <c r="H126" s="188"/>
      <c r="I126" s="188"/>
      <c r="J126" s="214">
        <f t="shared" si="24"/>
        <v>47149</v>
      </c>
      <c r="K126" s="186">
        <v>248</v>
      </c>
      <c r="L126" s="186">
        <v>0</v>
      </c>
      <c r="M126" s="215">
        <f t="shared" si="25"/>
        <v>757</v>
      </c>
      <c r="N126" s="216">
        <f>C126</f>
        <v>46144</v>
      </c>
      <c r="O126" s="219">
        <f>D126</f>
        <v>25139</v>
      </c>
      <c r="P126" s="218">
        <f>E126</f>
        <v>72288</v>
      </c>
      <c r="Q126" s="238">
        <f>N126+Q$125</f>
        <v>7436848.48</v>
      </c>
      <c r="R126" s="217">
        <f>O126+R$125</f>
        <v>3770457</v>
      </c>
      <c r="S126" s="239">
        <f>P126+S$125</f>
        <v>11390036.98</v>
      </c>
      <c r="T126" s="240">
        <f>N126/'2017'!N126-1</f>
        <v>0.143848689918445</v>
      </c>
      <c r="U126" s="241">
        <f>O126/'2017'!O126-1</f>
        <v>0.240574417686538</v>
      </c>
      <c r="V126" s="241">
        <f>P126/'2017'!P126-1</f>
        <v>0.165634674922601</v>
      </c>
      <c r="W126" s="241">
        <f>Q126/'2017'!Q126-1</f>
        <v>0.0716556801276553</v>
      </c>
      <c r="X126" s="241">
        <f>R126/'2017'!R126-1</f>
        <v>0.211087138560806</v>
      </c>
      <c r="Y126" s="262">
        <f>S126/'2017'!S126-1</f>
        <v>0.105989458328427</v>
      </c>
      <c r="Z126" s="263"/>
      <c r="AA126" s="264">
        <f t="shared" si="30"/>
        <v>743.684848</v>
      </c>
      <c r="AB126" s="265"/>
      <c r="AC126" s="266"/>
      <c r="AD126" s="265">
        <f t="shared" si="26"/>
        <v>7619579.98</v>
      </c>
      <c r="AE126" s="186">
        <f t="shared" si="28"/>
        <v>52789.2</v>
      </c>
      <c r="AF126" s="186">
        <f t="shared" si="40"/>
        <v>43161.64</v>
      </c>
      <c r="AG126" s="266">
        <f t="shared" si="27"/>
        <v>86780.66</v>
      </c>
      <c r="AH126" s="281"/>
      <c r="AI126" s="282"/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28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</row>
    <row r="127" ht="15" customHeight="1" spans="1:55">
      <c r="A127" s="189">
        <v>42857</v>
      </c>
      <c r="B127" s="184" t="s">
        <v>35</v>
      </c>
      <c r="C127" s="185">
        <f>55910+3538</f>
        <v>59448</v>
      </c>
      <c r="D127" s="186">
        <f>17722+11296</f>
        <v>29018</v>
      </c>
      <c r="E127" s="186">
        <f>72798+17722</f>
        <v>90520</v>
      </c>
      <c r="F127" s="187">
        <v>4606</v>
      </c>
      <c r="G127" s="186">
        <v>2578</v>
      </c>
      <c r="H127" s="188"/>
      <c r="I127" s="188"/>
      <c r="J127" s="214">
        <f t="shared" si="24"/>
        <v>61502</v>
      </c>
      <c r="K127" s="186">
        <v>1205</v>
      </c>
      <c r="L127" s="186">
        <v>0</v>
      </c>
      <c r="M127" s="215">
        <f t="shared" si="25"/>
        <v>849</v>
      </c>
      <c r="N127" s="216">
        <f t="shared" ref="N127:P142" si="41">N126+C127</f>
        <v>105592</v>
      </c>
      <c r="O127" s="219">
        <f t="shared" si="41"/>
        <v>54157</v>
      </c>
      <c r="P127" s="218">
        <f t="shared" si="41"/>
        <v>162808</v>
      </c>
      <c r="Q127" s="238">
        <f t="shared" ref="Q127:S155" si="42">N127+Q$125</f>
        <v>7496296.48</v>
      </c>
      <c r="R127" s="217">
        <f t="shared" si="42"/>
        <v>3799475</v>
      </c>
      <c r="S127" s="239">
        <f t="shared" si="42"/>
        <v>11480556.98</v>
      </c>
      <c r="T127" s="240">
        <f>N127/'2017'!N127-1</f>
        <v>0.134677999978508</v>
      </c>
      <c r="U127" s="241">
        <f>O127/'2017'!O127-1</f>
        <v>0.222036690209175</v>
      </c>
      <c r="V127" s="241">
        <f>P127/'2017'!P127-1</f>
        <v>0.155863518252943</v>
      </c>
      <c r="W127" s="241">
        <f>Q127/'2017'!Q127-1</f>
        <v>0.0720779236650098</v>
      </c>
      <c r="X127" s="241">
        <f>R127/'2017'!R127-1</f>
        <v>0.211051350572588</v>
      </c>
      <c r="Y127" s="262">
        <f>S127/'2017'!S127-1</f>
        <v>0.106309964586165</v>
      </c>
      <c r="Z127" s="263"/>
      <c r="AA127" s="264">
        <f t="shared" si="30"/>
        <v>749.629648</v>
      </c>
      <c r="AB127" s="265"/>
      <c r="AC127" s="266"/>
      <c r="AD127" s="265">
        <f t="shared" si="26"/>
        <v>7681081.98</v>
      </c>
      <c r="AE127" s="186">
        <f t="shared" si="28"/>
        <v>53994.2</v>
      </c>
      <c r="AF127" s="186">
        <f t="shared" si="40"/>
        <v>43161.64</v>
      </c>
      <c r="AG127" s="266">
        <f t="shared" si="27"/>
        <v>87629.66</v>
      </c>
      <c r="AH127" s="281"/>
      <c r="AI127" s="282"/>
      <c r="AJ127" s="282"/>
      <c r="AK127" s="282"/>
      <c r="AL127" s="282"/>
      <c r="AM127" s="282"/>
      <c r="AN127" s="282"/>
      <c r="AO127" s="282"/>
      <c r="AP127" s="282"/>
      <c r="AQ127" s="282"/>
      <c r="AR127" s="282"/>
      <c r="AS127" s="28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</row>
    <row r="128" s="163" customFormat="1" ht="15" customHeight="1" spans="1:55">
      <c r="A128" s="190">
        <v>42858</v>
      </c>
      <c r="B128" s="191" t="s">
        <v>36</v>
      </c>
      <c r="C128" s="192">
        <f>63443+2995</f>
        <v>66438</v>
      </c>
      <c r="D128" s="193">
        <f>17483+12214</f>
        <v>29697</v>
      </c>
      <c r="E128" s="193">
        <f>80387+17483</f>
        <v>97870</v>
      </c>
      <c r="F128" s="194">
        <v>4782</v>
      </c>
      <c r="G128" s="193">
        <v>3224</v>
      </c>
      <c r="H128" s="195"/>
      <c r="I128" s="195"/>
      <c r="J128" s="220">
        <f t="shared" si="24"/>
        <v>68173</v>
      </c>
      <c r="K128" s="193">
        <v>686</v>
      </c>
      <c r="L128" s="193">
        <v>0</v>
      </c>
      <c r="M128" s="221">
        <f t="shared" si="25"/>
        <v>1049</v>
      </c>
      <c r="N128" s="222">
        <f t="shared" si="41"/>
        <v>172030</v>
      </c>
      <c r="O128" s="225">
        <f t="shared" si="41"/>
        <v>83854</v>
      </c>
      <c r="P128" s="224">
        <f t="shared" si="41"/>
        <v>260678</v>
      </c>
      <c r="Q128" s="242">
        <f t="shared" si="42"/>
        <v>7562734.48</v>
      </c>
      <c r="R128" s="223">
        <f t="shared" si="42"/>
        <v>3829172</v>
      </c>
      <c r="S128" s="243">
        <f t="shared" si="42"/>
        <v>11578426.98</v>
      </c>
      <c r="T128" s="244">
        <f>N128/'2017'!N128-1</f>
        <v>0.116012637287784</v>
      </c>
      <c r="U128" s="245">
        <f>O128/'2017'!O128-1</f>
        <v>0.190262597586941</v>
      </c>
      <c r="V128" s="245">
        <f>P128/'2017'!P128-1</f>
        <v>0.131955360632246</v>
      </c>
      <c r="W128" s="245">
        <f>Q128/'2017'!Q128-1</f>
        <v>0.0722121716386108</v>
      </c>
      <c r="X128" s="245">
        <f>R128/'2017'!R128-1</f>
        <v>0.210434494537484</v>
      </c>
      <c r="Y128" s="267">
        <f>S128/'2017'!S128-1</f>
        <v>0.106207360137915</v>
      </c>
      <c r="Z128" s="268">
        <v>38.09</v>
      </c>
      <c r="AA128" s="269">
        <f t="shared" si="30"/>
        <v>718.183448</v>
      </c>
      <c r="AB128" s="270">
        <v>4283.88</v>
      </c>
      <c r="AC128" s="221">
        <f t="shared" si="31"/>
        <v>1676.47891164085</v>
      </c>
      <c r="AD128" s="270">
        <f t="shared" si="26"/>
        <v>7749254.98</v>
      </c>
      <c r="AE128" s="193">
        <f t="shared" si="28"/>
        <v>54680.2</v>
      </c>
      <c r="AF128" s="193">
        <f t="shared" si="40"/>
        <v>43161.64</v>
      </c>
      <c r="AG128" s="221">
        <f t="shared" si="27"/>
        <v>88678.66</v>
      </c>
      <c r="AH128" s="281"/>
      <c r="AI128" s="282"/>
      <c r="AJ128" s="282"/>
      <c r="AK128" s="282"/>
      <c r="AL128" s="282"/>
      <c r="AM128" s="282"/>
      <c r="AN128" s="282"/>
      <c r="AO128" s="282"/>
      <c r="AP128" s="282"/>
      <c r="AQ128" s="282"/>
      <c r="AR128" s="282"/>
      <c r="AS128" s="28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</row>
    <row r="129" ht="15" customHeight="1" spans="1:55">
      <c r="A129" s="189">
        <v>42859</v>
      </c>
      <c r="B129" s="184" t="s">
        <v>37</v>
      </c>
      <c r="C129" s="185">
        <f>67852+2829</f>
        <v>70681</v>
      </c>
      <c r="D129" s="186">
        <f>15835+12237</f>
        <v>28072</v>
      </c>
      <c r="E129" s="186">
        <f>84677+15835</f>
        <v>100512</v>
      </c>
      <c r="F129" s="187">
        <v>4864</v>
      </c>
      <c r="G129" s="186">
        <v>3382</v>
      </c>
      <c r="H129" s="188"/>
      <c r="I129" s="188"/>
      <c r="J129" s="214">
        <f t="shared" si="24"/>
        <v>72440</v>
      </c>
      <c r="K129" s="186">
        <v>463</v>
      </c>
      <c r="L129" s="186">
        <v>0</v>
      </c>
      <c r="M129" s="215">
        <f t="shared" si="25"/>
        <v>1296</v>
      </c>
      <c r="N129" s="216">
        <f t="shared" si="41"/>
        <v>242711</v>
      </c>
      <c r="O129" s="219">
        <f t="shared" si="41"/>
        <v>111926</v>
      </c>
      <c r="P129" s="218">
        <f t="shared" si="41"/>
        <v>361190</v>
      </c>
      <c r="Q129" s="238">
        <f t="shared" si="42"/>
        <v>7633415.48</v>
      </c>
      <c r="R129" s="217">
        <f t="shared" si="42"/>
        <v>3857244</v>
      </c>
      <c r="S129" s="239">
        <f t="shared" si="42"/>
        <v>11678938.98</v>
      </c>
      <c r="T129" s="240">
        <f>N129/'2017'!N129-1</f>
        <v>0.108502242480156</v>
      </c>
      <c r="U129" s="241">
        <f>O129/'2017'!O129-1</f>
        <v>0.155150526869846</v>
      </c>
      <c r="V129" s="241">
        <f>P129/'2017'!P129-1</f>
        <v>0.116189522608717</v>
      </c>
      <c r="W129" s="241">
        <f>Q129/'2017'!Q129-1</f>
        <v>0.0723799311410529</v>
      </c>
      <c r="X129" s="241">
        <f>R129/'2017'!R129-1</f>
        <v>0.20920075538134</v>
      </c>
      <c r="Y129" s="262">
        <f>S129/'2017'!S129-1</f>
        <v>0.105951740948668</v>
      </c>
      <c r="Z129" s="263"/>
      <c r="AA129" s="264">
        <f t="shared" si="30"/>
        <v>763.341548</v>
      </c>
      <c r="AB129" s="265"/>
      <c r="AC129" s="266"/>
      <c r="AD129" s="265">
        <f t="shared" si="26"/>
        <v>7821694.98</v>
      </c>
      <c r="AE129" s="186">
        <f t="shared" si="28"/>
        <v>55143.2</v>
      </c>
      <c r="AF129" s="186">
        <f t="shared" si="40"/>
        <v>43161.64</v>
      </c>
      <c r="AG129" s="266">
        <f t="shared" si="27"/>
        <v>89974.66</v>
      </c>
      <c r="AH129" s="281"/>
      <c r="AI129" s="282"/>
      <c r="AJ129" s="282"/>
      <c r="AK129" s="282"/>
      <c r="AL129" s="282"/>
      <c r="AM129" s="282"/>
      <c r="AN129" s="282"/>
      <c r="AO129" s="282"/>
      <c r="AP129" s="282"/>
      <c r="AQ129" s="282"/>
      <c r="AR129" s="282"/>
      <c r="AS129" s="28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</row>
    <row r="130" ht="15" customHeight="1" spans="1:55">
      <c r="A130" s="189">
        <v>42860</v>
      </c>
      <c r="B130" s="184" t="s">
        <v>38</v>
      </c>
      <c r="C130" s="185">
        <f>68174+2856</f>
        <v>71030</v>
      </c>
      <c r="D130" s="186">
        <f>16765+12138</f>
        <v>28903</v>
      </c>
      <c r="E130" s="186">
        <f>84754+16765</f>
        <v>101519</v>
      </c>
      <c r="F130" s="187">
        <v>5139</v>
      </c>
      <c r="G130" s="186">
        <v>3386</v>
      </c>
      <c r="H130" s="188"/>
      <c r="I130" s="188"/>
      <c r="J130" s="214">
        <f t="shared" si="24"/>
        <v>72616</v>
      </c>
      <c r="K130" s="186">
        <v>866</v>
      </c>
      <c r="L130" s="186">
        <v>0</v>
      </c>
      <c r="M130" s="215">
        <f t="shared" si="25"/>
        <v>720</v>
      </c>
      <c r="N130" s="216">
        <f t="shared" si="41"/>
        <v>313741</v>
      </c>
      <c r="O130" s="219">
        <f t="shared" si="41"/>
        <v>140829</v>
      </c>
      <c r="P130" s="218">
        <f t="shared" si="41"/>
        <v>462709</v>
      </c>
      <c r="Q130" s="238">
        <f t="shared" si="42"/>
        <v>7704445.48</v>
      </c>
      <c r="R130" s="217">
        <f t="shared" si="42"/>
        <v>3886147</v>
      </c>
      <c r="S130" s="239">
        <f t="shared" si="42"/>
        <v>11780457.98</v>
      </c>
      <c r="T130" s="240">
        <f>N130/'2017'!N130-1</f>
        <v>0.102559416918227</v>
      </c>
      <c r="U130" s="241">
        <f>O130/'2017'!O130-1</f>
        <v>0.138508925106713</v>
      </c>
      <c r="V130" s="241">
        <f>P130/'2017'!P130-1</f>
        <v>0.108346088527033</v>
      </c>
      <c r="W130" s="241">
        <f>Q130/'2017'!Q130-1</f>
        <v>0.0724744018997479</v>
      </c>
      <c r="X130" s="241">
        <f>R130/'2017'!R130-1</f>
        <v>0.20811044808135</v>
      </c>
      <c r="Y130" s="262">
        <f>S130/'2017'!S130-1</f>
        <v>0.105734612473447</v>
      </c>
      <c r="Z130" s="263"/>
      <c r="AA130" s="264">
        <f t="shared" si="30"/>
        <v>770.444548</v>
      </c>
      <c r="AB130" s="265"/>
      <c r="AC130" s="266"/>
      <c r="AD130" s="265">
        <f t="shared" si="26"/>
        <v>7894310.98</v>
      </c>
      <c r="AE130" s="186">
        <f t="shared" si="28"/>
        <v>56009.2</v>
      </c>
      <c r="AF130" s="186">
        <f t="shared" si="40"/>
        <v>43161.64</v>
      </c>
      <c r="AG130" s="266">
        <f t="shared" si="27"/>
        <v>90694.66</v>
      </c>
      <c r="AH130" s="281"/>
      <c r="AI130" s="282"/>
      <c r="AJ130" s="282"/>
      <c r="AK130" s="282"/>
      <c r="AL130" s="282"/>
      <c r="AM130" s="282"/>
      <c r="AN130" s="282"/>
      <c r="AO130" s="282"/>
      <c r="AP130" s="282"/>
      <c r="AQ130" s="282"/>
      <c r="AR130" s="282"/>
      <c r="AS130" s="28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</row>
    <row r="131" ht="15" customHeight="1" spans="1:55">
      <c r="A131" s="189">
        <v>42861</v>
      </c>
      <c r="B131" s="184" t="s">
        <v>1</v>
      </c>
      <c r="C131" s="185">
        <v>68901</v>
      </c>
      <c r="D131" s="186">
        <f>10041+18752</f>
        <v>28793</v>
      </c>
      <c r="E131" s="186">
        <v>99596</v>
      </c>
      <c r="F131" s="187">
        <v>4871</v>
      </c>
      <c r="G131" s="186">
        <v>3331</v>
      </c>
      <c r="H131" s="188"/>
      <c r="I131" s="188"/>
      <c r="J131" s="214">
        <f t="shared" si="24"/>
        <v>70803</v>
      </c>
      <c r="K131" s="186">
        <v>929</v>
      </c>
      <c r="L131" s="186">
        <v>0</v>
      </c>
      <c r="M131" s="215">
        <f t="shared" si="25"/>
        <v>973</v>
      </c>
      <c r="N131" s="216">
        <f t="shared" si="41"/>
        <v>382642</v>
      </c>
      <c r="O131" s="219">
        <f t="shared" si="41"/>
        <v>169622</v>
      </c>
      <c r="P131" s="218">
        <f t="shared" si="41"/>
        <v>562305</v>
      </c>
      <c r="Q131" s="238">
        <f t="shared" si="42"/>
        <v>7773346.48</v>
      </c>
      <c r="R131" s="217">
        <f t="shared" si="42"/>
        <v>3914940</v>
      </c>
      <c r="S131" s="239">
        <f t="shared" si="42"/>
        <v>11880053.98</v>
      </c>
      <c r="T131" s="240">
        <f>N131/'2017'!N131-1</f>
        <v>0.0902102683913613</v>
      </c>
      <c r="U131" s="241">
        <f>O131/'2017'!O131-1</f>
        <v>0.13534715296417</v>
      </c>
      <c r="V131" s="241">
        <f>P131/'2017'!P131-1</f>
        <v>0.0999728090234919</v>
      </c>
      <c r="W131" s="241">
        <f>Q131/'2017'!Q131-1</f>
        <v>0.0721522095983149</v>
      </c>
      <c r="X131" s="241">
        <f>R131/'2017'!R131-1</f>
        <v>0.207412981661845</v>
      </c>
      <c r="Y131" s="262">
        <f>S131/'2017'!S131-1</f>
        <v>0.105359121513421</v>
      </c>
      <c r="Z131" s="263"/>
      <c r="AA131" s="264">
        <f t="shared" si="30"/>
        <v>777.334648</v>
      </c>
      <c r="AB131" s="265"/>
      <c r="AC131" s="266"/>
      <c r="AD131" s="265">
        <f t="shared" si="26"/>
        <v>7965113.98</v>
      </c>
      <c r="AE131" s="186">
        <f t="shared" si="28"/>
        <v>56938.2</v>
      </c>
      <c r="AF131" s="186">
        <f t="shared" si="40"/>
        <v>43161.64</v>
      </c>
      <c r="AG131" s="266">
        <f t="shared" si="27"/>
        <v>91667.66</v>
      </c>
      <c r="AH131" s="281"/>
      <c r="AI131" s="282"/>
      <c r="AJ131" s="282"/>
      <c r="AK131" s="282"/>
      <c r="AL131" s="282"/>
      <c r="AM131" s="282"/>
      <c r="AN131" s="282"/>
      <c r="AO131" s="282"/>
      <c r="AP131" s="282"/>
      <c r="AQ131" s="282"/>
      <c r="AR131" s="282"/>
      <c r="AS131" s="28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</row>
    <row r="132" ht="15" customHeight="1" spans="1:55">
      <c r="A132" s="189">
        <v>42862</v>
      </c>
      <c r="B132" s="184" t="s">
        <v>39</v>
      </c>
      <c r="C132" s="185">
        <f>68658+2794</f>
        <v>71452</v>
      </c>
      <c r="D132" s="186">
        <f>17697+12195</f>
        <v>29892</v>
      </c>
      <c r="E132" s="186">
        <f>85872+17697</f>
        <v>103569</v>
      </c>
      <c r="F132" s="187">
        <v>5269</v>
      </c>
      <c r="G132" s="186">
        <v>3363</v>
      </c>
      <c r="H132" s="188"/>
      <c r="I132" s="188"/>
      <c r="J132" s="214">
        <f t="shared" si="24"/>
        <v>73677</v>
      </c>
      <c r="K132" s="186">
        <v>1756</v>
      </c>
      <c r="L132" s="186">
        <v>0</v>
      </c>
      <c r="M132" s="215">
        <f t="shared" si="25"/>
        <v>469</v>
      </c>
      <c r="N132" s="216">
        <f t="shared" si="41"/>
        <v>454094</v>
      </c>
      <c r="O132" s="219">
        <f t="shared" si="41"/>
        <v>199514</v>
      </c>
      <c r="P132" s="218">
        <f t="shared" si="41"/>
        <v>665874</v>
      </c>
      <c r="Q132" s="238">
        <f t="shared" si="42"/>
        <v>7844798.48</v>
      </c>
      <c r="R132" s="217">
        <f t="shared" si="42"/>
        <v>3944832</v>
      </c>
      <c r="S132" s="239">
        <f t="shared" si="42"/>
        <v>11983622.98</v>
      </c>
      <c r="T132" s="240">
        <f>N132/'2017'!N132-1</f>
        <v>0.0982566970116188</v>
      </c>
      <c r="U132" s="241">
        <f>O132/'2017'!O132-1</f>
        <v>0.139917154692187</v>
      </c>
      <c r="V132" s="241">
        <f>P132/'2017'!P132-1</f>
        <v>0.1080890832572</v>
      </c>
      <c r="W132" s="241">
        <f>Q132/'2017'!Q132-1</f>
        <v>0.0727614707228401</v>
      </c>
      <c r="X132" s="241">
        <f>R132/'2017'!R132-1</f>
        <v>0.207092682962653</v>
      </c>
      <c r="Y132" s="262">
        <f>S132/'2017'!S132-1</f>
        <v>0.105764566104078</v>
      </c>
      <c r="Z132" s="263"/>
      <c r="AA132" s="264">
        <f t="shared" si="30"/>
        <v>784.479848</v>
      </c>
      <c r="AB132" s="265"/>
      <c r="AC132" s="266"/>
      <c r="AD132" s="265">
        <f t="shared" si="26"/>
        <v>8038790.98</v>
      </c>
      <c r="AE132" s="186">
        <f t="shared" si="28"/>
        <v>58694.2</v>
      </c>
      <c r="AF132" s="186">
        <f t="shared" si="40"/>
        <v>43161.64</v>
      </c>
      <c r="AG132" s="266">
        <f t="shared" si="27"/>
        <v>92136.66</v>
      </c>
      <c r="AH132" s="281"/>
      <c r="AI132" s="282"/>
      <c r="AJ132" s="282"/>
      <c r="AK132" s="282"/>
      <c r="AL132" s="282"/>
      <c r="AM132" s="282"/>
      <c r="AN132" s="282"/>
      <c r="AO132" s="282"/>
      <c r="AP132" s="282"/>
      <c r="AQ132" s="282"/>
      <c r="AR132" s="282"/>
      <c r="AS132" s="28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</row>
    <row r="133" ht="15" customHeight="1" spans="1:55">
      <c r="A133" s="189">
        <v>42863</v>
      </c>
      <c r="B133" s="184" t="s">
        <v>34</v>
      </c>
      <c r="C133" s="185">
        <v>68919</v>
      </c>
      <c r="D133" s="186">
        <f>9943+20780</f>
        <v>30723</v>
      </c>
      <c r="E133" s="186">
        <v>101131</v>
      </c>
      <c r="F133" s="187">
        <v>5098</v>
      </c>
      <c r="G133" s="186">
        <v>3359</v>
      </c>
      <c r="H133" s="188"/>
      <c r="I133" s="188"/>
      <c r="J133" s="214">
        <f t="shared" ref="J133:J196" si="43">E133-D133</f>
        <v>70408</v>
      </c>
      <c r="K133" s="186">
        <v>607</v>
      </c>
      <c r="L133" s="186">
        <v>0</v>
      </c>
      <c r="M133" s="215">
        <f t="shared" si="25"/>
        <v>882</v>
      </c>
      <c r="N133" s="216">
        <f t="shared" si="41"/>
        <v>523013</v>
      </c>
      <c r="O133" s="219">
        <f t="shared" si="41"/>
        <v>230237</v>
      </c>
      <c r="P133" s="218">
        <f t="shared" si="41"/>
        <v>767005</v>
      </c>
      <c r="Q133" s="238">
        <f t="shared" si="42"/>
        <v>7913717.48</v>
      </c>
      <c r="R133" s="217">
        <f t="shared" si="42"/>
        <v>3975555</v>
      </c>
      <c r="S133" s="239">
        <f t="shared" si="42"/>
        <v>12084753.98</v>
      </c>
      <c r="T133" s="240">
        <f>N133/'2017'!N133-1</f>
        <v>0.0969347413458614</v>
      </c>
      <c r="U133" s="241">
        <f>O133/'2017'!O133-1</f>
        <v>0.142127925550385</v>
      </c>
      <c r="V133" s="241">
        <f>P133/'2017'!P133-1</f>
        <v>0.106377423700844</v>
      </c>
      <c r="W133" s="241">
        <f>Q133/'2017'!Q133-1</f>
        <v>0.0728949073810878</v>
      </c>
      <c r="X133" s="241">
        <f>R133/'2017'!R133-1</f>
        <v>0.206686385773105</v>
      </c>
      <c r="Y133" s="262">
        <f>S133/'2017'!S133-1</f>
        <v>0.105675636065745</v>
      </c>
      <c r="Z133" s="263"/>
      <c r="AA133" s="264">
        <f t="shared" si="30"/>
        <v>791.371748</v>
      </c>
      <c r="AB133" s="265"/>
      <c r="AC133" s="266"/>
      <c r="AD133" s="265">
        <f t="shared" si="26"/>
        <v>8109198.98</v>
      </c>
      <c r="AE133" s="186">
        <f t="shared" si="28"/>
        <v>59301.2</v>
      </c>
      <c r="AF133" s="186">
        <f t="shared" si="40"/>
        <v>43161.64</v>
      </c>
      <c r="AG133" s="266">
        <f t="shared" si="27"/>
        <v>93018.66</v>
      </c>
      <c r="AH133" s="281"/>
      <c r="AI133" s="282"/>
      <c r="AJ133" s="282"/>
      <c r="AK133" s="282"/>
      <c r="AL133" s="282"/>
      <c r="AM133" s="282"/>
      <c r="AN133" s="282"/>
      <c r="AO133" s="282"/>
      <c r="AP133" s="282"/>
      <c r="AQ133" s="282"/>
      <c r="AR133" s="282"/>
      <c r="AS133" s="28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</row>
    <row r="134" ht="15" customHeight="1" spans="1:55">
      <c r="A134" s="189">
        <v>42864</v>
      </c>
      <c r="B134" s="184" t="s">
        <v>35</v>
      </c>
      <c r="C134" s="185">
        <f>65049+2731</f>
        <v>67780</v>
      </c>
      <c r="D134" s="186">
        <f>18139+12381</f>
        <v>30520</v>
      </c>
      <c r="E134" s="186">
        <f>81923+18139</f>
        <v>100062</v>
      </c>
      <c r="F134" s="290">
        <v>4858</v>
      </c>
      <c r="G134" s="290">
        <v>3405</v>
      </c>
      <c r="H134" s="188"/>
      <c r="I134" s="188"/>
      <c r="J134" s="214">
        <f t="shared" si="43"/>
        <v>69542</v>
      </c>
      <c r="K134" s="186">
        <v>579</v>
      </c>
      <c r="L134" s="186">
        <v>0</v>
      </c>
      <c r="M134" s="266">
        <f t="shared" ref="M134:M197" si="44">J134-K134-L134-C134</f>
        <v>1183</v>
      </c>
      <c r="N134" s="216">
        <f t="shared" si="41"/>
        <v>590793</v>
      </c>
      <c r="O134" s="219">
        <f t="shared" si="41"/>
        <v>260757</v>
      </c>
      <c r="P134" s="218">
        <f t="shared" si="41"/>
        <v>867067</v>
      </c>
      <c r="Q134" s="238">
        <f t="shared" si="42"/>
        <v>7981497.48</v>
      </c>
      <c r="R134" s="217">
        <f t="shared" si="42"/>
        <v>4006075</v>
      </c>
      <c r="S134" s="239">
        <f t="shared" si="42"/>
        <v>12184815.98</v>
      </c>
      <c r="T134" s="240">
        <f>N134/'2017'!N134-1</f>
        <v>0.095038534395516</v>
      </c>
      <c r="U134" s="241">
        <f>O134/'2017'!O134-1</f>
        <v>0.137509542609113</v>
      </c>
      <c r="V134" s="241">
        <f>P134/'2017'!P134-1</f>
        <v>0.103926593917542</v>
      </c>
      <c r="W134" s="241">
        <f>Q134/'2017'!Q134-1</f>
        <v>0.0729600812035911</v>
      </c>
      <c r="X134" s="241">
        <f>R134/'2017'!R134-1</f>
        <v>0.205830439213859</v>
      </c>
      <c r="Y134" s="262">
        <f>S134/'2017'!S134-1</f>
        <v>0.10550685561656</v>
      </c>
      <c r="Z134" s="263"/>
      <c r="AA134" s="264">
        <f t="shared" si="30"/>
        <v>798.149748</v>
      </c>
      <c r="AB134" s="265"/>
      <c r="AC134" s="266"/>
      <c r="AD134" s="265">
        <f t="shared" ref="AD134:AD197" si="45">S134-R134</f>
        <v>8178740.98</v>
      </c>
      <c r="AE134" s="186">
        <f t="shared" si="28"/>
        <v>59880.2</v>
      </c>
      <c r="AF134" s="186">
        <f t="shared" si="40"/>
        <v>43161.64</v>
      </c>
      <c r="AG134" s="266">
        <f t="shared" ref="AG134:AG197" si="46">AD134-Q134-AE134-AF134</f>
        <v>94201.66</v>
      </c>
      <c r="AH134" s="281"/>
      <c r="AI134" s="282"/>
      <c r="AJ134" s="282"/>
      <c r="AK134" s="282"/>
      <c r="AL134" s="282"/>
      <c r="AM134" s="282"/>
      <c r="AN134" s="282"/>
      <c r="AO134" s="282"/>
      <c r="AP134" s="282"/>
      <c r="AQ134" s="282"/>
      <c r="AR134" s="282"/>
      <c r="AS134" s="28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</row>
    <row r="135" s="163" customFormat="1" ht="15" customHeight="1" spans="1:55">
      <c r="A135" s="190">
        <v>42865</v>
      </c>
      <c r="B135" s="191" t="s">
        <v>36</v>
      </c>
      <c r="C135" s="192">
        <f>64929+2811</f>
        <v>67740</v>
      </c>
      <c r="D135" s="193">
        <f>18657+12154</f>
        <v>30811</v>
      </c>
      <c r="E135" s="193">
        <f>81712+18657</f>
        <v>100369</v>
      </c>
      <c r="F135" s="194">
        <v>4839</v>
      </c>
      <c r="G135" s="193">
        <v>3417</v>
      </c>
      <c r="H135" s="195"/>
      <c r="I135" s="195"/>
      <c r="J135" s="220">
        <f t="shared" si="43"/>
        <v>69558</v>
      </c>
      <c r="K135" s="193">
        <v>609</v>
      </c>
      <c r="L135" s="193">
        <v>0</v>
      </c>
      <c r="M135" s="221">
        <f t="shared" si="44"/>
        <v>1209</v>
      </c>
      <c r="N135" s="222">
        <f t="shared" si="41"/>
        <v>658533</v>
      </c>
      <c r="O135" s="225">
        <f t="shared" si="41"/>
        <v>291568</v>
      </c>
      <c r="P135" s="224">
        <f t="shared" si="41"/>
        <v>967436</v>
      </c>
      <c r="Q135" s="242">
        <f t="shared" si="42"/>
        <v>8049237.48</v>
      </c>
      <c r="R135" s="223">
        <f t="shared" si="42"/>
        <v>4036886</v>
      </c>
      <c r="S135" s="243">
        <f t="shared" si="42"/>
        <v>12285184.98</v>
      </c>
      <c r="T135" s="244">
        <f>N135/'2017'!N135-1</f>
        <v>0.0922955967018804</v>
      </c>
      <c r="U135" s="245">
        <f>O135/'2017'!O135-1</f>
        <v>0.133301978831825</v>
      </c>
      <c r="V135" s="245">
        <f>P135/'2017'!P135-1</f>
        <v>0.100704952874196</v>
      </c>
      <c r="W135" s="245">
        <f>Q135/'2017'!Q135-1</f>
        <v>0.0729261504245189</v>
      </c>
      <c r="X135" s="245">
        <f>R135/'2017'!R135-1</f>
        <v>0.20493556979511</v>
      </c>
      <c r="Y135" s="267">
        <f>S135/'2017'!S135-1</f>
        <v>0.105238821614008</v>
      </c>
      <c r="Z135" s="268">
        <v>40.04</v>
      </c>
      <c r="AA135" s="269">
        <f t="shared" si="30"/>
        <v>764.883748</v>
      </c>
      <c r="AB135" s="270">
        <v>4283.88</v>
      </c>
      <c r="AC135" s="221">
        <f t="shared" si="31"/>
        <v>1785.49293631007</v>
      </c>
      <c r="AD135" s="270">
        <f t="shared" si="45"/>
        <v>8248298.98</v>
      </c>
      <c r="AE135" s="193">
        <f t="shared" ref="AE135:AE198" si="47">AE134+K135</f>
        <v>60489.2</v>
      </c>
      <c r="AF135" s="193">
        <f t="shared" ref="AF135:AF150" si="48">AF134+L135</f>
        <v>43161.64</v>
      </c>
      <c r="AG135" s="221">
        <f t="shared" si="46"/>
        <v>95410.66</v>
      </c>
      <c r="AH135" s="281"/>
      <c r="AI135" s="282"/>
      <c r="AJ135" s="282"/>
      <c r="AK135" s="282"/>
      <c r="AL135" s="282"/>
      <c r="AM135" s="282"/>
      <c r="AN135" s="282"/>
      <c r="AO135" s="282"/>
      <c r="AP135" s="282"/>
      <c r="AQ135" s="282"/>
      <c r="AR135" s="282"/>
      <c r="AS135" s="28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</row>
    <row r="136" ht="15" customHeight="1" spans="1:55">
      <c r="A136" s="189">
        <v>42866</v>
      </c>
      <c r="B136" s="184" t="s">
        <v>37</v>
      </c>
      <c r="C136" s="185">
        <f>66373+2927</f>
        <v>69300</v>
      </c>
      <c r="D136" s="186">
        <f>18860+11966</f>
        <v>30826</v>
      </c>
      <c r="E136" s="186">
        <f>83056+18860</f>
        <v>101916</v>
      </c>
      <c r="F136" s="187">
        <v>4634</v>
      </c>
      <c r="G136" s="186">
        <v>3421</v>
      </c>
      <c r="H136" s="188"/>
      <c r="I136" s="188"/>
      <c r="J136" s="214">
        <f t="shared" si="43"/>
        <v>71090</v>
      </c>
      <c r="K136" s="186">
        <v>593</v>
      </c>
      <c r="L136" s="186">
        <v>0</v>
      </c>
      <c r="M136" s="215">
        <f t="shared" si="44"/>
        <v>1197</v>
      </c>
      <c r="N136" s="216">
        <f t="shared" si="41"/>
        <v>727833</v>
      </c>
      <c r="O136" s="219">
        <f t="shared" si="41"/>
        <v>322394</v>
      </c>
      <c r="P136" s="218">
        <f t="shared" si="41"/>
        <v>1069352</v>
      </c>
      <c r="Q136" s="238">
        <f t="shared" si="42"/>
        <v>8118537.48</v>
      </c>
      <c r="R136" s="217">
        <f t="shared" si="42"/>
        <v>4067712</v>
      </c>
      <c r="S136" s="239">
        <f t="shared" si="42"/>
        <v>12387100.98</v>
      </c>
      <c r="T136" s="240">
        <f>N136/'2017'!N136-1</f>
        <v>0.0928800844473607</v>
      </c>
      <c r="U136" s="241">
        <f>O136/'2017'!O136-1</f>
        <v>0.117723739590484</v>
      </c>
      <c r="V136" s="241">
        <f>P136/'2017'!P136-1</f>
        <v>0.0969107866026038</v>
      </c>
      <c r="W136" s="241">
        <f>Q136/'2017'!Q136-1</f>
        <v>0.0731391295914385</v>
      </c>
      <c r="X136" s="241">
        <f>R136/'2017'!R136-1</f>
        <v>0.202946540500145</v>
      </c>
      <c r="Y136" s="262">
        <f>S136/'2017'!S136-1</f>
        <v>0.104870099719716</v>
      </c>
      <c r="Z136" s="263"/>
      <c r="AA136" s="264">
        <f t="shared" si="30"/>
        <v>811.853748</v>
      </c>
      <c r="AB136" s="265"/>
      <c r="AC136" s="266"/>
      <c r="AD136" s="265">
        <f t="shared" si="45"/>
        <v>8319388.98</v>
      </c>
      <c r="AE136" s="186">
        <f t="shared" si="47"/>
        <v>61082.2</v>
      </c>
      <c r="AF136" s="186">
        <f t="shared" si="48"/>
        <v>43161.64</v>
      </c>
      <c r="AG136" s="266">
        <f t="shared" si="46"/>
        <v>96607.66</v>
      </c>
      <c r="AH136" s="281"/>
      <c r="AI136" s="282"/>
      <c r="AJ136" s="282"/>
      <c r="AK136" s="282"/>
      <c r="AL136" s="282"/>
      <c r="AM136" s="282"/>
      <c r="AN136" s="282"/>
      <c r="AO136" s="282"/>
      <c r="AP136" s="282"/>
      <c r="AQ136" s="282"/>
      <c r="AR136" s="282"/>
      <c r="AS136" s="28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</row>
    <row r="137" ht="15" customHeight="1" spans="1:55">
      <c r="A137" s="189">
        <v>42867</v>
      </c>
      <c r="B137" s="184" t="s">
        <v>38</v>
      </c>
      <c r="C137" s="185">
        <f>70339+2795</f>
        <v>73134</v>
      </c>
      <c r="D137" s="186">
        <f>17884+12163</f>
        <v>30047</v>
      </c>
      <c r="E137" s="186">
        <f>86635+17884</f>
        <v>104519</v>
      </c>
      <c r="F137" s="187">
        <v>5053</v>
      </c>
      <c r="G137" s="186">
        <v>3472</v>
      </c>
      <c r="H137" s="188"/>
      <c r="I137" s="188"/>
      <c r="J137" s="214">
        <f t="shared" si="43"/>
        <v>74472</v>
      </c>
      <c r="K137" s="186">
        <v>410</v>
      </c>
      <c r="L137" s="186">
        <v>0</v>
      </c>
      <c r="M137" s="215">
        <f t="shared" si="44"/>
        <v>928</v>
      </c>
      <c r="N137" s="216">
        <f t="shared" si="41"/>
        <v>800967</v>
      </c>
      <c r="O137" s="219">
        <f t="shared" si="41"/>
        <v>352441</v>
      </c>
      <c r="P137" s="218">
        <f t="shared" si="41"/>
        <v>1173871</v>
      </c>
      <c r="Q137" s="238">
        <f t="shared" si="42"/>
        <v>8191671.48</v>
      </c>
      <c r="R137" s="217">
        <f t="shared" si="42"/>
        <v>4097759</v>
      </c>
      <c r="S137" s="239">
        <f t="shared" si="42"/>
        <v>12491619.98</v>
      </c>
      <c r="T137" s="240">
        <f>N137/'2017'!N137-1</f>
        <v>0.100153835588215</v>
      </c>
      <c r="U137" s="241">
        <f>O137/'2017'!O137-1</f>
        <v>0.10156401392735</v>
      </c>
      <c r="V137" s="241">
        <f>P137/'2017'!P137-1</f>
        <v>0.0966329481928792</v>
      </c>
      <c r="W137" s="241">
        <f>Q137/'2017'!Q137-1</f>
        <v>0.0739940897617721</v>
      </c>
      <c r="X137" s="241">
        <f>R137/'2017'!R137-1</f>
        <v>0.200644893809342</v>
      </c>
      <c r="Y137" s="262">
        <f>S137/'2017'!S137-1</f>
        <v>0.104776531600483</v>
      </c>
      <c r="Z137" s="263"/>
      <c r="AA137" s="264">
        <f t="shared" ref="AA137:AA200" si="49">Q137/10000-Z137</f>
        <v>819.167148</v>
      </c>
      <c r="AB137" s="265"/>
      <c r="AC137" s="266"/>
      <c r="AD137" s="265">
        <f t="shared" si="45"/>
        <v>8393860.98</v>
      </c>
      <c r="AE137" s="186">
        <f t="shared" si="47"/>
        <v>61492.2</v>
      </c>
      <c r="AF137" s="186">
        <f t="shared" si="48"/>
        <v>43161.64</v>
      </c>
      <c r="AG137" s="266">
        <f t="shared" si="46"/>
        <v>97535.66</v>
      </c>
      <c r="AH137" s="281"/>
      <c r="AI137" s="282"/>
      <c r="AJ137" s="282"/>
      <c r="AK137" s="282"/>
      <c r="AL137" s="282"/>
      <c r="AM137" s="282"/>
      <c r="AN137" s="282"/>
      <c r="AO137" s="282"/>
      <c r="AP137" s="282"/>
      <c r="AQ137" s="282"/>
      <c r="AR137" s="282"/>
      <c r="AS137" s="28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</row>
    <row r="138" ht="15" customHeight="1" spans="1:55">
      <c r="A138" s="189">
        <v>42868</v>
      </c>
      <c r="B138" s="184" t="s">
        <v>1</v>
      </c>
      <c r="C138" s="185">
        <v>69874</v>
      </c>
      <c r="D138" s="186">
        <f>10011+18532</f>
        <v>28543</v>
      </c>
      <c r="E138" s="186">
        <v>99783</v>
      </c>
      <c r="F138" s="187">
        <v>4791</v>
      </c>
      <c r="G138" s="186">
        <v>3489</v>
      </c>
      <c r="H138" s="188"/>
      <c r="I138" s="188"/>
      <c r="J138" s="214">
        <f t="shared" si="43"/>
        <v>71240</v>
      </c>
      <c r="K138" s="186">
        <v>477</v>
      </c>
      <c r="L138" s="186">
        <v>0</v>
      </c>
      <c r="M138" s="215">
        <f t="shared" si="44"/>
        <v>889</v>
      </c>
      <c r="N138" s="216">
        <f t="shared" si="41"/>
        <v>870841</v>
      </c>
      <c r="O138" s="219">
        <f t="shared" si="41"/>
        <v>380984</v>
      </c>
      <c r="P138" s="218">
        <f t="shared" si="41"/>
        <v>1273654</v>
      </c>
      <c r="Q138" s="238">
        <f t="shared" si="42"/>
        <v>8261545.48</v>
      </c>
      <c r="R138" s="217">
        <f t="shared" si="42"/>
        <v>4126302</v>
      </c>
      <c r="S138" s="239">
        <f t="shared" si="42"/>
        <v>12591402.98</v>
      </c>
      <c r="T138" s="240">
        <f>N138/'2017'!N138-1</f>
        <v>0.107204884288043</v>
      </c>
      <c r="U138" s="241">
        <f>O138/'2017'!O138-1</f>
        <v>0.0829808523218265</v>
      </c>
      <c r="V138" s="241">
        <f>P138/'2017'!P138-1</f>
        <v>0.0948563019048283</v>
      </c>
      <c r="W138" s="241">
        <f>Q138/'2017'!Q138-1</f>
        <v>0.074914676620742</v>
      </c>
      <c r="X138" s="241">
        <f>R138/'2017'!R138-1</f>
        <v>0.197831172740682</v>
      </c>
      <c r="Y138" s="262">
        <f>S138/'2017'!S138-1</f>
        <v>0.104528885011606</v>
      </c>
      <c r="Z138" s="263"/>
      <c r="AA138" s="264">
        <f t="shared" si="49"/>
        <v>826.154548</v>
      </c>
      <c r="AB138" s="265"/>
      <c r="AC138" s="266"/>
      <c r="AD138" s="265">
        <f t="shared" si="45"/>
        <v>8465100.98</v>
      </c>
      <c r="AE138" s="186">
        <f t="shared" si="47"/>
        <v>61969.2</v>
      </c>
      <c r="AF138" s="186">
        <f t="shared" si="48"/>
        <v>43161.64</v>
      </c>
      <c r="AG138" s="266">
        <f t="shared" si="46"/>
        <v>98424.66</v>
      </c>
      <c r="AH138" s="281"/>
      <c r="AI138" s="282"/>
      <c r="AJ138" s="282"/>
      <c r="AK138" s="282"/>
      <c r="AL138" s="282"/>
      <c r="AM138" s="282"/>
      <c r="AN138" s="282"/>
      <c r="AO138" s="282"/>
      <c r="AP138" s="282"/>
      <c r="AQ138" s="282"/>
      <c r="AR138" s="282"/>
      <c r="AS138" s="28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</row>
    <row r="139" ht="15" customHeight="1" spans="1:55">
      <c r="A139" s="189">
        <v>42869</v>
      </c>
      <c r="B139" s="184" t="s">
        <v>39</v>
      </c>
      <c r="C139" s="185">
        <v>76688</v>
      </c>
      <c r="D139" s="186">
        <f>9988+19198</f>
        <v>29186</v>
      </c>
      <c r="E139" s="186">
        <v>108315</v>
      </c>
      <c r="F139" s="187">
        <v>5416</v>
      </c>
      <c r="G139" s="186">
        <v>3374</v>
      </c>
      <c r="H139" s="188"/>
      <c r="I139" s="188"/>
      <c r="J139" s="214">
        <f t="shared" si="43"/>
        <v>79129</v>
      </c>
      <c r="K139" s="186">
        <v>1304</v>
      </c>
      <c r="L139" s="186">
        <v>0</v>
      </c>
      <c r="M139" s="215">
        <f t="shared" si="44"/>
        <v>1137</v>
      </c>
      <c r="N139" s="216">
        <f t="shared" si="41"/>
        <v>947529</v>
      </c>
      <c r="O139" s="219">
        <f t="shared" si="41"/>
        <v>410170</v>
      </c>
      <c r="P139" s="218">
        <f t="shared" si="41"/>
        <v>1381969</v>
      </c>
      <c r="Q139" s="238">
        <f t="shared" si="42"/>
        <v>8338233.48</v>
      </c>
      <c r="R139" s="217">
        <f t="shared" si="42"/>
        <v>4155488</v>
      </c>
      <c r="S139" s="239">
        <f t="shared" si="42"/>
        <v>12699717.98</v>
      </c>
      <c r="T139" s="240">
        <f>N139/'2017'!N139-1</f>
        <v>0.126190040387089</v>
      </c>
      <c r="U139" s="241">
        <f>O139/'2017'!O139-1</f>
        <v>0.0692955220300895</v>
      </c>
      <c r="V139" s="241">
        <f>P139/'2017'!P139-1</f>
        <v>0.103609891505207</v>
      </c>
      <c r="W139" s="241">
        <f>Q139/'2017'!Q139-1</f>
        <v>0.0772070012758344</v>
      </c>
      <c r="X139" s="241">
        <f>R139/'2017'!R139-1</f>
        <v>0.195270792680682</v>
      </c>
      <c r="Y139" s="262">
        <f>S139/'2017'!S139-1</f>
        <v>0.10540813015416</v>
      </c>
      <c r="Z139" s="263"/>
      <c r="AA139" s="264">
        <f t="shared" si="49"/>
        <v>833.823348</v>
      </c>
      <c r="AB139" s="265"/>
      <c r="AC139" s="266"/>
      <c r="AD139" s="265">
        <f t="shared" si="45"/>
        <v>8544229.98</v>
      </c>
      <c r="AE139" s="186">
        <f t="shared" si="47"/>
        <v>63273.2</v>
      </c>
      <c r="AF139" s="186">
        <f t="shared" si="48"/>
        <v>43161.64</v>
      </c>
      <c r="AG139" s="266">
        <f t="shared" si="46"/>
        <v>99561.66</v>
      </c>
      <c r="AH139" s="281"/>
      <c r="AI139" s="282"/>
      <c r="AJ139" s="282"/>
      <c r="AK139" s="282"/>
      <c r="AL139" s="282"/>
      <c r="AM139" s="282"/>
      <c r="AN139" s="282"/>
      <c r="AO139" s="282"/>
      <c r="AP139" s="282"/>
      <c r="AQ139" s="282"/>
      <c r="AR139" s="282"/>
      <c r="AS139" s="28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</row>
    <row r="140" ht="15" customHeight="1" spans="1:55">
      <c r="A140" s="189">
        <v>42870</v>
      </c>
      <c r="B140" s="184" t="s">
        <v>34</v>
      </c>
      <c r="C140" s="185">
        <v>79762</v>
      </c>
      <c r="D140" s="186">
        <f>10115+22197</f>
        <v>32312</v>
      </c>
      <c r="E140" s="186">
        <v>114937</v>
      </c>
      <c r="F140" s="187">
        <v>5630</v>
      </c>
      <c r="G140" s="186">
        <v>3668</v>
      </c>
      <c r="H140" s="188"/>
      <c r="I140" s="188"/>
      <c r="J140" s="214">
        <f t="shared" si="43"/>
        <v>82625</v>
      </c>
      <c r="K140" s="186">
        <v>1559</v>
      </c>
      <c r="L140" s="186">
        <v>0</v>
      </c>
      <c r="M140" s="215">
        <f t="shared" si="44"/>
        <v>1304</v>
      </c>
      <c r="N140" s="216">
        <f t="shared" si="41"/>
        <v>1027291</v>
      </c>
      <c r="O140" s="219">
        <f t="shared" si="41"/>
        <v>442482</v>
      </c>
      <c r="P140" s="218">
        <f t="shared" si="41"/>
        <v>1496906</v>
      </c>
      <c r="Q140" s="238">
        <f t="shared" si="42"/>
        <v>8417995.48</v>
      </c>
      <c r="R140" s="217">
        <f t="shared" si="42"/>
        <v>4187800</v>
      </c>
      <c r="S140" s="239">
        <f t="shared" si="42"/>
        <v>12814654.98</v>
      </c>
      <c r="T140" s="240">
        <f>N140/'2017'!N140-1</f>
        <v>0.140870347439322</v>
      </c>
      <c r="U140" s="241">
        <f>O140/'2017'!O140-1</f>
        <v>0.0646542079011383</v>
      </c>
      <c r="V140" s="241">
        <f>P140/'2017'!P140-1</f>
        <v>0.112701350638152</v>
      </c>
      <c r="W140" s="241">
        <f>Q140/'2017'!Q140-1</f>
        <v>0.0792728611484166</v>
      </c>
      <c r="X140" s="241">
        <f>R140/'2017'!R140-1</f>
        <v>0.193571279958274</v>
      </c>
      <c r="Y140" s="262">
        <f>S140/'2017'!S140-1</f>
        <v>0.106449705779496</v>
      </c>
      <c r="Z140" s="263">
        <v>41.3</v>
      </c>
      <c r="AA140" s="264">
        <f t="shared" si="49"/>
        <v>800.499548</v>
      </c>
      <c r="AB140" s="265"/>
      <c r="AC140" s="266"/>
      <c r="AD140" s="265">
        <f t="shared" si="45"/>
        <v>8626854.98</v>
      </c>
      <c r="AE140" s="186">
        <f t="shared" si="47"/>
        <v>64832.2</v>
      </c>
      <c r="AF140" s="186">
        <f t="shared" si="48"/>
        <v>43161.64</v>
      </c>
      <c r="AG140" s="266">
        <f t="shared" si="46"/>
        <v>100865.66</v>
      </c>
      <c r="AH140" s="281"/>
      <c r="AI140" s="282"/>
      <c r="AJ140" s="282"/>
      <c r="AK140" s="282"/>
      <c r="AL140" s="282"/>
      <c r="AM140" s="282"/>
      <c r="AN140" s="282"/>
      <c r="AO140" s="282"/>
      <c r="AP140" s="282"/>
      <c r="AQ140" s="282"/>
      <c r="AR140" s="282"/>
      <c r="AS140" s="28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</row>
    <row r="141" ht="15" customHeight="1" spans="1:55">
      <c r="A141" s="189">
        <v>42871</v>
      </c>
      <c r="B141" s="184" t="s">
        <v>35</v>
      </c>
      <c r="C141" s="185">
        <v>81728</v>
      </c>
      <c r="D141" s="186">
        <v>35825</v>
      </c>
      <c r="E141" s="186">
        <v>121005</v>
      </c>
      <c r="F141" s="187">
        <v>5857</v>
      </c>
      <c r="G141" s="186">
        <v>3887</v>
      </c>
      <c r="H141" s="188"/>
      <c r="I141" s="188"/>
      <c r="J141" s="214">
        <f t="shared" si="43"/>
        <v>85180</v>
      </c>
      <c r="K141" s="186">
        <v>2113</v>
      </c>
      <c r="L141" s="186">
        <v>0</v>
      </c>
      <c r="M141" s="215">
        <f t="shared" si="44"/>
        <v>1339</v>
      </c>
      <c r="N141" s="216">
        <f t="shared" si="41"/>
        <v>1109019</v>
      </c>
      <c r="O141" s="219">
        <f t="shared" si="41"/>
        <v>478307</v>
      </c>
      <c r="P141" s="218">
        <f t="shared" si="41"/>
        <v>1617911</v>
      </c>
      <c r="Q141" s="238">
        <f t="shared" si="42"/>
        <v>8499723.48</v>
      </c>
      <c r="R141" s="217">
        <f t="shared" si="42"/>
        <v>4223625</v>
      </c>
      <c r="S141" s="239">
        <f t="shared" si="42"/>
        <v>12935659.98</v>
      </c>
      <c r="T141" s="240">
        <f>N141/'2017'!N141-1</f>
        <v>0.15437917531482</v>
      </c>
      <c r="U141" s="241">
        <f>O141/'2017'!O141-1</f>
        <v>0.0697460648324171</v>
      </c>
      <c r="V141" s="241">
        <f>P141/'2017'!P141-1</f>
        <v>0.124209778800601</v>
      </c>
      <c r="W141" s="241">
        <f>Q141/'2017'!Q141-1</f>
        <v>0.0813962757467568</v>
      </c>
      <c r="X141" s="241">
        <f>R141/'2017'!R141-1</f>
        <v>0.193066886318935</v>
      </c>
      <c r="Y141" s="262">
        <f>S141/'2017'!S141-1</f>
        <v>0.107918507637079</v>
      </c>
      <c r="Z141" s="263"/>
      <c r="AA141" s="264">
        <f t="shared" si="49"/>
        <v>849.972348</v>
      </c>
      <c r="AB141" s="265"/>
      <c r="AC141" s="266"/>
      <c r="AD141" s="265">
        <f t="shared" si="45"/>
        <v>8712034.98</v>
      </c>
      <c r="AE141" s="186">
        <f t="shared" si="47"/>
        <v>66945.2</v>
      </c>
      <c r="AF141" s="186">
        <f t="shared" si="48"/>
        <v>43161.64</v>
      </c>
      <c r="AG141" s="266">
        <f t="shared" si="46"/>
        <v>102204.66</v>
      </c>
      <c r="AH141" s="281"/>
      <c r="AI141" s="282"/>
      <c r="AJ141" s="282"/>
      <c r="AK141" s="282"/>
      <c r="AL141" s="282"/>
      <c r="AM141" s="282"/>
      <c r="AN141" s="282"/>
      <c r="AO141" s="282"/>
      <c r="AP141" s="282"/>
      <c r="AQ141" s="282"/>
      <c r="AR141" s="282"/>
      <c r="AS141" s="28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</row>
    <row r="142" s="163" customFormat="1" ht="15" customHeight="1" spans="1:55">
      <c r="A142" s="190">
        <v>42872</v>
      </c>
      <c r="B142" s="191" t="s">
        <v>36</v>
      </c>
      <c r="C142" s="192">
        <v>83611</v>
      </c>
      <c r="D142" s="193">
        <v>39471</v>
      </c>
      <c r="E142" s="193">
        <v>125932</v>
      </c>
      <c r="F142" s="194">
        <v>6099</v>
      </c>
      <c r="G142" s="193">
        <v>4079</v>
      </c>
      <c r="H142" s="195"/>
      <c r="I142" s="195"/>
      <c r="J142" s="220">
        <f t="shared" si="43"/>
        <v>86461</v>
      </c>
      <c r="K142" s="193">
        <v>1784</v>
      </c>
      <c r="L142" s="193">
        <v>0</v>
      </c>
      <c r="M142" s="221">
        <f t="shared" si="44"/>
        <v>1066</v>
      </c>
      <c r="N142" s="222">
        <f t="shared" si="41"/>
        <v>1192630</v>
      </c>
      <c r="O142" s="225">
        <f t="shared" si="41"/>
        <v>517778</v>
      </c>
      <c r="P142" s="224">
        <f t="shared" si="41"/>
        <v>1743843</v>
      </c>
      <c r="Q142" s="242">
        <f t="shared" si="42"/>
        <v>8583334.48</v>
      </c>
      <c r="R142" s="223">
        <f t="shared" si="42"/>
        <v>4263096</v>
      </c>
      <c r="S142" s="243">
        <f t="shared" si="42"/>
        <v>13061591.98</v>
      </c>
      <c r="T142" s="244">
        <f>N142/'2017'!N142-1</f>
        <v>0.165221656202798</v>
      </c>
      <c r="U142" s="245">
        <f>O142/'2017'!O142-1</f>
        <v>0.0870404077939364</v>
      </c>
      <c r="V142" s="245">
        <f>P142/'2017'!P142-1</f>
        <v>0.137258750963561</v>
      </c>
      <c r="W142" s="245">
        <f>Q142/'2017'!Q142-1</f>
        <v>0.0833756357804321</v>
      </c>
      <c r="X142" s="245">
        <f>R142/'2017'!R142-1</f>
        <v>0.194366014090008</v>
      </c>
      <c r="Y142" s="267">
        <f>S142/'2017'!S142-1</f>
        <v>0.109748938445253</v>
      </c>
      <c r="Z142" s="268">
        <v>42.13</v>
      </c>
      <c r="AA142" s="269">
        <f t="shared" si="49"/>
        <v>816.203448</v>
      </c>
      <c r="AB142" s="270">
        <v>4283.88</v>
      </c>
      <c r="AC142" s="221">
        <f t="shared" ref="AC142:AC198" si="50">AA142*10000/AB142</f>
        <v>1905.29017619541</v>
      </c>
      <c r="AD142" s="270">
        <f t="shared" si="45"/>
        <v>8798495.98</v>
      </c>
      <c r="AE142" s="193">
        <f t="shared" si="47"/>
        <v>68729.2</v>
      </c>
      <c r="AF142" s="193">
        <f t="shared" si="48"/>
        <v>43161.64</v>
      </c>
      <c r="AG142" s="221">
        <f t="shared" si="46"/>
        <v>103270.66</v>
      </c>
      <c r="AH142" s="305"/>
      <c r="AI142" s="306"/>
      <c r="AJ142" s="306"/>
      <c r="AK142" s="306"/>
      <c r="AL142" s="306"/>
      <c r="AM142" s="306"/>
      <c r="AN142" s="306"/>
      <c r="AO142" s="306"/>
      <c r="AP142" s="306"/>
      <c r="AQ142" s="306"/>
      <c r="AR142" s="306"/>
      <c r="AS142" s="306"/>
      <c r="AT142" s="306"/>
      <c r="AU142" s="306"/>
      <c r="AV142" s="306"/>
      <c r="AW142" s="306"/>
      <c r="AX142" s="306"/>
      <c r="AY142" s="306"/>
      <c r="AZ142" s="306"/>
      <c r="BA142" s="306"/>
      <c r="BB142" s="306"/>
      <c r="BC142" s="306"/>
    </row>
    <row r="143" ht="15" customHeight="1" spans="1:55">
      <c r="A143" s="189">
        <v>42873</v>
      </c>
      <c r="B143" s="184" t="s">
        <v>37</v>
      </c>
      <c r="C143" s="185">
        <v>82645</v>
      </c>
      <c r="D143" s="186">
        <v>41581</v>
      </c>
      <c r="E143" s="186">
        <v>126200</v>
      </c>
      <c r="F143" s="187">
        <v>6174</v>
      </c>
      <c r="G143" s="186">
        <v>4232</v>
      </c>
      <c r="H143" s="188">
        <v>4720</v>
      </c>
      <c r="I143" s="188"/>
      <c r="J143" s="214">
        <f t="shared" si="43"/>
        <v>84619</v>
      </c>
      <c r="K143" s="186">
        <v>1073</v>
      </c>
      <c r="L143" s="186">
        <v>0</v>
      </c>
      <c r="M143" s="215">
        <f t="shared" si="44"/>
        <v>901</v>
      </c>
      <c r="N143" s="216">
        <f t="shared" ref="N143:P155" si="51">N142+C143</f>
        <v>1275275</v>
      </c>
      <c r="O143" s="219">
        <f t="shared" si="51"/>
        <v>559359</v>
      </c>
      <c r="P143" s="218">
        <f t="shared" si="51"/>
        <v>1870043</v>
      </c>
      <c r="Q143" s="238">
        <f t="shared" si="42"/>
        <v>8665979.48</v>
      </c>
      <c r="R143" s="217">
        <f t="shared" si="42"/>
        <v>4304677</v>
      </c>
      <c r="S143" s="239">
        <f t="shared" si="42"/>
        <v>13187791.98</v>
      </c>
      <c r="T143" s="240">
        <f>N143/'2017'!N143-1</f>
        <v>0.17409717586945</v>
      </c>
      <c r="U143" s="241">
        <f>O143/'2017'!O143-1</f>
        <v>0.103831725351904</v>
      </c>
      <c r="V143" s="241">
        <f>P143/'2017'!P143-1</f>
        <v>0.148380207047576</v>
      </c>
      <c r="W143" s="241">
        <f>Q143/'2017'!Q143-1</f>
        <v>0.0852250392324621</v>
      </c>
      <c r="X143" s="241">
        <f>R143/'2017'!R143-1</f>
        <v>0.195822668276403</v>
      </c>
      <c r="Y143" s="262">
        <f>S143/'2017'!S143-1</f>
        <v>0.11149568820507</v>
      </c>
      <c r="Z143" s="263"/>
      <c r="AA143" s="264">
        <f t="shared" si="49"/>
        <v>866.597948</v>
      </c>
      <c r="AB143" s="265"/>
      <c r="AC143" s="266"/>
      <c r="AD143" s="265">
        <f t="shared" si="45"/>
        <v>8883114.98</v>
      </c>
      <c r="AE143" s="186">
        <f t="shared" si="47"/>
        <v>69802.2</v>
      </c>
      <c r="AF143" s="186">
        <f t="shared" si="48"/>
        <v>43161.64</v>
      </c>
      <c r="AG143" s="266">
        <f t="shared" si="46"/>
        <v>104171.66</v>
      </c>
      <c r="AH143" s="281"/>
      <c r="AI143" s="282"/>
      <c r="AJ143" s="282"/>
      <c r="AK143" s="282"/>
      <c r="AL143" s="282"/>
      <c r="AM143" s="282"/>
      <c r="AN143" s="282"/>
      <c r="AO143" s="282"/>
      <c r="AP143" s="282"/>
      <c r="AQ143" s="282"/>
      <c r="AR143" s="282"/>
      <c r="AS143" s="28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</row>
    <row r="144" ht="15" customHeight="1" spans="1:55">
      <c r="A144" s="189">
        <v>42874</v>
      </c>
      <c r="B144" s="184" t="s">
        <v>38</v>
      </c>
      <c r="C144" s="185">
        <v>74602</v>
      </c>
      <c r="D144" s="186">
        <v>35763</v>
      </c>
      <c r="E144" s="186">
        <v>111761</v>
      </c>
      <c r="F144" s="187">
        <v>5539</v>
      </c>
      <c r="G144" s="186">
        <v>3927</v>
      </c>
      <c r="H144" s="188">
        <v>4788</v>
      </c>
      <c r="I144" s="188"/>
      <c r="J144" s="214">
        <f t="shared" si="43"/>
        <v>75998</v>
      </c>
      <c r="K144" s="186">
        <v>986</v>
      </c>
      <c r="L144" s="186">
        <v>0</v>
      </c>
      <c r="M144" s="215">
        <f t="shared" si="44"/>
        <v>410</v>
      </c>
      <c r="N144" s="216">
        <f t="shared" si="51"/>
        <v>1349877</v>
      </c>
      <c r="O144" s="219">
        <f t="shared" si="51"/>
        <v>595122</v>
      </c>
      <c r="P144" s="218">
        <f t="shared" si="51"/>
        <v>1981804</v>
      </c>
      <c r="Q144" s="238">
        <f t="shared" si="42"/>
        <v>8740581.48</v>
      </c>
      <c r="R144" s="217">
        <f t="shared" si="42"/>
        <v>4340440</v>
      </c>
      <c r="S144" s="239">
        <f t="shared" si="42"/>
        <v>13299552.98</v>
      </c>
      <c r="T144" s="240">
        <f>N144/'2017'!N144-1</f>
        <v>0.174517946964378</v>
      </c>
      <c r="U144" s="241">
        <f>O144/'2017'!O144-1</f>
        <v>0.107455087480321</v>
      </c>
      <c r="V144" s="241">
        <f>P144/'2017'!P144-1</f>
        <v>0.149168336179478</v>
      </c>
      <c r="W144" s="241">
        <f>Q144/'2017'!Q144-1</f>
        <v>0.0859821835651207</v>
      </c>
      <c r="X144" s="241">
        <f>R144/'2017'!R144-1</f>
        <v>0.195582742052729</v>
      </c>
      <c r="Y144" s="262">
        <f>S144/'2017'!S144-1</f>
        <v>0.111905781119103</v>
      </c>
      <c r="Z144" s="263"/>
      <c r="AA144" s="264">
        <f t="shared" si="49"/>
        <v>874.058148</v>
      </c>
      <c r="AB144" s="265"/>
      <c r="AC144" s="266"/>
      <c r="AD144" s="265">
        <f t="shared" si="45"/>
        <v>8959112.98</v>
      </c>
      <c r="AE144" s="186">
        <f t="shared" si="47"/>
        <v>70788.2</v>
      </c>
      <c r="AF144" s="186">
        <f t="shared" si="48"/>
        <v>43161.64</v>
      </c>
      <c r="AG144" s="266">
        <f t="shared" si="46"/>
        <v>104581.66</v>
      </c>
      <c r="AH144" s="281"/>
      <c r="AI144" s="282"/>
      <c r="AJ144" s="282"/>
      <c r="AK144" s="282"/>
      <c r="AL144" s="282"/>
      <c r="AM144" s="282"/>
      <c r="AN144" s="282"/>
      <c r="AO144" s="282"/>
      <c r="AP144" s="282"/>
      <c r="AQ144" s="282"/>
      <c r="AR144" s="282"/>
      <c r="AS144" s="28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</row>
    <row r="145" ht="15" customHeight="1" spans="1:55">
      <c r="A145" s="189">
        <v>42875</v>
      </c>
      <c r="B145" s="184" t="s">
        <v>1</v>
      </c>
      <c r="C145" s="185">
        <v>68027</v>
      </c>
      <c r="D145" s="186">
        <v>33467</v>
      </c>
      <c r="E145" s="186">
        <v>102129</v>
      </c>
      <c r="F145" s="187">
        <v>4984</v>
      </c>
      <c r="G145" s="186">
        <v>3578</v>
      </c>
      <c r="H145" s="188">
        <v>4801</v>
      </c>
      <c r="I145" s="188"/>
      <c r="J145" s="214">
        <f t="shared" si="43"/>
        <v>68662</v>
      </c>
      <c r="K145" s="186">
        <v>278</v>
      </c>
      <c r="L145" s="186">
        <v>0</v>
      </c>
      <c r="M145" s="215">
        <f t="shared" si="44"/>
        <v>357</v>
      </c>
      <c r="N145" s="216">
        <f t="shared" si="51"/>
        <v>1417904</v>
      </c>
      <c r="O145" s="219">
        <f t="shared" si="51"/>
        <v>628589</v>
      </c>
      <c r="P145" s="218">
        <f t="shared" si="51"/>
        <v>2083933</v>
      </c>
      <c r="Q145" s="238">
        <f t="shared" si="42"/>
        <v>8808608.48</v>
      </c>
      <c r="R145" s="217">
        <f t="shared" si="42"/>
        <v>4373907</v>
      </c>
      <c r="S145" s="239">
        <f t="shared" si="42"/>
        <v>13401681.98</v>
      </c>
      <c r="T145" s="240">
        <f>N145/'2017'!N145-1</f>
        <v>0.168688244079509</v>
      </c>
      <c r="U145" s="241">
        <f>O145/'2017'!O145-1</f>
        <v>0.107511157233746</v>
      </c>
      <c r="V145" s="241">
        <f>P145/'2017'!P145-1</f>
        <v>0.144764648267444</v>
      </c>
      <c r="W145" s="241">
        <f>Q145/'2017'!Q145-1</f>
        <v>0.0858081572559133</v>
      </c>
      <c r="X145" s="241">
        <f>R145/'2017'!R145-1</f>
        <v>0.194864595523998</v>
      </c>
      <c r="Y145" s="262">
        <f>S145/'2017'!S145-1</f>
        <v>0.111537116820082</v>
      </c>
      <c r="Z145" s="263"/>
      <c r="AA145" s="264">
        <f t="shared" si="49"/>
        <v>880.860848</v>
      </c>
      <c r="AB145" s="265"/>
      <c r="AC145" s="266"/>
      <c r="AD145" s="265">
        <f t="shared" si="45"/>
        <v>9027774.98</v>
      </c>
      <c r="AE145" s="186">
        <f t="shared" si="47"/>
        <v>71066.2</v>
      </c>
      <c r="AF145" s="186">
        <f t="shared" si="48"/>
        <v>43161.64</v>
      </c>
      <c r="AG145" s="266">
        <f t="shared" si="46"/>
        <v>104938.66</v>
      </c>
      <c r="AH145" s="281"/>
      <c r="AI145" s="282"/>
      <c r="AJ145" s="282"/>
      <c r="AK145" s="282"/>
      <c r="AL145" s="282"/>
      <c r="AM145" s="282"/>
      <c r="AN145" s="282"/>
      <c r="AO145" s="282"/>
      <c r="AP145" s="282"/>
      <c r="AQ145" s="282"/>
      <c r="AR145" s="282"/>
      <c r="AS145" s="28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</row>
    <row r="146" ht="15" customHeight="1" spans="1:55">
      <c r="A146" s="189">
        <v>42876</v>
      </c>
      <c r="B146" s="184" t="s">
        <v>39</v>
      </c>
      <c r="C146" s="185">
        <v>71136</v>
      </c>
      <c r="D146" s="186">
        <v>32615</v>
      </c>
      <c r="E146" s="186">
        <v>104330</v>
      </c>
      <c r="F146" s="187">
        <v>5300</v>
      </c>
      <c r="G146" s="186">
        <v>3336</v>
      </c>
      <c r="H146" s="188">
        <v>4491</v>
      </c>
      <c r="I146" s="188"/>
      <c r="J146" s="214">
        <f t="shared" si="43"/>
        <v>71715</v>
      </c>
      <c r="K146" s="186">
        <v>334</v>
      </c>
      <c r="L146" s="186">
        <v>0</v>
      </c>
      <c r="M146" s="215">
        <f t="shared" si="44"/>
        <v>245</v>
      </c>
      <c r="N146" s="216">
        <f t="shared" si="51"/>
        <v>1489040</v>
      </c>
      <c r="O146" s="219">
        <f t="shared" si="51"/>
        <v>661204</v>
      </c>
      <c r="P146" s="218">
        <f t="shared" si="51"/>
        <v>2188263</v>
      </c>
      <c r="Q146" s="238">
        <f t="shared" si="42"/>
        <v>8879744.48</v>
      </c>
      <c r="R146" s="217">
        <f t="shared" si="42"/>
        <v>4406522</v>
      </c>
      <c r="S146" s="239">
        <f t="shared" si="42"/>
        <v>13506011.98</v>
      </c>
      <c r="T146" s="240">
        <f>N146/'2017'!N146-1</f>
        <v>0.169628493866881</v>
      </c>
      <c r="U146" s="241">
        <f>O146/'2017'!O146-1</f>
        <v>0.105758875116228</v>
      </c>
      <c r="V146" s="241">
        <f>P146/'2017'!P146-1</f>
        <v>0.144262199072464</v>
      </c>
      <c r="W146" s="241">
        <f>Q146/'2017'!Q146-1</f>
        <v>0.0865615400933761</v>
      </c>
      <c r="X146" s="241">
        <f>R146/'2017'!R146-1</f>
        <v>0.193861364303222</v>
      </c>
      <c r="Y146" s="262">
        <f>S146/'2017'!S146-1</f>
        <v>0.111709582460271</v>
      </c>
      <c r="Z146" s="263"/>
      <c r="AA146" s="264">
        <f t="shared" si="49"/>
        <v>887.974448</v>
      </c>
      <c r="AB146" s="265"/>
      <c r="AC146" s="266"/>
      <c r="AD146" s="265">
        <f t="shared" si="45"/>
        <v>9099489.98</v>
      </c>
      <c r="AE146" s="186">
        <f t="shared" si="47"/>
        <v>71400.2</v>
      </c>
      <c r="AF146" s="186">
        <f t="shared" si="48"/>
        <v>43161.64</v>
      </c>
      <c r="AG146" s="266">
        <f t="shared" si="46"/>
        <v>105183.66</v>
      </c>
      <c r="AH146" s="281"/>
      <c r="AI146" s="282"/>
      <c r="AJ146" s="282"/>
      <c r="AK146" s="282"/>
      <c r="AL146" s="282"/>
      <c r="AM146" s="282"/>
      <c r="AN146" s="282"/>
      <c r="AO146" s="282"/>
      <c r="AP146" s="282"/>
      <c r="AQ146" s="282"/>
      <c r="AR146" s="282"/>
      <c r="AS146" s="28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</row>
    <row r="147" ht="15" customHeight="1" spans="1:55">
      <c r="A147" s="189">
        <v>42877</v>
      </c>
      <c r="B147" s="184" t="s">
        <v>34</v>
      </c>
      <c r="C147" s="185">
        <v>69535</v>
      </c>
      <c r="D147" s="186">
        <v>35614</v>
      </c>
      <c r="E147" s="186">
        <v>105918</v>
      </c>
      <c r="F147" s="187">
        <v>5223</v>
      </c>
      <c r="G147" s="186">
        <v>3478</v>
      </c>
      <c r="H147" s="188">
        <v>4897</v>
      </c>
      <c r="I147" s="188"/>
      <c r="J147" s="214">
        <f t="shared" si="43"/>
        <v>70304</v>
      </c>
      <c r="K147" s="186">
        <v>239</v>
      </c>
      <c r="L147" s="186">
        <v>0</v>
      </c>
      <c r="M147" s="215">
        <f t="shared" si="44"/>
        <v>530</v>
      </c>
      <c r="N147" s="216">
        <f t="shared" si="51"/>
        <v>1558575</v>
      </c>
      <c r="O147" s="219">
        <f t="shared" si="51"/>
        <v>696818</v>
      </c>
      <c r="P147" s="218">
        <f t="shared" si="51"/>
        <v>2294181</v>
      </c>
      <c r="Q147" s="238">
        <f t="shared" si="42"/>
        <v>8949279.48</v>
      </c>
      <c r="R147" s="217">
        <f t="shared" si="42"/>
        <v>4442136</v>
      </c>
      <c r="S147" s="239">
        <f t="shared" si="42"/>
        <v>13611929.98</v>
      </c>
      <c r="T147" s="240">
        <f>N147/'2017'!N147-1</f>
        <v>0.16441216638227</v>
      </c>
      <c r="U147" s="241">
        <f>O147/'2017'!O147-1</f>
        <v>0.109678220738726</v>
      </c>
      <c r="V147" s="241">
        <f>P147/'2017'!P147-1</f>
        <v>0.141332477650254</v>
      </c>
      <c r="W147" s="241">
        <f>Q147/'2017'!Q147-1</f>
        <v>0.0863736422952273</v>
      </c>
      <c r="X147" s="241">
        <f>R147/'2017'!R147-1</f>
        <v>0.193812895310759</v>
      </c>
      <c r="Y147" s="262">
        <f>S147/'2017'!S147-1</f>
        <v>0.111488438644595</v>
      </c>
      <c r="Z147" s="263"/>
      <c r="AA147" s="264">
        <f t="shared" si="49"/>
        <v>894.927948</v>
      </c>
      <c r="AB147" s="265"/>
      <c r="AC147" s="266"/>
      <c r="AD147" s="265">
        <f t="shared" si="45"/>
        <v>9169793.98</v>
      </c>
      <c r="AE147" s="186">
        <f t="shared" si="47"/>
        <v>71639.2</v>
      </c>
      <c r="AF147" s="186">
        <f t="shared" si="48"/>
        <v>43161.64</v>
      </c>
      <c r="AG147" s="266">
        <f t="shared" si="46"/>
        <v>105713.66</v>
      </c>
      <c r="AH147" s="281"/>
      <c r="AI147" s="282"/>
      <c r="AJ147" s="282"/>
      <c r="AK147" s="282"/>
      <c r="AL147" s="282"/>
      <c r="AM147" s="282"/>
      <c r="AN147" s="282"/>
      <c r="AO147" s="282"/>
      <c r="AP147" s="282"/>
      <c r="AQ147" s="282"/>
      <c r="AR147" s="282"/>
      <c r="AS147" s="28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</row>
    <row r="148" ht="15" customHeight="1" spans="1:55">
      <c r="A148" s="189">
        <v>42878</v>
      </c>
      <c r="B148" s="184" t="s">
        <v>35</v>
      </c>
      <c r="C148" s="185">
        <v>67364</v>
      </c>
      <c r="D148" s="186">
        <v>32545</v>
      </c>
      <c r="E148" s="186">
        <v>101194</v>
      </c>
      <c r="F148" s="187">
        <v>4950</v>
      </c>
      <c r="G148" s="186">
        <v>3431</v>
      </c>
      <c r="H148" s="188">
        <v>5069</v>
      </c>
      <c r="I148" s="188"/>
      <c r="J148" s="214">
        <f t="shared" si="43"/>
        <v>68649</v>
      </c>
      <c r="K148" s="186">
        <v>362</v>
      </c>
      <c r="L148" s="186">
        <v>0</v>
      </c>
      <c r="M148" s="215">
        <f t="shared" si="44"/>
        <v>923</v>
      </c>
      <c r="N148" s="216">
        <f t="shared" si="51"/>
        <v>1625939</v>
      </c>
      <c r="O148" s="219">
        <f t="shared" si="51"/>
        <v>729363</v>
      </c>
      <c r="P148" s="218">
        <f t="shared" si="51"/>
        <v>2395375</v>
      </c>
      <c r="Q148" s="238">
        <f t="shared" si="42"/>
        <v>9016643.48</v>
      </c>
      <c r="R148" s="217">
        <f t="shared" si="42"/>
        <v>4474681</v>
      </c>
      <c r="S148" s="239">
        <f t="shared" si="42"/>
        <v>13713123.98</v>
      </c>
      <c r="T148" s="240">
        <f>N148/'2017'!N148-1</f>
        <v>0.156904474243323</v>
      </c>
      <c r="U148" s="241">
        <f>O148/'2017'!O148-1</f>
        <v>0.106636361843233</v>
      </c>
      <c r="V148" s="241">
        <f>P148/'2017'!P148-1</f>
        <v>0.135395178904579</v>
      </c>
      <c r="W148" s="241">
        <f>Q148/'2017'!Q148-1</f>
        <v>0.0857318820816861</v>
      </c>
      <c r="X148" s="241">
        <f>R148/'2017'!R148-1</f>
        <v>0.192580421630554</v>
      </c>
      <c r="Y148" s="262">
        <f>S148/'2017'!S148-1</f>
        <v>0.110714721015962</v>
      </c>
      <c r="Z148" s="263"/>
      <c r="AA148" s="264">
        <f t="shared" si="49"/>
        <v>901.664348</v>
      </c>
      <c r="AB148" s="265"/>
      <c r="AC148" s="266"/>
      <c r="AD148" s="265">
        <f t="shared" si="45"/>
        <v>9238442.98</v>
      </c>
      <c r="AE148" s="186">
        <f t="shared" si="47"/>
        <v>72001.2</v>
      </c>
      <c r="AF148" s="186">
        <f t="shared" si="48"/>
        <v>43161.64</v>
      </c>
      <c r="AG148" s="266">
        <f t="shared" si="46"/>
        <v>106636.66</v>
      </c>
      <c r="AH148" s="281"/>
      <c r="AI148" s="282"/>
      <c r="AJ148" s="282"/>
      <c r="AK148" s="282"/>
      <c r="AL148" s="282"/>
      <c r="AM148" s="282"/>
      <c r="AN148" s="282"/>
      <c r="AO148" s="282"/>
      <c r="AP148" s="282"/>
      <c r="AQ148" s="282"/>
      <c r="AR148" s="282"/>
      <c r="AS148" s="28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</row>
    <row r="149" s="163" customFormat="1" ht="15" customHeight="1" spans="1:55">
      <c r="A149" s="190">
        <v>42879</v>
      </c>
      <c r="B149" s="191" t="s">
        <v>36</v>
      </c>
      <c r="C149" s="192">
        <v>60309</v>
      </c>
      <c r="D149" s="193">
        <v>40958</v>
      </c>
      <c r="E149" s="193">
        <v>102510</v>
      </c>
      <c r="F149" s="194">
        <v>5960</v>
      </c>
      <c r="G149" s="193">
        <v>3429</v>
      </c>
      <c r="H149" s="195">
        <v>4824</v>
      </c>
      <c r="I149" s="195"/>
      <c r="J149" s="220">
        <f t="shared" si="43"/>
        <v>61552</v>
      </c>
      <c r="K149" s="193">
        <v>380</v>
      </c>
      <c r="L149" s="193">
        <v>0</v>
      </c>
      <c r="M149" s="221">
        <f t="shared" si="44"/>
        <v>863</v>
      </c>
      <c r="N149" s="222">
        <f t="shared" si="51"/>
        <v>1686248</v>
      </c>
      <c r="O149" s="225">
        <f t="shared" si="51"/>
        <v>770321</v>
      </c>
      <c r="P149" s="224">
        <f t="shared" si="51"/>
        <v>2497885</v>
      </c>
      <c r="Q149" s="242">
        <f t="shared" si="42"/>
        <v>9076952.48</v>
      </c>
      <c r="R149" s="223">
        <f t="shared" si="42"/>
        <v>4515639</v>
      </c>
      <c r="S149" s="243">
        <f t="shared" si="42"/>
        <v>13815633.98</v>
      </c>
      <c r="T149" s="244">
        <f>N149/'2017'!N149-1</f>
        <v>0.147048179821996</v>
      </c>
      <c r="U149" s="245">
        <f>O149/'2017'!O149-1</f>
        <v>0.119921202032464</v>
      </c>
      <c r="V149" s="245">
        <f>P149/'2017'!P149-1</f>
        <v>0.13283485700136</v>
      </c>
      <c r="W149" s="245">
        <f>Q149/'2017'!Q149-1</f>
        <v>0.0845504353189224</v>
      </c>
      <c r="X149" s="245">
        <f>R149/'2017'!R149-1</f>
        <v>0.194343658866489</v>
      </c>
      <c r="Y149" s="267">
        <f>S149/'2017'!S149-1</f>
        <v>0.110449924186749</v>
      </c>
      <c r="Z149" s="268">
        <v>43.91</v>
      </c>
      <c r="AA149" s="269">
        <f t="shared" si="49"/>
        <v>863.785248</v>
      </c>
      <c r="AB149" s="270">
        <v>4283.88</v>
      </c>
      <c r="AC149" s="221">
        <f t="shared" si="50"/>
        <v>2016.36191489958</v>
      </c>
      <c r="AD149" s="270">
        <f t="shared" si="45"/>
        <v>9299994.98</v>
      </c>
      <c r="AE149" s="193">
        <f t="shared" si="47"/>
        <v>72381.2</v>
      </c>
      <c r="AF149" s="193">
        <f t="shared" si="48"/>
        <v>43161.64</v>
      </c>
      <c r="AG149" s="221">
        <f t="shared" si="46"/>
        <v>107499.66</v>
      </c>
      <c r="AH149" s="281"/>
      <c r="AI149" s="282"/>
      <c r="AJ149" s="282"/>
      <c r="AK149" s="282"/>
      <c r="AL149" s="282"/>
      <c r="AM149" s="282"/>
      <c r="AN149" s="282"/>
      <c r="AO149" s="282"/>
      <c r="AP149" s="282"/>
      <c r="AQ149" s="282"/>
      <c r="AR149" s="282"/>
      <c r="AS149" s="28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</row>
    <row r="150" ht="15" customHeight="1" spans="1:55">
      <c r="A150" s="189">
        <v>42880</v>
      </c>
      <c r="B150" s="184" t="s">
        <v>37</v>
      </c>
      <c r="C150" s="185">
        <v>66810</v>
      </c>
      <c r="D150" s="186">
        <f>30870+9963</f>
        <v>40833</v>
      </c>
      <c r="E150" s="186">
        <v>108888</v>
      </c>
      <c r="F150" s="187">
        <v>5401.8</v>
      </c>
      <c r="G150" s="186">
        <v>3483.7</v>
      </c>
      <c r="H150" s="188"/>
      <c r="I150" s="188"/>
      <c r="J150" s="214">
        <f t="shared" si="43"/>
        <v>68055</v>
      </c>
      <c r="K150" s="186">
        <v>415</v>
      </c>
      <c r="L150" s="186">
        <v>0</v>
      </c>
      <c r="M150" s="215">
        <f t="shared" si="44"/>
        <v>830</v>
      </c>
      <c r="N150" s="216">
        <f t="shared" si="51"/>
        <v>1753058</v>
      </c>
      <c r="O150" s="219">
        <f t="shared" si="51"/>
        <v>811154</v>
      </c>
      <c r="P150" s="218">
        <f t="shared" si="51"/>
        <v>2606773</v>
      </c>
      <c r="Q150" s="238">
        <f t="shared" si="42"/>
        <v>9143762.48</v>
      </c>
      <c r="R150" s="217">
        <f t="shared" si="42"/>
        <v>4556472</v>
      </c>
      <c r="S150" s="239">
        <f t="shared" si="42"/>
        <v>13924521.98</v>
      </c>
      <c r="T150" s="240">
        <f>N150/'2017'!N150-1</f>
        <v>0.144203362528155</v>
      </c>
      <c r="U150" s="241">
        <f>O150/'2017'!O150-1</f>
        <v>0.1282246006412</v>
      </c>
      <c r="V150" s="241">
        <f>P150/'2017'!P150-1</f>
        <v>0.133309595668441</v>
      </c>
      <c r="W150" s="241">
        <f>Q150/'2017'!Q150-1</f>
        <v>0.0844933945419564</v>
      </c>
      <c r="X150" s="241">
        <f>R150/'2017'!R150-1</f>
        <v>0.1953019739852</v>
      </c>
      <c r="Y150" s="262">
        <f>S150/'2017'!S150-1</f>
        <v>0.110706933206424</v>
      </c>
      <c r="Z150" s="263"/>
      <c r="AA150" s="264">
        <f t="shared" si="49"/>
        <v>914.376248</v>
      </c>
      <c r="AB150" s="265"/>
      <c r="AC150" s="266"/>
      <c r="AD150" s="265">
        <f t="shared" si="45"/>
        <v>9368049.98</v>
      </c>
      <c r="AE150" s="186">
        <f t="shared" si="47"/>
        <v>72796.2</v>
      </c>
      <c r="AF150" s="186">
        <f t="shared" si="48"/>
        <v>43161.64</v>
      </c>
      <c r="AG150" s="266">
        <f t="shared" si="46"/>
        <v>108329.66</v>
      </c>
      <c r="AH150" s="281"/>
      <c r="AI150" s="282"/>
      <c r="AJ150" s="282"/>
      <c r="AK150" s="282"/>
      <c r="AL150" s="282"/>
      <c r="AM150" s="282"/>
      <c r="AN150" s="282"/>
      <c r="AO150" s="282"/>
      <c r="AP150" s="282"/>
      <c r="AQ150" s="282"/>
      <c r="AR150" s="282"/>
      <c r="AS150" s="28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</row>
    <row r="151" ht="15" customHeight="1" spans="1:55">
      <c r="A151" s="189">
        <v>42881</v>
      </c>
      <c r="B151" s="184" t="s">
        <v>38</v>
      </c>
      <c r="C151" s="185">
        <v>70220</v>
      </c>
      <c r="D151" s="186">
        <f>26881+10218</f>
        <v>37099</v>
      </c>
      <c r="E151" s="186">
        <v>108398</v>
      </c>
      <c r="F151" s="187">
        <v>5403.5</v>
      </c>
      <c r="G151" s="186">
        <v>3611.2</v>
      </c>
      <c r="H151" s="188"/>
      <c r="I151" s="188"/>
      <c r="J151" s="214">
        <f t="shared" si="43"/>
        <v>71299</v>
      </c>
      <c r="K151" s="186">
        <v>560</v>
      </c>
      <c r="L151" s="186">
        <v>0</v>
      </c>
      <c r="M151" s="215">
        <f t="shared" si="44"/>
        <v>519</v>
      </c>
      <c r="N151" s="216">
        <f t="shared" si="51"/>
        <v>1823278</v>
      </c>
      <c r="O151" s="219">
        <f t="shared" si="51"/>
        <v>848253</v>
      </c>
      <c r="P151" s="218">
        <f t="shared" si="51"/>
        <v>2715171</v>
      </c>
      <c r="Q151" s="238">
        <f t="shared" si="42"/>
        <v>9213982.48</v>
      </c>
      <c r="R151" s="217">
        <f t="shared" si="42"/>
        <v>4593571</v>
      </c>
      <c r="S151" s="239">
        <f t="shared" si="42"/>
        <v>14032919.98</v>
      </c>
      <c r="T151" s="240">
        <f>N151/'2017'!N151-1</f>
        <v>0.142411919874185</v>
      </c>
      <c r="U151" s="241">
        <f>O151/'2017'!O151-1</f>
        <v>0.13155619942532</v>
      </c>
      <c r="V151" s="241">
        <f>P151/'2017'!P151-1</f>
        <v>0.132904956720749</v>
      </c>
      <c r="W151" s="241">
        <f>Q151/'2017'!Q151-1</f>
        <v>0.0846057506101647</v>
      </c>
      <c r="X151" s="241">
        <f>R151/'2017'!R151-1</f>
        <v>0.195416552054011</v>
      </c>
      <c r="Y151" s="262">
        <f>S151/'2017'!S151-1</f>
        <v>0.110802827773071</v>
      </c>
      <c r="Z151" s="263"/>
      <c r="AA151" s="264">
        <f t="shared" si="49"/>
        <v>921.398248</v>
      </c>
      <c r="AB151" s="265"/>
      <c r="AC151" s="266"/>
      <c r="AD151" s="265">
        <f t="shared" si="45"/>
        <v>9439348.98</v>
      </c>
      <c r="AE151" s="186">
        <f t="shared" si="47"/>
        <v>73356.2</v>
      </c>
      <c r="AF151" s="186">
        <f t="shared" ref="AF151:AF166" si="52">AF150+L151</f>
        <v>43161.64</v>
      </c>
      <c r="AG151" s="266">
        <f t="shared" si="46"/>
        <v>108848.66</v>
      </c>
      <c r="AH151" s="281"/>
      <c r="AI151" s="282"/>
      <c r="AJ151" s="282"/>
      <c r="AK151" s="282"/>
      <c r="AL151" s="282"/>
      <c r="AM151" s="282"/>
      <c r="AN151" s="282"/>
      <c r="AO151" s="282"/>
      <c r="AP151" s="282"/>
      <c r="AQ151" s="282"/>
      <c r="AR151" s="282"/>
      <c r="AS151" s="28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</row>
    <row r="152" ht="15" customHeight="1" spans="1:55">
      <c r="A152" s="189">
        <v>42882</v>
      </c>
      <c r="B152" s="184" t="s">
        <v>1</v>
      </c>
      <c r="C152" s="185">
        <v>69556</v>
      </c>
      <c r="D152" s="186">
        <f>20896+9945</f>
        <v>30841</v>
      </c>
      <c r="E152" s="186">
        <v>101166</v>
      </c>
      <c r="F152" s="187">
        <v>4965.9</v>
      </c>
      <c r="G152" s="186">
        <v>3558</v>
      </c>
      <c r="H152" s="188"/>
      <c r="I152" s="188"/>
      <c r="J152" s="214">
        <f t="shared" si="43"/>
        <v>70325</v>
      </c>
      <c r="K152" s="186">
        <v>406</v>
      </c>
      <c r="L152" s="186">
        <v>0</v>
      </c>
      <c r="M152" s="215">
        <f t="shared" si="44"/>
        <v>363</v>
      </c>
      <c r="N152" s="216">
        <f t="shared" si="51"/>
        <v>1892834</v>
      </c>
      <c r="O152" s="219">
        <f t="shared" si="51"/>
        <v>879094</v>
      </c>
      <c r="P152" s="218">
        <f t="shared" si="51"/>
        <v>2816337</v>
      </c>
      <c r="Q152" s="238">
        <f t="shared" si="42"/>
        <v>9283538.48</v>
      </c>
      <c r="R152" s="217">
        <f t="shared" si="42"/>
        <v>4624412</v>
      </c>
      <c r="S152" s="239">
        <f t="shared" si="42"/>
        <v>14134085.98</v>
      </c>
      <c r="T152" s="240">
        <f>N152/'2017'!N152-1</f>
        <v>0.138214031867977</v>
      </c>
      <c r="U152" s="241">
        <f>O152/'2017'!O152-1</f>
        <v>0.130860970429668</v>
      </c>
      <c r="V152" s="241">
        <f>P152/'2017'!P152-1</f>
        <v>0.1293242308502</v>
      </c>
      <c r="W152" s="241">
        <f>Q152/'2017'!Q152-1</f>
        <v>0.0842427323403447</v>
      </c>
      <c r="X152" s="241">
        <f>R152/'2017'!R152-1</f>
        <v>0.194819328098024</v>
      </c>
      <c r="Y152" s="262">
        <f>S152/'2017'!S152-1</f>
        <v>0.110270097843693</v>
      </c>
      <c r="Z152" s="263"/>
      <c r="AA152" s="264">
        <f t="shared" si="49"/>
        <v>928.353848</v>
      </c>
      <c r="AB152" s="265"/>
      <c r="AC152" s="266"/>
      <c r="AD152" s="265">
        <f t="shared" si="45"/>
        <v>9509673.98</v>
      </c>
      <c r="AE152" s="186">
        <f t="shared" si="47"/>
        <v>73762.2</v>
      </c>
      <c r="AF152" s="186">
        <f t="shared" si="52"/>
        <v>43161.64</v>
      </c>
      <c r="AG152" s="266">
        <f t="shared" si="46"/>
        <v>109211.66</v>
      </c>
      <c r="AH152" s="281"/>
      <c r="AI152" s="282"/>
      <c r="AJ152" s="282"/>
      <c r="AK152" s="282"/>
      <c r="AL152" s="282"/>
      <c r="AM152" s="282"/>
      <c r="AN152" s="282"/>
      <c r="AO152" s="282"/>
      <c r="AP152" s="282"/>
      <c r="AQ152" s="282"/>
      <c r="AR152" s="282"/>
      <c r="AS152" s="28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</row>
    <row r="153" ht="15" customHeight="1" spans="1:55">
      <c r="A153" s="189">
        <v>42883</v>
      </c>
      <c r="B153" s="184" t="s">
        <v>39</v>
      </c>
      <c r="C153" s="185">
        <v>68457</v>
      </c>
      <c r="D153" s="186">
        <f>10655+24790</f>
        <v>35445</v>
      </c>
      <c r="E153" s="186">
        <v>105147</v>
      </c>
      <c r="F153" s="187">
        <v>5238</v>
      </c>
      <c r="G153" s="186">
        <v>3344</v>
      </c>
      <c r="H153" s="188"/>
      <c r="I153" s="188"/>
      <c r="J153" s="214">
        <f t="shared" si="43"/>
        <v>69702</v>
      </c>
      <c r="K153" s="186">
        <v>564</v>
      </c>
      <c r="L153" s="186">
        <v>0</v>
      </c>
      <c r="M153" s="215">
        <f t="shared" si="44"/>
        <v>681</v>
      </c>
      <c r="N153" s="216">
        <f t="shared" si="51"/>
        <v>1961291</v>
      </c>
      <c r="O153" s="219">
        <f t="shared" si="51"/>
        <v>914539</v>
      </c>
      <c r="P153" s="218">
        <f t="shared" si="51"/>
        <v>2921484</v>
      </c>
      <c r="Q153" s="238">
        <f t="shared" si="42"/>
        <v>9351995.48</v>
      </c>
      <c r="R153" s="217">
        <f t="shared" si="42"/>
        <v>4659857</v>
      </c>
      <c r="S153" s="239">
        <f t="shared" si="42"/>
        <v>14239232.98</v>
      </c>
      <c r="T153" s="240">
        <f>N153/'2017'!N153-1</f>
        <v>0.132606786201225</v>
      </c>
      <c r="U153" s="241">
        <f>O153/'2017'!O153-1</f>
        <v>0.143133740319089</v>
      </c>
      <c r="V153" s="241">
        <f>P153/'2017'!P153-1</f>
        <v>0.128722166694806</v>
      </c>
      <c r="W153" s="241">
        <f>Q153/'2017'!Q153-1</f>
        <v>0.0835471659046065</v>
      </c>
      <c r="X153" s="241">
        <f>R153/'2017'!R153-1</f>
        <v>0.196969109286377</v>
      </c>
      <c r="Y153" s="262">
        <f>S153/'2017'!S153-1</f>
        <v>0.110288969058212</v>
      </c>
      <c r="Z153" s="263"/>
      <c r="AA153" s="264">
        <f t="shared" si="49"/>
        <v>935.199548</v>
      </c>
      <c r="AB153" s="265"/>
      <c r="AC153" s="266"/>
      <c r="AD153" s="265">
        <f t="shared" si="45"/>
        <v>9579375.98</v>
      </c>
      <c r="AE153" s="186">
        <f t="shared" si="47"/>
        <v>74326.2</v>
      </c>
      <c r="AF153" s="186">
        <f t="shared" si="52"/>
        <v>43161.64</v>
      </c>
      <c r="AG153" s="266">
        <f t="shared" si="46"/>
        <v>109892.66</v>
      </c>
      <c r="AH153" s="281"/>
      <c r="AI153" s="282"/>
      <c r="AJ153" s="282"/>
      <c r="AK153" s="282"/>
      <c r="AL153" s="282"/>
      <c r="AM153" s="282"/>
      <c r="AN153" s="282"/>
      <c r="AO153" s="282"/>
      <c r="AP153" s="282"/>
      <c r="AQ153" s="282"/>
      <c r="AR153" s="282"/>
      <c r="AS153" s="28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</row>
    <row r="154" ht="15" customHeight="1" spans="1:55">
      <c r="A154" s="189">
        <v>42884</v>
      </c>
      <c r="B154" s="184" t="s">
        <v>34</v>
      </c>
      <c r="C154" s="185">
        <v>70213</v>
      </c>
      <c r="D154" s="186">
        <f>10757+25957</f>
        <v>36714</v>
      </c>
      <c r="E154" s="186">
        <v>108214</v>
      </c>
      <c r="F154" s="187">
        <v>5392</v>
      </c>
      <c r="G154" s="186">
        <v>3575</v>
      </c>
      <c r="H154" s="188"/>
      <c r="I154" s="188"/>
      <c r="J154" s="214">
        <f t="shared" si="43"/>
        <v>71500</v>
      </c>
      <c r="K154" s="186">
        <v>815</v>
      </c>
      <c r="L154" s="186">
        <v>0</v>
      </c>
      <c r="M154" s="215">
        <f t="shared" si="44"/>
        <v>472</v>
      </c>
      <c r="N154" s="216">
        <f t="shared" si="51"/>
        <v>2031504</v>
      </c>
      <c r="O154" s="219">
        <f t="shared" si="51"/>
        <v>951253</v>
      </c>
      <c r="P154" s="218">
        <f t="shared" si="51"/>
        <v>3029698</v>
      </c>
      <c r="Q154" s="238">
        <f t="shared" si="42"/>
        <v>9422208.48</v>
      </c>
      <c r="R154" s="217">
        <f t="shared" si="42"/>
        <v>4696571</v>
      </c>
      <c r="S154" s="239">
        <f t="shared" si="42"/>
        <v>14347446.98</v>
      </c>
      <c r="T154" s="240">
        <f>N154/'2017'!N154-1</f>
        <v>0.131354353519833</v>
      </c>
      <c r="U154" s="241">
        <f>O154/'2017'!O154-1</f>
        <v>0.154472482074634</v>
      </c>
      <c r="V154" s="241">
        <f>P154/'2017'!P154-1</f>
        <v>0.131116149580568</v>
      </c>
      <c r="W154" s="241">
        <f>Q154/'2017'!Q154-1</f>
        <v>0.0836495041594918</v>
      </c>
      <c r="X154" s="241">
        <f>R154/'2017'!R154-1</f>
        <v>0.199025221145517</v>
      </c>
      <c r="Y154" s="262">
        <f>S154/'2017'!S154-1</f>
        <v>0.110914197309256</v>
      </c>
      <c r="Z154" s="263"/>
      <c r="AA154" s="264">
        <f t="shared" si="49"/>
        <v>942.220848</v>
      </c>
      <c r="AB154" s="265"/>
      <c r="AC154" s="266"/>
      <c r="AD154" s="265">
        <f t="shared" si="45"/>
        <v>9650875.98</v>
      </c>
      <c r="AE154" s="186">
        <f t="shared" si="47"/>
        <v>75141.2</v>
      </c>
      <c r="AF154" s="186">
        <f t="shared" si="52"/>
        <v>43161.64</v>
      </c>
      <c r="AG154" s="266">
        <f t="shared" si="46"/>
        <v>110364.66</v>
      </c>
      <c r="AH154" s="281"/>
      <c r="AI154" s="282"/>
      <c r="AJ154" s="282"/>
      <c r="AK154" s="282"/>
      <c r="AL154" s="282"/>
      <c r="AM154" s="282"/>
      <c r="AN154" s="282"/>
      <c r="AO154" s="282"/>
      <c r="AP154" s="282"/>
      <c r="AQ154" s="282"/>
      <c r="AR154" s="282"/>
      <c r="AS154" s="28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</row>
    <row r="155" ht="15" customHeight="1" spans="1:55">
      <c r="A155" s="189">
        <v>42885</v>
      </c>
      <c r="B155" s="184" t="s">
        <v>35</v>
      </c>
      <c r="C155" s="185">
        <f>66941+1465</f>
        <v>68406</v>
      </c>
      <c r="D155" s="186">
        <f>24236+13804</f>
        <v>38040</v>
      </c>
      <c r="E155" s="186">
        <f>83183+24236</f>
        <v>107419</v>
      </c>
      <c r="F155" s="187">
        <v>5416</v>
      </c>
      <c r="G155" s="186">
        <v>3545</v>
      </c>
      <c r="H155" s="188"/>
      <c r="I155" s="188"/>
      <c r="J155" s="214">
        <f t="shared" si="43"/>
        <v>69379</v>
      </c>
      <c r="K155" s="186">
        <v>485</v>
      </c>
      <c r="L155" s="186">
        <v>0</v>
      </c>
      <c r="M155" s="215">
        <f t="shared" si="44"/>
        <v>488</v>
      </c>
      <c r="N155" s="216">
        <f t="shared" si="51"/>
        <v>2099910</v>
      </c>
      <c r="O155" s="219">
        <f t="shared" si="51"/>
        <v>989293</v>
      </c>
      <c r="P155" s="218">
        <f t="shared" si="51"/>
        <v>3137117</v>
      </c>
      <c r="Q155" s="238">
        <f t="shared" si="42"/>
        <v>9490614.48</v>
      </c>
      <c r="R155" s="217">
        <f t="shared" si="42"/>
        <v>4734611</v>
      </c>
      <c r="S155" s="239">
        <f t="shared" si="42"/>
        <v>14454865.98</v>
      </c>
      <c r="T155" s="240">
        <f>N155/'2017'!N155-1</f>
        <v>0.137260806200828</v>
      </c>
      <c r="U155" s="241">
        <f>O155/'2017'!O155-1</f>
        <v>0.170260989092234</v>
      </c>
      <c r="V155" s="241">
        <f>P155/'2017'!P155-1</f>
        <v>0.139806163879629</v>
      </c>
      <c r="W155" s="241">
        <f>Q155/'2017'!Q155-1</f>
        <v>0.0851737484112511</v>
      </c>
      <c r="X155" s="241">
        <f>R155/'2017'!R155-1</f>
        <v>0.202172212940346</v>
      </c>
      <c r="Y155" s="262">
        <f>S155/'2017'!S155-1</f>
        <v>0.112870426251421</v>
      </c>
      <c r="Z155" s="263"/>
      <c r="AA155" s="264">
        <f t="shared" si="49"/>
        <v>949.061448</v>
      </c>
      <c r="AB155" s="265"/>
      <c r="AC155" s="266"/>
      <c r="AD155" s="265">
        <f t="shared" si="45"/>
        <v>9720254.98</v>
      </c>
      <c r="AE155" s="186">
        <f t="shared" si="47"/>
        <v>75626.2</v>
      </c>
      <c r="AF155" s="186">
        <f t="shared" si="52"/>
        <v>43161.64</v>
      </c>
      <c r="AG155" s="266">
        <f t="shared" si="46"/>
        <v>110852.66</v>
      </c>
      <c r="AH155" s="281"/>
      <c r="AI155" s="282"/>
      <c r="AJ155" s="282"/>
      <c r="AK155" s="282"/>
      <c r="AL155" s="282"/>
      <c r="AM155" s="282"/>
      <c r="AN155" s="282"/>
      <c r="AO155" s="282"/>
      <c r="AP155" s="282"/>
      <c r="AQ155" s="282"/>
      <c r="AR155" s="282"/>
      <c r="AS155" s="28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</row>
    <row r="156" s="163" customFormat="1" ht="15" customHeight="1" spans="1:55">
      <c r="A156" s="291">
        <v>42886</v>
      </c>
      <c r="B156" s="292" t="s">
        <v>36</v>
      </c>
      <c r="C156" s="293">
        <f>63898+1440</f>
        <v>65338</v>
      </c>
      <c r="D156" s="294">
        <f>19054+13823</f>
        <v>32877</v>
      </c>
      <c r="E156" s="294">
        <f>80133+19054</f>
        <v>99187</v>
      </c>
      <c r="F156" s="295">
        <v>5057</v>
      </c>
      <c r="G156" s="294">
        <v>3498</v>
      </c>
      <c r="H156" s="296"/>
      <c r="I156" s="296"/>
      <c r="J156" s="297">
        <f t="shared" si="43"/>
        <v>66310</v>
      </c>
      <c r="K156" s="294">
        <v>580</v>
      </c>
      <c r="L156" s="294">
        <v>0</v>
      </c>
      <c r="M156" s="298">
        <f t="shared" si="44"/>
        <v>392</v>
      </c>
      <c r="N156" s="228">
        <f>[4]表2、统调口径电量!$D$10</f>
        <v>2165250.76</v>
      </c>
      <c r="O156" s="232">
        <f>[4]表2、统调口径电量!$D$14</f>
        <v>1022170</v>
      </c>
      <c r="P156" s="230">
        <f>[4]表2、统调口径电量!$D$3</f>
        <v>3236304.25</v>
      </c>
      <c r="Q156" s="246">
        <f>[4]表2、统调口径电量!$I$10</f>
        <v>9556059.18</v>
      </c>
      <c r="R156" s="229">
        <f>[4]表2、统调口径电量!$I$14</f>
        <v>4767488</v>
      </c>
      <c r="S156" s="247">
        <f>[4]表2、统调口径电量!$I$3</f>
        <v>14554202.57</v>
      </c>
      <c r="T156" s="299">
        <f>N156/'2017'!N156-1</f>
        <v>0.132316601499065</v>
      </c>
      <c r="U156" s="300">
        <f>O156/'2017'!O156-1</f>
        <v>0.171857176431474</v>
      </c>
      <c r="V156" s="300">
        <f>P156/'2017'!P156-1</f>
        <v>0.136906363425148</v>
      </c>
      <c r="W156" s="300">
        <f>Q156/'2017'!Q156-1</f>
        <v>0.084501303323941</v>
      </c>
      <c r="X156" s="300">
        <f>R156/'2017'!R156-1</f>
        <v>0.202306820898579</v>
      </c>
      <c r="Y156" s="301">
        <f>S156/'2017'!S156-1</f>
        <v>0.112444979777118</v>
      </c>
      <c r="Z156" s="302">
        <f>[4]表2、统调口径电量!$I$12/10000</f>
        <v>44.996719</v>
      </c>
      <c r="AA156" s="303">
        <f>[4]表2、统调口径电量!$I$11/10000</f>
        <v>910.582143</v>
      </c>
      <c r="AB156" s="304">
        <v>4283.88</v>
      </c>
      <c r="AC156" s="298">
        <f t="shared" si="50"/>
        <v>2125.60142440965</v>
      </c>
      <c r="AD156" s="304">
        <f>[4]表2、统调口径电量!$I$4</f>
        <v>9786714.57</v>
      </c>
      <c r="AE156" s="294">
        <f>[4]表2、统调口径电量!$I$13</f>
        <v>76209.22</v>
      </c>
      <c r="AF156" s="294">
        <f>[4]表2、统调口径电量!$I$15</f>
        <v>43161.64</v>
      </c>
      <c r="AG156" s="298">
        <f>[4]表2、统调口径电量!$I$16+[4]表2、统调口径电量!$I$17</f>
        <v>111284.53</v>
      </c>
      <c r="AH156" s="281"/>
      <c r="AI156" s="282"/>
      <c r="AJ156" s="282"/>
      <c r="AK156" s="282"/>
      <c r="AL156" s="282"/>
      <c r="AM156" s="282"/>
      <c r="AN156" s="282"/>
      <c r="AO156" s="282"/>
      <c r="AP156" s="282"/>
      <c r="AQ156" s="282"/>
      <c r="AR156" s="282"/>
      <c r="AS156" s="28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</row>
    <row r="157" ht="15" customHeight="1" spans="1:55">
      <c r="A157" s="189">
        <v>42887</v>
      </c>
      <c r="B157" s="184" t="s">
        <v>37</v>
      </c>
      <c r="C157" s="185">
        <v>52206</v>
      </c>
      <c r="D157" s="186">
        <f>27655+11298</f>
        <v>38953</v>
      </c>
      <c r="E157" s="186">
        <v>92662</v>
      </c>
      <c r="F157" s="187">
        <v>4456.7</v>
      </c>
      <c r="G157" s="186">
        <v>3172.2</v>
      </c>
      <c r="H157" s="188"/>
      <c r="I157" s="188"/>
      <c r="J157" s="214">
        <f t="shared" si="43"/>
        <v>53709</v>
      </c>
      <c r="K157" s="186">
        <v>464</v>
      </c>
      <c r="L157" s="186">
        <v>0</v>
      </c>
      <c r="M157" s="215">
        <f t="shared" si="44"/>
        <v>1039</v>
      </c>
      <c r="N157" s="216">
        <f>C157</f>
        <v>52206</v>
      </c>
      <c r="O157" s="219">
        <f>D157</f>
        <v>38953</v>
      </c>
      <c r="P157" s="218">
        <f>E157</f>
        <v>92662</v>
      </c>
      <c r="Q157" s="238">
        <f>Q$156+N157</f>
        <v>9608265.18</v>
      </c>
      <c r="R157" s="217">
        <f>R$156+O157</f>
        <v>4806441</v>
      </c>
      <c r="S157" s="239">
        <f>S$156+P157</f>
        <v>14646864.57</v>
      </c>
      <c r="T157" s="240">
        <f>N157/'2017'!N157-1</f>
        <v>-0.223078754687779</v>
      </c>
      <c r="U157" s="241">
        <f>O157/'2017'!O157-1</f>
        <v>0.265036373083918</v>
      </c>
      <c r="V157" s="241">
        <f>P157/'2017'!P157-1</f>
        <v>-0.0682928791199952</v>
      </c>
      <c r="W157" s="241">
        <f>Q157/'2017'!Q157-1</f>
        <v>0.0821734613514611</v>
      </c>
      <c r="X157" s="241">
        <f>R157/'2017'!R157-1</f>
        <v>0.202790187173617</v>
      </c>
      <c r="Y157" s="262">
        <f>S157/'2017'!S157-1</f>
        <v>0.111081424937103</v>
      </c>
      <c r="Z157" s="263"/>
      <c r="AA157" s="264">
        <f t="shared" si="49"/>
        <v>960.826518</v>
      </c>
      <c r="AB157" s="265"/>
      <c r="AC157" s="266"/>
      <c r="AD157" s="265">
        <f t="shared" si="45"/>
        <v>9840423.57</v>
      </c>
      <c r="AE157" s="186">
        <f t="shared" si="47"/>
        <v>76673.22</v>
      </c>
      <c r="AF157" s="186">
        <f t="shared" si="52"/>
        <v>43161.64</v>
      </c>
      <c r="AG157" s="266">
        <f t="shared" si="46"/>
        <v>112323.530000001</v>
      </c>
      <c r="AH157" s="281"/>
      <c r="AI157" s="282"/>
      <c r="AJ157" s="282"/>
      <c r="AK157" s="282"/>
      <c r="AL157" s="282"/>
      <c r="AM157" s="282"/>
      <c r="AN157" s="282"/>
      <c r="AO157" s="282"/>
      <c r="AP157" s="282"/>
      <c r="AQ157" s="282"/>
      <c r="AR157" s="282"/>
      <c r="AS157" s="28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</row>
    <row r="158" ht="15" customHeight="1" spans="1:55">
      <c r="A158" s="189">
        <v>42888</v>
      </c>
      <c r="B158" s="184" t="s">
        <v>38</v>
      </c>
      <c r="C158" s="185">
        <v>59861</v>
      </c>
      <c r="D158" s="186">
        <f>23948+10806</f>
        <v>34754</v>
      </c>
      <c r="E158" s="186">
        <v>95682</v>
      </c>
      <c r="F158" s="187">
        <v>4766.9</v>
      </c>
      <c r="G158" s="186">
        <v>3193.3</v>
      </c>
      <c r="H158" s="188"/>
      <c r="I158" s="188"/>
      <c r="J158" s="214">
        <f t="shared" si="43"/>
        <v>60928</v>
      </c>
      <c r="K158" s="186">
        <v>389</v>
      </c>
      <c r="L158" s="186">
        <v>0</v>
      </c>
      <c r="M158" s="215">
        <f t="shared" si="44"/>
        <v>678</v>
      </c>
      <c r="N158" s="216">
        <f t="shared" ref="N158:P173" si="53">N157+C158</f>
        <v>112067</v>
      </c>
      <c r="O158" s="219">
        <f t="shared" si="53"/>
        <v>73707</v>
      </c>
      <c r="P158" s="218">
        <f t="shared" si="53"/>
        <v>188344</v>
      </c>
      <c r="Q158" s="238">
        <f t="shared" ref="Q158:S185" si="54">Q$156+N158</f>
        <v>9668126.18</v>
      </c>
      <c r="R158" s="217">
        <f t="shared" si="54"/>
        <v>4841195</v>
      </c>
      <c r="S158" s="239">
        <f t="shared" si="54"/>
        <v>14742546.57</v>
      </c>
      <c r="T158" s="240">
        <f>N158/'2017'!N158-1</f>
        <v>-0.162516627557655</v>
      </c>
      <c r="U158" s="241">
        <f>O158/'2017'!O158-1</f>
        <v>0.174931854048109</v>
      </c>
      <c r="V158" s="241">
        <f>P158/'2017'!P158-1</f>
        <v>-0.0563265960538314</v>
      </c>
      <c r="W158" s="241">
        <f>Q158/'2017'!Q158-1</f>
        <v>0.0808061239974169</v>
      </c>
      <c r="X158" s="241">
        <f>R158/'2017'!R158-1</f>
        <v>0.201880478657364</v>
      </c>
      <c r="Y158" s="262">
        <f>S158/'2017'!S158-1</f>
        <v>0.109909008980951</v>
      </c>
      <c r="Z158" s="263"/>
      <c r="AA158" s="264">
        <f t="shared" si="49"/>
        <v>966.812618</v>
      </c>
      <c r="AB158" s="265"/>
      <c r="AC158" s="266"/>
      <c r="AD158" s="265">
        <f t="shared" si="45"/>
        <v>9901351.57</v>
      </c>
      <c r="AE158" s="186">
        <f t="shared" si="47"/>
        <v>77062.22</v>
      </c>
      <c r="AF158" s="186">
        <f t="shared" si="52"/>
        <v>43161.64</v>
      </c>
      <c r="AG158" s="266">
        <f t="shared" si="46"/>
        <v>113001.530000001</v>
      </c>
      <c r="AH158" s="281"/>
      <c r="AI158" s="282"/>
      <c r="AJ158" s="282"/>
      <c r="AK158" s="282"/>
      <c r="AL158" s="282"/>
      <c r="AM158" s="282"/>
      <c r="AN158" s="282"/>
      <c r="AO158" s="282"/>
      <c r="AP158" s="282"/>
      <c r="AQ158" s="282"/>
      <c r="AR158" s="282"/>
      <c r="AS158" s="28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</row>
    <row r="159" ht="15" customHeight="1" spans="1:55">
      <c r="A159" s="189">
        <v>42889</v>
      </c>
      <c r="B159" s="184" t="s">
        <v>1</v>
      </c>
      <c r="C159" s="185">
        <v>65648</v>
      </c>
      <c r="D159" s="186">
        <f>15790+10694</f>
        <v>26484</v>
      </c>
      <c r="E159" s="186">
        <v>93073</v>
      </c>
      <c r="F159" s="187">
        <v>4526.5</v>
      </c>
      <c r="G159" s="186">
        <v>3284.1</v>
      </c>
      <c r="H159" s="188"/>
      <c r="I159" s="188"/>
      <c r="J159" s="214">
        <f t="shared" si="43"/>
        <v>66589</v>
      </c>
      <c r="K159" s="186">
        <v>459</v>
      </c>
      <c r="L159" s="186">
        <v>0</v>
      </c>
      <c r="M159" s="215">
        <f t="shared" si="44"/>
        <v>482</v>
      </c>
      <c r="N159" s="216">
        <f t="shared" si="53"/>
        <v>177715</v>
      </c>
      <c r="O159" s="219">
        <f t="shared" si="53"/>
        <v>100191</v>
      </c>
      <c r="P159" s="218">
        <f t="shared" si="53"/>
        <v>281417</v>
      </c>
      <c r="Q159" s="238">
        <f t="shared" si="54"/>
        <v>9733774.18</v>
      </c>
      <c r="R159" s="217">
        <f t="shared" si="54"/>
        <v>4867679</v>
      </c>
      <c r="S159" s="239">
        <f t="shared" si="54"/>
        <v>14835619.57</v>
      </c>
      <c r="T159" s="240">
        <f>N159/'2017'!N159-1</f>
        <v>-0.107224491231243</v>
      </c>
      <c r="U159" s="241">
        <f>O159/'2017'!O159-1</f>
        <v>0.065657640026378</v>
      </c>
      <c r="V159" s="241">
        <f>P159/'2017'!P159-1</f>
        <v>-0.0546991780343364</v>
      </c>
      <c r="W159" s="241">
        <f>Q159/'2017'!Q159-1</f>
        <v>0.0802657349332045</v>
      </c>
      <c r="X159" s="241">
        <f>R159/'2017'!R159-1</f>
        <v>0.199141872174083</v>
      </c>
      <c r="Y159" s="262">
        <f>S159/'2017'!S159-1</f>
        <v>0.108726288273472</v>
      </c>
      <c r="Z159" s="263"/>
      <c r="AA159" s="264">
        <f t="shared" si="49"/>
        <v>973.377418</v>
      </c>
      <c r="AB159" s="265"/>
      <c r="AC159" s="266"/>
      <c r="AD159" s="265">
        <f t="shared" si="45"/>
        <v>9967940.57</v>
      </c>
      <c r="AE159" s="186">
        <f t="shared" si="47"/>
        <v>77521.22</v>
      </c>
      <c r="AF159" s="186">
        <f t="shared" si="52"/>
        <v>43161.64</v>
      </c>
      <c r="AG159" s="266">
        <f t="shared" si="46"/>
        <v>113483.530000001</v>
      </c>
      <c r="AH159" s="281"/>
      <c r="AI159" s="282"/>
      <c r="AJ159" s="282"/>
      <c r="AK159" s="282"/>
      <c r="AL159" s="282"/>
      <c r="AM159" s="282"/>
      <c r="AN159" s="282"/>
      <c r="AO159" s="282"/>
      <c r="AP159" s="282"/>
      <c r="AQ159" s="282"/>
      <c r="AR159" s="282"/>
      <c r="AS159" s="28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</row>
    <row r="160" ht="15" customHeight="1" spans="1:55">
      <c r="A160" s="189">
        <v>42890</v>
      </c>
      <c r="B160" s="184" t="s">
        <v>39</v>
      </c>
      <c r="C160" s="185">
        <v>67268</v>
      </c>
      <c r="D160" s="186">
        <f>20155+11109</f>
        <v>31264</v>
      </c>
      <c r="E160" s="186">
        <v>100313</v>
      </c>
      <c r="F160" s="187">
        <v>4972.8</v>
      </c>
      <c r="G160" s="186">
        <v>3220</v>
      </c>
      <c r="H160" s="188"/>
      <c r="I160" s="188"/>
      <c r="J160" s="214">
        <f t="shared" si="43"/>
        <v>69049</v>
      </c>
      <c r="K160" s="186">
        <v>1100</v>
      </c>
      <c r="L160" s="186">
        <v>0</v>
      </c>
      <c r="M160" s="215">
        <f t="shared" si="44"/>
        <v>681</v>
      </c>
      <c r="N160" s="216">
        <f t="shared" si="53"/>
        <v>244983</v>
      </c>
      <c r="O160" s="219">
        <f t="shared" si="53"/>
        <v>131455</v>
      </c>
      <c r="P160" s="218">
        <f t="shared" si="53"/>
        <v>381730</v>
      </c>
      <c r="Q160" s="238">
        <f t="shared" si="54"/>
        <v>9801042.18</v>
      </c>
      <c r="R160" s="217">
        <f t="shared" si="54"/>
        <v>4898943</v>
      </c>
      <c r="S160" s="239">
        <f t="shared" si="54"/>
        <v>14935932.57</v>
      </c>
      <c r="T160" s="240">
        <f>N160/'2017'!N160-1</f>
        <v>-0.0410685977101478</v>
      </c>
      <c r="U160" s="241">
        <f>O160/'2017'!O160-1</f>
        <v>0.029404855129209</v>
      </c>
      <c r="V160" s="241">
        <f>P160/'2017'!P160-1</f>
        <v>-0.0197775221348014</v>
      </c>
      <c r="W160" s="241">
        <f>Q160/'2017'!Q160-1</f>
        <v>0.0809631829538955</v>
      </c>
      <c r="X160" s="241">
        <f>R160/'2017'!R160-1</f>
        <v>0.196912326068218</v>
      </c>
      <c r="Y160" s="262">
        <f>S160/'2017'!S160-1</f>
        <v>0.108622998587782</v>
      </c>
      <c r="Z160" s="263"/>
      <c r="AA160" s="264">
        <f t="shared" si="49"/>
        <v>980.104218</v>
      </c>
      <c r="AB160" s="265"/>
      <c r="AC160" s="266"/>
      <c r="AD160" s="265">
        <f t="shared" si="45"/>
        <v>10036989.57</v>
      </c>
      <c r="AE160" s="186">
        <f t="shared" si="47"/>
        <v>78621.22</v>
      </c>
      <c r="AF160" s="186">
        <f t="shared" si="52"/>
        <v>43161.64</v>
      </c>
      <c r="AG160" s="266">
        <f t="shared" si="46"/>
        <v>114164.530000001</v>
      </c>
      <c r="AH160" s="281"/>
      <c r="AI160" s="282"/>
      <c r="AJ160" s="282"/>
      <c r="AK160" s="282"/>
      <c r="AL160" s="282"/>
      <c r="AM160" s="282"/>
      <c r="AN160" s="282"/>
      <c r="AO160" s="282"/>
      <c r="AP160" s="282"/>
      <c r="AQ160" s="282"/>
      <c r="AR160" s="282"/>
      <c r="AS160" s="28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</row>
    <row r="161" ht="15" customHeight="1" spans="1:55">
      <c r="A161" s="189">
        <v>42891</v>
      </c>
      <c r="B161" s="184" t="s">
        <v>34</v>
      </c>
      <c r="C161" s="185">
        <v>63444</v>
      </c>
      <c r="D161" s="186">
        <f>25185+11491</f>
        <v>36676</v>
      </c>
      <c r="E161" s="186">
        <v>101293</v>
      </c>
      <c r="F161" s="187">
        <v>5040.8</v>
      </c>
      <c r="G161" s="186">
        <v>3447.7</v>
      </c>
      <c r="H161" s="188"/>
      <c r="I161" s="188"/>
      <c r="J161" s="214">
        <f t="shared" si="43"/>
        <v>64617</v>
      </c>
      <c r="K161" s="186">
        <v>784</v>
      </c>
      <c r="L161" s="186">
        <v>0</v>
      </c>
      <c r="M161" s="215">
        <f t="shared" si="44"/>
        <v>389</v>
      </c>
      <c r="N161" s="216">
        <f t="shared" si="53"/>
        <v>308427</v>
      </c>
      <c r="O161" s="219">
        <f t="shared" si="53"/>
        <v>168131</v>
      </c>
      <c r="P161" s="218">
        <f t="shared" si="53"/>
        <v>483023</v>
      </c>
      <c r="Q161" s="238">
        <f t="shared" si="54"/>
        <v>9864486.18</v>
      </c>
      <c r="R161" s="217">
        <f t="shared" si="54"/>
        <v>4935619</v>
      </c>
      <c r="S161" s="239">
        <f t="shared" si="54"/>
        <v>15037225.57</v>
      </c>
      <c r="T161" s="240">
        <f>N161/'2017'!N161-1</f>
        <v>-0.00909534855329019</v>
      </c>
      <c r="U161" s="241">
        <f>O161/'2017'!O161-1</f>
        <v>0.0346523076923078</v>
      </c>
      <c r="V161" s="241">
        <f>P161/'2017'!P161-1</f>
        <v>0.001297686345479</v>
      </c>
      <c r="W161" s="241">
        <f>Q161/'2017'!Q161-1</f>
        <v>0.0813078855548839</v>
      </c>
      <c r="X161" s="241">
        <f>R161/'2017'!R161-1</f>
        <v>0.195706703645346</v>
      </c>
      <c r="Y161" s="262">
        <f>S161/'2017'!S161-1</f>
        <v>0.108492510176341</v>
      </c>
      <c r="Z161" s="263"/>
      <c r="AA161" s="264">
        <f t="shared" si="49"/>
        <v>986.448618</v>
      </c>
      <c r="AB161" s="265"/>
      <c r="AC161" s="266"/>
      <c r="AD161" s="265">
        <f t="shared" si="45"/>
        <v>10101606.57</v>
      </c>
      <c r="AE161" s="186">
        <f t="shared" si="47"/>
        <v>79405.22</v>
      </c>
      <c r="AF161" s="186">
        <f t="shared" si="52"/>
        <v>43161.64</v>
      </c>
      <c r="AG161" s="266">
        <f t="shared" si="46"/>
        <v>114553.530000001</v>
      </c>
      <c r="AH161" s="281"/>
      <c r="AI161" s="282"/>
      <c r="AJ161" s="282"/>
      <c r="AK161" s="282"/>
      <c r="AL161" s="282"/>
      <c r="AM161" s="282"/>
      <c r="AN161" s="282"/>
      <c r="AO161" s="282"/>
      <c r="AP161" s="282"/>
      <c r="AQ161" s="282"/>
      <c r="AR161" s="282"/>
      <c r="AS161" s="28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</row>
    <row r="162" ht="15" customHeight="1" spans="1:55">
      <c r="A162" s="189">
        <v>42892</v>
      </c>
      <c r="B162" s="184" t="s">
        <v>35</v>
      </c>
      <c r="C162" s="185">
        <v>64271</v>
      </c>
      <c r="D162" s="186">
        <f>22437+11486</f>
        <v>33923</v>
      </c>
      <c r="E162" s="186">
        <v>99810</v>
      </c>
      <c r="F162" s="187">
        <v>4946.9</v>
      </c>
      <c r="G162" s="186">
        <v>3276</v>
      </c>
      <c r="H162" s="188"/>
      <c r="I162" s="188"/>
      <c r="J162" s="214">
        <f t="shared" si="43"/>
        <v>65887</v>
      </c>
      <c r="K162" s="186">
        <v>919</v>
      </c>
      <c r="L162" s="186">
        <v>0</v>
      </c>
      <c r="M162" s="215">
        <f t="shared" si="44"/>
        <v>697</v>
      </c>
      <c r="N162" s="216">
        <f t="shared" si="53"/>
        <v>372698</v>
      </c>
      <c r="O162" s="219">
        <f t="shared" si="53"/>
        <v>202054</v>
      </c>
      <c r="P162" s="218">
        <f t="shared" si="53"/>
        <v>582833</v>
      </c>
      <c r="Q162" s="238">
        <f t="shared" si="54"/>
        <v>9928757.18</v>
      </c>
      <c r="R162" s="217">
        <f t="shared" si="54"/>
        <v>4969542</v>
      </c>
      <c r="S162" s="239">
        <f t="shared" si="54"/>
        <v>15137035.57</v>
      </c>
      <c r="T162" s="240">
        <f>N162/'2017'!N162-1</f>
        <v>0.00675858194037748</v>
      </c>
      <c r="U162" s="241">
        <f>O162/'2017'!O162-1</f>
        <v>0.0145819733868944</v>
      </c>
      <c r="V162" s="241">
        <f>P162/'2017'!P162-1</f>
        <v>0.00545655286628599</v>
      </c>
      <c r="W162" s="241">
        <f>Q162/'2017'!Q162-1</f>
        <v>0.0813667937509024</v>
      </c>
      <c r="X162" s="241">
        <f>R162/'2017'!R162-1</f>
        <v>0.193329513686614</v>
      </c>
      <c r="Y162" s="262">
        <f>S162/'2017'!S162-1</f>
        <v>0.107905776604934</v>
      </c>
      <c r="Z162" s="263"/>
      <c r="AA162" s="264">
        <f t="shared" si="49"/>
        <v>992.875718</v>
      </c>
      <c r="AB162" s="265"/>
      <c r="AC162" s="266"/>
      <c r="AD162" s="265">
        <f t="shared" si="45"/>
        <v>10167493.57</v>
      </c>
      <c r="AE162" s="186">
        <f t="shared" si="47"/>
        <v>80324.22</v>
      </c>
      <c r="AF162" s="186">
        <f t="shared" si="52"/>
        <v>43161.64</v>
      </c>
      <c r="AG162" s="266">
        <f t="shared" si="46"/>
        <v>115250.530000001</v>
      </c>
      <c r="AH162" s="281"/>
      <c r="AI162" s="282"/>
      <c r="AJ162" s="282"/>
      <c r="AK162" s="282"/>
      <c r="AL162" s="282"/>
      <c r="AM162" s="282"/>
      <c r="AN162" s="282"/>
      <c r="AO162" s="282"/>
      <c r="AP162" s="282"/>
      <c r="AQ162" s="282"/>
      <c r="AR162" s="282"/>
      <c r="AS162" s="28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</row>
    <row r="163" s="163" customFormat="1" ht="15" customHeight="1" spans="1:55">
      <c r="A163" s="190">
        <v>42893</v>
      </c>
      <c r="B163" s="191" t="s">
        <v>36</v>
      </c>
      <c r="C163" s="192">
        <f>60099+4137</f>
        <v>64236</v>
      </c>
      <c r="D163" s="193">
        <f>20839+15339</f>
        <v>36178</v>
      </c>
      <c r="E163" s="193">
        <f>81858+20839</f>
        <v>102697</v>
      </c>
      <c r="F163" s="194">
        <v>5069</v>
      </c>
      <c r="G163" s="193">
        <v>3351</v>
      </c>
      <c r="H163" s="195"/>
      <c r="I163" s="195"/>
      <c r="J163" s="220">
        <f t="shared" si="43"/>
        <v>66519</v>
      </c>
      <c r="K163" s="193">
        <v>1422</v>
      </c>
      <c r="L163" s="193">
        <v>0</v>
      </c>
      <c r="M163" s="221">
        <f t="shared" si="44"/>
        <v>861</v>
      </c>
      <c r="N163" s="222">
        <f t="shared" si="53"/>
        <v>436934</v>
      </c>
      <c r="O163" s="225">
        <f t="shared" si="53"/>
        <v>238232</v>
      </c>
      <c r="P163" s="224">
        <f t="shared" si="53"/>
        <v>685530</v>
      </c>
      <c r="Q163" s="242">
        <f t="shared" si="54"/>
        <v>9992993.18</v>
      </c>
      <c r="R163" s="223">
        <f t="shared" si="54"/>
        <v>5005720</v>
      </c>
      <c r="S163" s="243">
        <f t="shared" si="54"/>
        <v>15239732.57</v>
      </c>
      <c r="T163" s="244">
        <f>N163/'2017'!N163-1</f>
        <v>0.0148605459241504</v>
      </c>
      <c r="U163" s="245">
        <f>O163/'2017'!O163-1</f>
        <v>0.0150489987217726</v>
      </c>
      <c r="V163" s="245">
        <f>P163/'2017'!P163-1</f>
        <v>0.0123230727201578</v>
      </c>
      <c r="W163" s="245">
        <f>Q163/'2017'!Q163-1</f>
        <v>0.0812571128572495</v>
      </c>
      <c r="X163" s="245">
        <f>R163/'2017'!R163-1</f>
        <v>0.191842635590993</v>
      </c>
      <c r="Y163" s="267">
        <f>S163/'2017'!S163-1</f>
        <v>0.107517671198924</v>
      </c>
      <c r="Z163" s="268">
        <v>46.81</v>
      </c>
      <c r="AA163" s="269">
        <f t="shared" si="49"/>
        <v>952.489318</v>
      </c>
      <c r="AB163" s="270">
        <v>4283.88</v>
      </c>
      <c r="AC163" s="221">
        <f t="shared" si="50"/>
        <v>2223.42670196177</v>
      </c>
      <c r="AD163" s="270">
        <f t="shared" si="45"/>
        <v>10234012.57</v>
      </c>
      <c r="AE163" s="193">
        <f t="shared" si="47"/>
        <v>81746.22</v>
      </c>
      <c r="AF163" s="193">
        <f t="shared" si="52"/>
        <v>43161.64</v>
      </c>
      <c r="AG163" s="221">
        <f t="shared" si="46"/>
        <v>116111.530000001</v>
      </c>
      <c r="AH163" s="281"/>
      <c r="AI163" s="282"/>
      <c r="AJ163" s="282"/>
      <c r="AK163" s="282"/>
      <c r="AL163" s="282"/>
      <c r="AM163" s="282"/>
      <c r="AN163" s="282"/>
      <c r="AO163" s="282"/>
      <c r="AP163" s="282"/>
      <c r="AQ163" s="282"/>
      <c r="AR163" s="282"/>
      <c r="AS163" s="28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</row>
    <row r="164" ht="15" customHeight="1" spans="1:55">
      <c r="A164" s="189">
        <v>42894</v>
      </c>
      <c r="B164" s="184" t="s">
        <v>37</v>
      </c>
      <c r="C164" s="185">
        <v>65984</v>
      </c>
      <c r="D164" s="186">
        <f>24759+11639</f>
        <v>36398</v>
      </c>
      <c r="E164" s="186">
        <v>105014</v>
      </c>
      <c r="F164" s="187">
        <v>5247.7</v>
      </c>
      <c r="G164" s="186">
        <v>3449.7</v>
      </c>
      <c r="H164" s="188"/>
      <c r="I164" s="188"/>
      <c r="J164" s="214">
        <f t="shared" si="43"/>
        <v>68616</v>
      </c>
      <c r="K164" s="186">
        <v>1978</v>
      </c>
      <c r="L164" s="186">
        <v>0</v>
      </c>
      <c r="M164" s="215">
        <f t="shared" si="44"/>
        <v>654</v>
      </c>
      <c r="N164" s="216">
        <f t="shared" si="53"/>
        <v>502918</v>
      </c>
      <c r="O164" s="219">
        <f t="shared" si="53"/>
        <v>274630</v>
      </c>
      <c r="P164" s="218">
        <f t="shared" si="53"/>
        <v>790544</v>
      </c>
      <c r="Q164" s="238">
        <f t="shared" si="54"/>
        <v>10058977.18</v>
      </c>
      <c r="R164" s="217">
        <f t="shared" si="54"/>
        <v>5042118</v>
      </c>
      <c r="S164" s="239">
        <f t="shared" si="54"/>
        <v>15344746.57</v>
      </c>
      <c r="T164" s="240">
        <f>N164/'2017'!N164-1</f>
        <v>0.0259905585317985</v>
      </c>
      <c r="U164" s="241">
        <f>O164/'2017'!O164-1</f>
        <v>0.007250974682105</v>
      </c>
      <c r="V164" s="241">
        <f>P164/'2017'!P164-1</f>
        <v>0.017970918942863</v>
      </c>
      <c r="W164" s="241">
        <f>Q164/'2017'!Q164-1</f>
        <v>0.0814179082364712</v>
      </c>
      <c r="X164" s="241">
        <f>R164/'2017'!R164-1</f>
        <v>0.18975765803031</v>
      </c>
      <c r="Y164" s="262">
        <f>S164/'2017'!S164-1</f>
        <v>0.107151386781516</v>
      </c>
      <c r="Z164" s="263"/>
      <c r="AA164" s="264">
        <f t="shared" si="49"/>
        <v>1005.897718</v>
      </c>
      <c r="AB164" s="265"/>
      <c r="AC164" s="266"/>
      <c r="AD164" s="265">
        <f t="shared" si="45"/>
        <v>10302628.57</v>
      </c>
      <c r="AE164" s="186">
        <f t="shared" si="47"/>
        <v>83724.22</v>
      </c>
      <c r="AF164" s="186">
        <f t="shared" si="52"/>
        <v>43161.64</v>
      </c>
      <c r="AG164" s="266">
        <f t="shared" si="46"/>
        <v>116765.530000001</v>
      </c>
      <c r="AH164" s="281"/>
      <c r="AI164" s="282"/>
      <c r="AJ164" s="282"/>
      <c r="AK164" s="282"/>
      <c r="AL164" s="282"/>
      <c r="AM164" s="282"/>
      <c r="AN164" s="282"/>
      <c r="AO164" s="282"/>
      <c r="AP164" s="282"/>
      <c r="AQ164" s="282"/>
      <c r="AR164" s="282"/>
      <c r="AS164" s="28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</row>
    <row r="165" ht="15" customHeight="1" spans="1:55">
      <c r="A165" s="189">
        <v>42895</v>
      </c>
      <c r="B165" s="184" t="s">
        <v>38</v>
      </c>
      <c r="C165" s="185">
        <v>64056</v>
      </c>
      <c r="D165" s="186">
        <f>24922+11876</f>
        <v>36798</v>
      </c>
      <c r="E165" s="186">
        <v>103566</v>
      </c>
      <c r="F165" s="187">
        <v>5089.9</v>
      </c>
      <c r="G165" s="186">
        <v>3484.9</v>
      </c>
      <c r="H165" s="188"/>
      <c r="I165" s="188"/>
      <c r="J165" s="214">
        <f t="shared" si="43"/>
        <v>66768</v>
      </c>
      <c r="K165" s="186">
        <v>2024</v>
      </c>
      <c r="L165" s="186">
        <v>0</v>
      </c>
      <c r="M165" s="215">
        <f t="shared" si="44"/>
        <v>688</v>
      </c>
      <c r="N165" s="216">
        <f t="shared" si="53"/>
        <v>566974</v>
      </c>
      <c r="O165" s="219">
        <f t="shared" si="53"/>
        <v>311428</v>
      </c>
      <c r="P165" s="218">
        <f t="shared" si="53"/>
        <v>894110</v>
      </c>
      <c r="Q165" s="238">
        <f t="shared" si="54"/>
        <v>10123033.18</v>
      </c>
      <c r="R165" s="217">
        <f t="shared" si="54"/>
        <v>5078916</v>
      </c>
      <c r="S165" s="239">
        <f t="shared" si="54"/>
        <v>15448312.57</v>
      </c>
      <c r="T165" s="240">
        <f>N165/'2017'!N165-1</f>
        <v>0.0142774596461852</v>
      </c>
      <c r="U165" s="241">
        <f>O165/'2017'!O165-1</f>
        <v>0.032572512300898</v>
      </c>
      <c r="V165" s="241">
        <f>P165/'2017'!P165-1</f>
        <v>0.0200970912555121</v>
      </c>
      <c r="W165" s="241">
        <f>Q165/'2017'!Q165-1</f>
        <v>0.0803121181908766</v>
      </c>
      <c r="X165" s="241">
        <f>R165/'2017'!R165-1</f>
        <v>0.190309190210758</v>
      </c>
      <c r="Y165" s="262">
        <f>S165/'2017'!S165-1</f>
        <v>0.106646631052371</v>
      </c>
      <c r="Z165" s="263"/>
      <c r="AA165" s="264">
        <f t="shared" si="49"/>
        <v>1012.303318</v>
      </c>
      <c r="AB165" s="265"/>
      <c r="AC165" s="266"/>
      <c r="AD165" s="265">
        <f t="shared" si="45"/>
        <v>10369396.57</v>
      </c>
      <c r="AE165" s="186">
        <f t="shared" si="47"/>
        <v>85748.22</v>
      </c>
      <c r="AF165" s="186">
        <f t="shared" si="52"/>
        <v>43161.64</v>
      </c>
      <c r="AG165" s="266">
        <f t="shared" si="46"/>
        <v>117453.530000001</v>
      </c>
      <c r="AH165" s="281"/>
      <c r="AI165" s="282"/>
      <c r="AJ165" s="282"/>
      <c r="AK165" s="282"/>
      <c r="AL165" s="282"/>
      <c r="AM165" s="282"/>
      <c r="AN165" s="282"/>
      <c r="AO165" s="282"/>
      <c r="AP165" s="282"/>
      <c r="AQ165" s="282"/>
      <c r="AR165" s="282"/>
      <c r="AS165" s="28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</row>
    <row r="166" ht="15" customHeight="1" spans="1:55">
      <c r="A166" s="189">
        <v>42896</v>
      </c>
      <c r="B166" s="184" t="s">
        <v>1</v>
      </c>
      <c r="C166" s="185">
        <v>59080</v>
      </c>
      <c r="D166" s="186">
        <f>23538+11412</f>
        <v>34950</v>
      </c>
      <c r="E166" s="186">
        <v>96274</v>
      </c>
      <c r="F166" s="187">
        <v>4740.8</v>
      </c>
      <c r="G166" s="186">
        <v>3451.4</v>
      </c>
      <c r="H166" s="188"/>
      <c r="I166" s="188"/>
      <c r="J166" s="214">
        <f t="shared" si="43"/>
        <v>61324</v>
      </c>
      <c r="K166" s="186">
        <v>1868</v>
      </c>
      <c r="L166" s="186">
        <v>0</v>
      </c>
      <c r="M166" s="215">
        <f t="shared" si="44"/>
        <v>376</v>
      </c>
      <c r="N166" s="216">
        <f t="shared" si="53"/>
        <v>626054</v>
      </c>
      <c r="O166" s="219">
        <f t="shared" si="53"/>
        <v>346378</v>
      </c>
      <c r="P166" s="218">
        <f t="shared" si="53"/>
        <v>990384</v>
      </c>
      <c r="Q166" s="238">
        <f t="shared" si="54"/>
        <v>10182113.18</v>
      </c>
      <c r="R166" s="217">
        <f t="shared" si="54"/>
        <v>5113866</v>
      </c>
      <c r="S166" s="239">
        <f t="shared" si="54"/>
        <v>15544586.57</v>
      </c>
      <c r="T166" s="240">
        <f>N166/'2017'!N166-1</f>
        <v>-0.00304475083045896</v>
      </c>
      <c r="U166" s="241">
        <f>O166/'2017'!O166-1</f>
        <v>0.0511656419376181</v>
      </c>
      <c r="V166" s="241">
        <f>P166/'2017'!P166-1</f>
        <v>0.0139772220015317</v>
      </c>
      <c r="W166" s="241">
        <f>Q166/'2017'!Q166-1</f>
        <v>0.0786772371510336</v>
      </c>
      <c r="X166" s="241">
        <f>R166/'2017'!R166-1</f>
        <v>0.190710537994534</v>
      </c>
      <c r="Y166" s="262">
        <f>S166/'2017'!S166-1</f>
        <v>0.105604444841479</v>
      </c>
      <c r="Z166" s="263">
        <v>47.99</v>
      </c>
      <c r="AA166" s="264">
        <f t="shared" si="49"/>
        <v>970.221318</v>
      </c>
      <c r="AB166" s="265"/>
      <c r="AC166" s="266"/>
      <c r="AD166" s="265">
        <f t="shared" si="45"/>
        <v>10430720.57</v>
      </c>
      <c r="AE166" s="186">
        <f t="shared" si="47"/>
        <v>87616.22</v>
      </c>
      <c r="AF166" s="186">
        <f t="shared" si="52"/>
        <v>43161.64</v>
      </c>
      <c r="AG166" s="266">
        <f t="shared" si="46"/>
        <v>117829.530000001</v>
      </c>
      <c r="AH166" s="281"/>
      <c r="AI166" s="282"/>
      <c r="AJ166" s="282"/>
      <c r="AK166" s="282"/>
      <c r="AL166" s="282"/>
      <c r="AM166" s="282"/>
      <c r="AN166" s="282"/>
      <c r="AO166" s="282"/>
      <c r="AP166" s="282"/>
      <c r="AQ166" s="282"/>
      <c r="AR166" s="282"/>
      <c r="AS166" s="28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</row>
    <row r="167" ht="15" customHeight="1" spans="1:55">
      <c r="A167" s="189">
        <v>42897</v>
      </c>
      <c r="B167" s="184" t="s">
        <v>39</v>
      </c>
      <c r="C167" s="185">
        <v>59217</v>
      </c>
      <c r="D167" s="186">
        <f>26317+11757</f>
        <v>38074</v>
      </c>
      <c r="E167" s="186">
        <v>100430</v>
      </c>
      <c r="F167" s="187">
        <v>4982</v>
      </c>
      <c r="G167" s="186">
        <v>3193.7</v>
      </c>
      <c r="H167" s="188"/>
      <c r="I167" s="188"/>
      <c r="J167" s="214">
        <f t="shared" si="43"/>
        <v>62356</v>
      </c>
      <c r="K167" s="186">
        <v>1912</v>
      </c>
      <c r="L167" s="186">
        <v>0</v>
      </c>
      <c r="M167" s="215">
        <f t="shared" si="44"/>
        <v>1227</v>
      </c>
      <c r="N167" s="216">
        <f t="shared" si="53"/>
        <v>685271</v>
      </c>
      <c r="O167" s="219">
        <f t="shared" si="53"/>
        <v>384452</v>
      </c>
      <c r="P167" s="218">
        <f t="shared" si="53"/>
        <v>1090814</v>
      </c>
      <c r="Q167" s="238">
        <f t="shared" si="54"/>
        <v>10241330.18</v>
      </c>
      <c r="R167" s="217">
        <f t="shared" si="54"/>
        <v>5151940</v>
      </c>
      <c r="S167" s="239">
        <f t="shared" si="54"/>
        <v>15645016.57</v>
      </c>
      <c r="T167" s="240">
        <f>N167/'2017'!N167-1</f>
        <v>-0.00827509555144867</v>
      </c>
      <c r="U167" s="241">
        <f>O167/'2017'!O167-1</f>
        <v>0.076983844626034</v>
      </c>
      <c r="V167" s="241">
        <f>P167/'2017'!P167-1</f>
        <v>0.0205358212083109</v>
      </c>
      <c r="W167" s="241">
        <f>Q167/'2017'!Q167-1</f>
        <v>0.0777549002796727</v>
      </c>
      <c r="X167" s="241">
        <f>R167/'2017'!R167-1</f>
        <v>0.191956513440322</v>
      </c>
      <c r="Y167" s="262">
        <f>S167/'2017'!S167-1</f>
        <v>0.10550328919215</v>
      </c>
      <c r="Z167" s="263"/>
      <c r="AA167" s="264">
        <f t="shared" si="49"/>
        <v>1024.133018</v>
      </c>
      <c r="AB167" s="265"/>
      <c r="AC167" s="266"/>
      <c r="AD167" s="265">
        <f t="shared" si="45"/>
        <v>10493076.57</v>
      </c>
      <c r="AE167" s="186">
        <f t="shared" si="47"/>
        <v>89528.22</v>
      </c>
      <c r="AF167" s="186">
        <f t="shared" ref="AF167:AF182" si="55">AF166+L167</f>
        <v>43161.64</v>
      </c>
      <c r="AG167" s="266">
        <f t="shared" si="46"/>
        <v>119056.530000001</v>
      </c>
      <c r="AH167" s="281"/>
      <c r="AI167" s="282"/>
      <c r="AJ167" s="282"/>
      <c r="AK167" s="282"/>
      <c r="AL167" s="282"/>
      <c r="AM167" s="282"/>
      <c r="AN167" s="282"/>
      <c r="AO167" s="282"/>
      <c r="AP167" s="282"/>
      <c r="AQ167" s="282"/>
      <c r="AR167" s="282"/>
      <c r="AS167" s="28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</row>
    <row r="168" ht="15" customHeight="1" spans="1:55">
      <c r="A168" s="189">
        <v>42898</v>
      </c>
      <c r="B168" s="184" t="s">
        <v>34</v>
      </c>
      <c r="C168" s="185">
        <v>64624</v>
      </c>
      <c r="D168" s="186">
        <f>26867+11203</f>
        <v>38070</v>
      </c>
      <c r="E168" s="186">
        <v>106562</v>
      </c>
      <c r="F168" s="187">
        <v>5187.4</v>
      </c>
      <c r="G168" s="186">
        <v>3495.3</v>
      </c>
      <c r="H168" s="188"/>
      <c r="I168" s="188"/>
      <c r="J168" s="214">
        <f t="shared" si="43"/>
        <v>68492</v>
      </c>
      <c r="K168" s="186">
        <v>2931</v>
      </c>
      <c r="L168" s="186">
        <v>0</v>
      </c>
      <c r="M168" s="215">
        <f t="shared" si="44"/>
        <v>937</v>
      </c>
      <c r="N168" s="216">
        <f t="shared" si="53"/>
        <v>749895</v>
      </c>
      <c r="O168" s="219">
        <f t="shared" si="53"/>
        <v>422522</v>
      </c>
      <c r="P168" s="218">
        <f t="shared" si="53"/>
        <v>1197376</v>
      </c>
      <c r="Q168" s="238">
        <f t="shared" si="54"/>
        <v>10305954.18</v>
      </c>
      <c r="R168" s="217">
        <f t="shared" si="54"/>
        <v>5190010</v>
      </c>
      <c r="S168" s="239">
        <f t="shared" si="54"/>
        <v>15751578.57</v>
      </c>
      <c r="T168" s="240">
        <f>N168/'2017'!N168-1</f>
        <v>-0.0024569599676485</v>
      </c>
      <c r="U168" s="241">
        <f>O168/'2017'!O168-1</f>
        <v>0.0954111790936432</v>
      </c>
      <c r="V168" s="241">
        <f>P168/'2017'!P168-1</f>
        <v>0.0317190607325404</v>
      </c>
      <c r="W168" s="241">
        <f>Q168/'2017'!Q168-1</f>
        <v>0.0776657207488511</v>
      </c>
      <c r="X168" s="241">
        <f>R168/'2017'!R168-1</f>
        <v>0.192830436377443</v>
      </c>
      <c r="Y168" s="262">
        <f>S168/'2017'!S168-1</f>
        <v>0.105867476174218</v>
      </c>
      <c r="Z168" s="263"/>
      <c r="AA168" s="264">
        <f t="shared" si="49"/>
        <v>1030.595418</v>
      </c>
      <c r="AB168" s="265"/>
      <c r="AC168" s="266"/>
      <c r="AD168" s="265">
        <f t="shared" si="45"/>
        <v>10561568.57</v>
      </c>
      <c r="AE168" s="186">
        <f t="shared" si="47"/>
        <v>92459.22</v>
      </c>
      <c r="AF168" s="186">
        <f t="shared" si="55"/>
        <v>43161.64</v>
      </c>
      <c r="AG168" s="266">
        <f t="shared" si="46"/>
        <v>119993.530000001</v>
      </c>
      <c r="AH168" s="281"/>
      <c r="AI168" s="282"/>
      <c r="AJ168" s="282"/>
      <c r="AK168" s="282"/>
      <c r="AL168" s="282"/>
      <c r="AM168" s="282"/>
      <c r="AN168" s="282"/>
      <c r="AO168" s="282"/>
      <c r="AP168" s="282"/>
      <c r="AQ168" s="282"/>
      <c r="AR168" s="282"/>
      <c r="AS168" s="28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</row>
    <row r="169" ht="15" customHeight="1" spans="1:55">
      <c r="A169" s="189">
        <v>42899</v>
      </c>
      <c r="B169" s="184" t="s">
        <v>35</v>
      </c>
      <c r="C169" s="185">
        <v>66478</v>
      </c>
      <c r="D169" s="186">
        <f>26916+11125</f>
        <v>38041</v>
      </c>
      <c r="E169" s="186">
        <v>108506</v>
      </c>
      <c r="F169" s="187">
        <v>5316.4</v>
      </c>
      <c r="G169" s="186">
        <v>3573.1</v>
      </c>
      <c r="H169" s="188"/>
      <c r="I169" s="188"/>
      <c r="J169" s="214">
        <f t="shared" si="43"/>
        <v>70465</v>
      </c>
      <c r="K169" s="186">
        <v>2809</v>
      </c>
      <c r="L169" s="186">
        <v>0</v>
      </c>
      <c r="M169" s="215">
        <f t="shared" si="44"/>
        <v>1178</v>
      </c>
      <c r="N169" s="216">
        <f t="shared" si="53"/>
        <v>816373</v>
      </c>
      <c r="O169" s="219">
        <f t="shared" si="53"/>
        <v>460563</v>
      </c>
      <c r="P169" s="218">
        <f t="shared" si="53"/>
        <v>1305882</v>
      </c>
      <c r="Q169" s="238">
        <f t="shared" si="54"/>
        <v>10372432.18</v>
      </c>
      <c r="R169" s="217">
        <f t="shared" si="54"/>
        <v>5228051</v>
      </c>
      <c r="S169" s="239">
        <f t="shared" si="54"/>
        <v>15860084.57</v>
      </c>
      <c r="T169" s="240">
        <f>N169/'2017'!N169-1</f>
        <v>0.0157253519199139</v>
      </c>
      <c r="U169" s="241">
        <f>O169/'2017'!O169-1</f>
        <v>0.0896179879484151</v>
      </c>
      <c r="V169" s="241">
        <f>P169/'2017'!P169-1</f>
        <v>0.0431375556263824</v>
      </c>
      <c r="W169" s="241">
        <f>Q169/'2017'!Q169-1</f>
        <v>0.0787523326761197</v>
      </c>
      <c r="X169" s="241">
        <f>R169/'2017'!R169-1</f>
        <v>0.19145175886692</v>
      </c>
      <c r="Y169" s="262">
        <f>S169/'2017'!S169-1</f>
        <v>0.106392326879801</v>
      </c>
      <c r="Z169" s="263"/>
      <c r="AA169" s="264">
        <f t="shared" si="49"/>
        <v>1037.243218</v>
      </c>
      <c r="AB169" s="265"/>
      <c r="AC169" s="266"/>
      <c r="AD169" s="265">
        <f t="shared" si="45"/>
        <v>10632033.57</v>
      </c>
      <c r="AE169" s="186">
        <f t="shared" si="47"/>
        <v>95268.22</v>
      </c>
      <c r="AF169" s="186">
        <f t="shared" si="55"/>
        <v>43161.64</v>
      </c>
      <c r="AG169" s="266">
        <f t="shared" si="46"/>
        <v>121171.530000001</v>
      </c>
      <c r="AH169" s="281"/>
      <c r="AI169" s="282"/>
      <c r="AJ169" s="282"/>
      <c r="AK169" s="282"/>
      <c r="AL169" s="282"/>
      <c r="AM169" s="282"/>
      <c r="AN169" s="282"/>
      <c r="AO169" s="282"/>
      <c r="AP169" s="282"/>
      <c r="AQ169" s="282"/>
      <c r="AR169" s="282"/>
      <c r="AS169" s="28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</row>
    <row r="170" s="163" customFormat="1" ht="15" customHeight="1" spans="1:55">
      <c r="A170" s="190">
        <v>42900</v>
      </c>
      <c r="B170" s="191" t="s">
        <v>36</v>
      </c>
      <c r="C170" s="192">
        <f>66408+3851</f>
        <v>70259</v>
      </c>
      <c r="D170" s="193">
        <f>13852+21451</f>
        <v>35303</v>
      </c>
      <c r="E170" s="193">
        <f>87733+21451</f>
        <v>109184</v>
      </c>
      <c r="F170" s="194">
        <v>5244</v>
      </c>
      <c r="G170" s="193">
        <v>3696</v>
      </c>
      <c r="H170" s="195"/>
      <c r="I170" s="195"/>
      <c r="J170" s="220">
        <f t="shared" si="43"/>
        <v>73881</v>
      </c>
      <c r="K170" s="193">
        <v>2662</v>
      </c>
      <c r="L170" s="193">
        <v>0</v>
      </c>
      <c r="M170" s="221">
        <f t="shared" si="44"/>
        <v>960</v>
      </c>
      <c r="N170" s="222">
        <f t="shared" si="53"/>
        <v>886632</v>
      </c>
      <c r="O170" s="225">
        <f t="shared" si="53"/>
        <v>495866</v>
      </c>
      <c r="P170" s="224">
        <f t="shared" si="53"/>
        <v>1415066</v>
      </c>
      <c r="Q170" s="242">
        <f t="shared" si="54"/>
        <v>10442691.18</v>
      </c>
      <c r="R170" s="223">
        <f t="shared" si="54"/>
        <v>5263354</v>
      </c>
      <c r="S170" s="243">
        <f t="shared" si="54"/>
        <v>15969268.57</v>
      </c>
      <c r="T170" s="244">
        <f>N170/'2017'!N170-1</f>
        <v>0.0381560690595928</v>
      </c>
      <c r="U170" s="245">
        <f>O170/'2017'!O170-1</f>
        <v>0.0794831883837119</v>
      </c>
      <c r="V170" s="245">
        <f>P170/'2017'!P170-1</f>
        <v>0.0550045515917896</v>
      </c>
      <c r="W170" s="245">
        <f>Q170/'2017'!Q170-1</f>
        <v>0.0804062412839039</v>
      </c>
      <c r="X170" s="245">
        <f>R170/'2017'!R170-1</f>
        <v>0.189555577302465</v>
      </c>
      <c r="Y170" s="267">
        <f>S170/'2017'!S170-1</f>
        <v>0.107103724700603</v>
      </c>
      <c r="Z170" s="268">
        <v>49.56</v>
      </c>
      <c r="AA170" s="269">
        <f t="shared" si="49"/>
        <v>994.709118</v>
      </c>
      <c r="AB170" s="270">
        <v>4283.88</v>
      </c>
      <c r="AC170" s="221">
        <f t="shared" si="50"/>
        <v>2321.98175018908</v>
      </c>
      <c r="AD170" s="270">
        <f t="shared" si="45"/>
        <v>10705914.57</v>
      </c>
      <c r="AE170" s="193">
        <f t="shared" si="47"/>
        <v>97930.22</v>
      </c>
      <c r="AF170" s="193">
        <f t="shared" si="55"/>
        <v>43161.64</v>
      </c>
      <c r="AG170" s="221">
        <f t="shared" si="46"/>
        <v>122131.530000001</v>
      </c>
      <c r="AH170" s="281"/>
      <c r="AI170" s="282"/>
      <c r="AJ170" s="282"/>
      <c r="AK170" s="282"/>
      <c r="AL170" s="282"/>
      <c r="AM170" s="282"/>
      <c r="AN170" s="282"/>
      <c r="AO170" s="282"/>
      <c r="AP170" s="282"/>
      <c r="AQ170" s="282"/>
      <c r="AR170" s="282"/>
      <c r="AS170" s="28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</row>
    <row r="171" ht="15" customHeight="1" spans="1:55">
      <c r="A171" s="189">
        <v>42901</v>
      </c>
      <c r="B171" s="184" t="s">
        <v>37</v>
      </c>
      <c r="C171" s="185">
        <v>70444</v>
      </c>
      <c r="D171" s="186">
        <f>24570+10781</f>
        <v>35351</v>
      </c>
      <c r="E171" s="186">
        <v>109923</v>
      </c>
      <c r="F171" s="187">
        <v>5329.4</v>
      </c>
      <c r="G171" s="186">
        <v>3701.8</v>
      </c>
      <c r="H171" s="188"/>
      <c r="I171" s="188"/>
      <c r="J171" s="214">
        <f t="shared" si="43"/>
        <v>74572</v>
      </c>
      <c r="K171" s="186">
        <v>2911</v>
      </c>
      <c r="L171" s="186">
        <v>0</v>
      </c>
      <c r="M171" s="215">
        <f t="shared" si="44"/>
        <v>1217</v>
      </c>
      <c r="N171" s="216">
        <f t="shared" si="53"/>
        <v>957076</v>
      </c>
      <c r="O171" s="219">
        <f t="shared" si="53"/>
        <v>531217</v>
      </c>
      <c r="P171" s="218">
        <f t="shared" si="53"/>
        <v>1524989</v>
      </c>
      <c r="Q171" s="238">
        <f t="shared" si="54"/>
        <v>10513135.18</v>
      </c>
      <c r="R171" s="217">
        <f t="shared" si="54"/>
        <v>5298705</v>
      </c>
      <c r="S171" s="239">
        <f t="shared" si="54"/>
        <v>16079191.57</v>
      </c>
      <c r="T171" s="240">
        <f>N171/'2017'!N171-1</f>
        <v>0.0579809313251347</v>
      </c>
      <c r="U171" s="241">
        <f>O171/'2017'!O171-1</f>
        <v>0.073271899642591</v>
      </c>
      <c r="V171" s="241">
        <f>P171/'2017'!P171-1</f>
        <v>0.0660255554382725</v>
      </c>
      <c r="W171" s="241">
        <f>Q171/'2017'!Q171-1</f>
        <v>0.0820321043082579</v>
      </c>
      <c r="X171" s="241">
        <f>R171/'2017'!R171-1</f>
        <v>0.187987852657988</v>
      </c>
      <c r="Y171" s="262">
        <f>S171/'2017'!S171-1</f>
        <v>0.107869640571059</v>
      </c>
      <c r="Z171" s="263"/>
      <c r="AA171" s="264">
        <f t="shared" si="49"/>
        <v>1051.313518</v>
      </c>
      <c r="AB171" s="265"/>
      <c r="AC171" s="266"/>
      <c r="AD171" s="265">
        <f t="shared" si="45"/>
        <v>10780486.57</v>
      </c>
      <c r="AE171" s="186">
        <f t="shared" si="47"/>
        <v>100841.22</v>
      </c>
      <c r="AF171" s="186">
        <f t="shared" si="55"/>
        <v>43161.64</v>
      </c>
      <c r="AG171" s="266">
        <f t="shared" si="46"/>
        <v>123348.530000001</v>
      </c>
      <c r="AH171" s="281"/>
      <c r="AI171" s="282"/>
      <c r="AJ171" s="282"/>
      <c r="AK171" s="282"/>
      <c r="AL171" s="282"/>
      <c r="AM171" s="282"/>
      <c r="AN171" s="282"/>
      <c r="AO171" s="282"/>
      <c r="AP171" s="282"/>
      <c r="AQ171" s="282"/>
      <c r="AR171" s="282"/>
      <c r="AS171" s="28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</row>
    <row r="172" ht="15" customHeight="1" spans="1:55">
      <c r="A172" s="189">
        <v>42902</v>
      </c>
      <c r="B172" s="184" t="s">
        <v>38</v>
      </c>
      <c r="C172" s="185">
        <v>66661</v>
      </c>
      <c r="D172" s="186">
        <f>24373+11172</f>
        <v>35545</v>
      </c>
      <c r="E172" s="186">
        <v>105730</v>
      </c>
      <c r="F172" s="187">
        <v>5098.9</v>
      </c>
      <c r="G172" s="186">
        <v>3673.4</v>
      </c>
      <c r="H172" s="188"/>
      <c r="I172" s="188"/>
      <c r="J172" s="214">
        <f t="shared" si="43"/>
        <v>70185</v>
      </c>
      <c r="K172" s="186">
        <v>2310</v>
      </c>
      <c r="L172" s="186">
        <v>0</v>
      </c>
      <c r="M172" s="215">
        <f t="shared" si="44"/>
        <v>1214</v>
      </c>
      <c r="N172" s="216">
        <f t="shared" si="53"/>
        <v>1023737</v>
      </c>
      <c r="O172" s="219">
        <f t="shared" si="53"/>
        <v>566762</v>
      </c>
      <c r="P172" s="218">
        <f t="shared" si="53"/>
        <v>1630719</v>
      </c>
      <c r="Q172" s="238">
        <f t="shared" si="54"/>
        <v>10579796.18</v>
      </c>
      <c r="R172" s="217">
        <f t="shared" si="54"/>
        <v>5334250</v>
      </c>
      <c r="S172" s="239">
        <f t="shared" si="54"/>
        <v>16184921.57</v>
      </c>
      <c r="T172" s="240">
        <f>N172/'2017'!N172-1</f>
        <v>0.0721881084319305</v>
      </c>
      <c r="U172" s="241">
        <f>O172/'2017'!O172-1</f>
        <v>0.06651085682242</v>
      </c>
      <c r="V172" s="241">
        <f>P172/'2017'!P172-1</f>
        <v>0.0730256971756333</v>
      </c>
      <c r="W172" s="241">
        <f>Q172/'2017'!Q172-1</f>
        <v>0.0832974915030211</v>
      </c>
      <c r="X172" s="241">
        <f>R172/'2017'!R172-1</f>
        <v>0.186258548211233</v>
      </c>
      <c r="Y172" s="262">
        <f>S172/'2017'!S172-1</f>
        <v>0.108342550223849</v>
      </c>
      <c r="Z172" s="263"/>
      <c r="AA172" s="264">
        <f t="shared" si="49"/>
        <v>1057.979618</v>
      </c>
      <c r="AB172" s="265"/>
      <c r="AC172" s="266"/>
      <c r="AD172" s="265">
        <f t="shared" si="45"/>
        <v>10850671.57</v>
      </c>
      <c r="AE172" s="186">
        <f t="shared" si="47"/>
        <v>103151.22</v>
      </c>
      <c r="AF172" s="186">
        <f t="shared" si="55"/>
        <v>43161.64</v>
      </c>
      <c r="AG172" s="266">
        <f t="shared" si="46"/>
        <v>124562.530000001</v>
      </c>
      <c r="AH172" s="281"/>
      <c r="AI172" s="282"/>
      <c r="AJ172" s="282"/>
      <c r="AK172" s="282"/>
      <c r="AL172" s="282"/>
      <c r="AM172" s="282"/>
      <c r="AN172" s="282"/>
      <c r="AO172" s="282"/>
      <c r="AP172" s="282"/>
      <c r="AQ172" s="282"/>
      <c r="AR172" s="282"/>
      <c r="AS172" s="28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</row>
    <row r="173" ht="15" customHeight="1" spans="1:55">
      <c r="A173" s="189">
        <v>42903</v>
      </c>
      <c r="B173" s="184" t="s">
        <v>1</v>
      </c>
      <c r="C173" s="185">
        <v>61313</v>
      </c>
      <c r="D173" s="186">
        <f>24065+10989</f>
        <v>35054</v>
      </c>
      <c r="E173" s="186">
        <v>99033</v>
      </c>
      <c r="F173" s="187">
        <v>4635.1</v>
      </c>
      <c r="G173" s="186">
        <v>3543.5</v>
      </c>
      <c r="H173" s="188"/>
      <c r="I173" s="188"/>
      <c r="J173" s="214">
        <f t="shared" si="43"/>
        <v>63979</v>
      </c>
      <c r="K173" s="186">
        <v>1526</v>
      </c>
      <c r="L173" s="186">
        <v>0</v>
      </c>
      <c r="M173" s="215">
        <f t="shared" si="44"/>
        <v>1140</v>
      </c>
      <c r="N173" s="216">
        <f t="shared" si="53"/>
        <v>1085050</v>
      </c>
      <c r="O173" s="219">
        <f t="shared" si="53"/>
        <v>601816</v>
      </c>
      <c r="P173" s="218">
        <f t="shared" si="53"/>
        <v>1729752</v>
      </c>
      <c r="Q173" s="238">
        <f t="shared" si="54"/>
        <v>10641109.18</v>
      </c>
      <c r="R173" s="217">
        <f t="shared" si="54"/>
        <v>5369304</v>
      </c>
      <c r="S173" s="239">
        <f t="shared" si="54"/>
        <v>16283954.57</v>
      </c>
      <c r="T173" s="240">
        <f>N173/'2017'!N173-1</f>
        <v>0.0820505558591584</v>
      </c>
      <c r="U173" s="241">
        <f>O173/'2017'!O173-1</f>
        <v>0.0582143064379146</v>
      </c>
      <c r="V173" s="241">
        <f>P173/'2017'!P173-1</f>
        <v>0.0755411742614076</v>
      </c>
      <c r="W173" s="241">
        <f>Q173/'2017'!Q173-1</f>
        <v>0.0842508979458605</v>
      </c>
      <c r="X173" s="241">
        <f>R173/'2017'!R173-1</f>
        <v>0.184232970805204</v>
      </c>
      <c r="Y173" s="262">
        <f>S173/'2017'!S173-1</f>
        <v>0.108405117187228</v>
      </c>
      <c r="Z173" s="263"/>
      <c r="AA173" s="264">
        <f t="shared" si="49"/>
        <v>1064.110918</v>
      </c>
      <c r="AB173" s="265"/>
      <c r="AC173" s="266"/>
      <c r="AD173" s="265">
        <f t="shared" si="45"/>
        <v>10914650.57</v>
      </c>
      <c r="AE173" s="186">
        <f t="shared" si="47"/>
        <v>104677.22</v>
      </c>
      <c r="AF173" s="186">
        <f t="shared" si="55"/>
        <v>43161.64</v>
      </c>
      <c r="AG173" s="266">
        <f t="shared" si="46"/>
        <v>125702.530000001</v>
      </c>
      <c r="AH173" s="281"/>
      <c r="AI173" s="282"/>
      <c r="AJ173" s="282"/>
      <c r="AK173" s="282"/>
      <c r="AL173" s="282"/>
      <c r="AM173" s="282"/>
      <c r="AN173" s="282"/>
      <c r="AO173" s="282"/>
      <c r="AP173" s="282"/>
      <c r="AQ173" s="282"/>
      <c r="AR173" s="282"/>
      <c r="AS173" s="28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</row>
    <row r="174" ht="15" customHeight="1" spans="1:55">
      <c r="A174" s="189">
        <v>42904</v>
      </c>
      <c r="B174" s="184" t="s">
        <v>39</v>
      </c>
      <c r="C174" s="185">
        <v>54796</v>
      </c>
      <c r="D174" s="186">
        <f>18637+8285</f>
        <v>26922</v>
      </c>
      <c r="E174" s="186">
        <v>84748</v>
      </c>
      <c r="F174" s="187">
        <v>4082.1</v>
      </c>
      <c r="G174" s="186">
        <v>3165.1</v>
      </c>
      <c r="H174" s="188"/>
      <c r="I174" s="188"/>
      <c r="J174" s="214">
        <f t="shared" si="43"/>
        <v>57826</v>
      </c>
      <c r="K174" s="186">
        <v>1953</v>
      </c>
      <c r="L174" s="186">
        <v>0</v>
      </c>
      <c r="M174" s="215">
        <f t="shared" si="44"/>
        <v>1077</v>
      </c>
      <c r="N174" s="216">
        <f t="shared" ref="N174:P185" si="56">N173+C174</f>
        <v>1139846</v>
      </c>
      <c r="O174" s="219">
        <f t="shared" si="56"/>
        <v>628738</v>
      </c>
      <c r="P174" s="218">
        <f t="shared" si="56"/>
        <v>1814500</v>
      </c>
      <c r="Q174" s="238">
        <f t="shared" si="54"/>
        <v>10695905.18</v>
      </c>
      <c r="R174" s="217">
        <f t="shared" si="54"/>
        <v>5396226</v>
      </c>
      <c r="S174" s="239">
        <f t="shared" si="54"/>
        <v>16368702.57</v>
      </c>
      <c r="T174" s="240">
        <f>N174/'2017'!N174-1</f>
        <v>0.0883070433481612</v>
      </c>
      <c r="U174" s="241">
        <f>O174/'2017'!O174-1</f>
        <v>0.0379770658407816</v>
      </c>
      <c r="V174" s="241">
        <f>P174/'2017'!P174-1</f>
        <v>0.071818008905334</v>
      </c>
      <c r="W174" s="241">
        <f>Q174/'2017'!Q174-1</f>
        <v>0.0849056075370984</v>
      </c>
      <c r="X174" s="241">
        <f>R174/'2017'!R174-1</f>
        <v>0.180530463892288</v>
      </c>
      <c r="Y174" s="262">
        <f>S174/'2017'!S174-1</f>
        <v>0.10779025882947</v>
      </c>
      <c r="Z174" s="263"/>
      <c r="AA174" s="264">
        <f t="shared" si="49"/>
        <v>1069.590518</v>
      </c>
      <c r="AB174" s="265"/>
      <c r="AC174" s="266"/>
      <c r="AD174" s="265">
        <f t="shared" si="45"/>
        <v>10972476.57</v>
      </c>
      <c r="AE174" s="186">
        <f t="shared" si="47"/>
        <v>106630.22</v>
      </c>
      <c r="AF174" s="186">
        <f t="shared" si="55"/>
        <v>43161.64</v>
      </c>
      <c r="AG174" s="266">
        <f t="shared" si="46"/>
        <v>126779.530000001</v>
      </c>
      <c r="AH174" s="281"/>
      <c r="AI174" s="282"/>
      <c r="AJ174" s="282"/>
      <c r="AK174" s="282"/>
      <c r="AL174" s="282"/>
      <c r="AM174" s="282"/>
      <c r="AN174" s="282"/>
      <c r="AO174" s="282"/>
      <c r="AP174" s="282"/>
      <c r="AQ174" s="282"/>
      <c r="AR174" s="282"/>
      <c r="AS174" s="28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</row>
    <row r="175" ht="15" customHeight="1" spans="1:55">
      <c r="A175" s="189">
        <v>42905</v>
      </c>
      <c r="B175" s="184" t="s">
        <v>34</v>
      </c>
      <c r="C175" s="185">
        <v>74732</v>
      </c>
      <c r="D175" s="186">
        <f>25685+10155</f>
        <v>35840</v>
      </c>
      <c r="E175" s="186">
        <v>112905</v>
      </c>
      <c r="F175" s="187">
        <v>5722</v>
      </c>
      <c r="G175" s="186">
        <v>3150.2</v>
      </c>
      <c r="H175" s="188"/>
      <c r="I175" s="188"/>
      <c r="J175" s="214">
        <f t="shared" si="43"/>
        <v>77065</v>
      </c>
      <c r="K175" s="186">
        <v>1358</v>
      </c>
      <c r="L175" s="186">
        <v>0</v>
      </c>
      <c r="M175" s="215">
        <f t="shared" si="44"/>
        <v>975</v>
      </c>
      <c r="N175" s="216">
        <f t="shared" si="56"/>
        <v>1214578</v>
      </c>
      <c r="O175" s="219">
        <f t="shared" si="56"/>
        <v>664578</v>
      </c>
      <c r="P175" s="218">
        <f t="shared" si="56"/>
        <v>1927405</v>
      </c>
      <c r="Q175" s="238">
        <f t="shared" si="54"/>
        <v>10770637.18</v>
      </c>
      <c r="R175" s="217">
        <f t="shared" si="54"/>
        <v>5432066</v>
      </c>
      <c r="S175" s="239">
        <f t="shared" si="54"/>
        <v>16481607.57</v>
      </c>
      <c r="T175" s="240">
        <f>N175/'2017'!N175-1</f>
        <v>0.105665523293497</v>
      </c>
      <c r="U175" s="241">
        <f>O175/'2017'!O175-1</f>
        <v>0.0354295009020968</v>
      </c>
      <c r="V175" s="241">
        <f>P175/'2017'!P175-1</f>
        <v>0.0804923812422884</v>
      </c>
      <c r="W175" s="241">
        <f>Q175/'2017'!Q175-1</f>
        <v>0.0868473197663242</v>
      </c>
      <c r="X175" s="241">
        <f>R175/'2017'!R175-1</f>
        <v>0.179058423024179</v>
      </c>
      <c r="Y175" s="262">
        <f>S175/'2017'!S175-1</f>
        <v>0.108611112154854</v>
      </c>
      <c r="Z175" s="263"/>
      <c r="AA175" s="264">
        <f t="shared" si="49"/>
        <v>1077.063718</v>
      </c>
      <c r="AB175" s="265"/>
      <c r="AC175" s="266"/>
      <c r="AD175" s="265">
        <f t="shared" si="45"/>
        <v>11049541.57</v>
      </c>
      <c r="AE175" s="186">
        <f t="shared" si="47"/>
        <v>107988.22</v>
      </c>
      <c r="AF175" s="186">
        <f t="shared" si="55"/>
        <v>43161.64</v>
      </c>
      <c r="AG175" s="266">
        <f t="shared" si="46"/>
        <v>127754.530000001</v>
      </c>
      <c r="AH175" s="281"/>
      <c r="AI175" s="282"/>
      <c r="AJ175" s="282"/>
      <c r="AK175" s="282"/>
      <c r="AL175" s="282"/>
      <c r="AM175" s="282"/>
      <c r="AN175" s="282"/>
      <c r="AO175" s="282"/>
      <c r="AP175" s="282"/>
      <c r="AQ175" s="282"/>
      <c r="AR175" s="282"/>
      <c r="AS175" s="28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</row>
    <row r="176" ht="15" customHeight="1" spans="1:55">
      <c r="A176" s="189">
        <v>42906</v>
      </c>
      <c r="B176" s="184" t="s">
        <v>35</v>
      </c>
      <c r="C176" s="185">
        <v>73085</v>
      </c>
      <c r="D176" s="186">
        <f>27172+11019</f>
        <v>38191</v>
      </c>
      <c r="E176" s="186">
        <v>112436</v>
      </c>
      <c r="F176" s="187">
        <v>5688.9</v>
      </c>
      <c r="G176" s="186">
        <v>3940.9</v>
      </c>
      <c r="H176" s="188"/>
      <c r="I176" s="188"/>
      <c r="J176" s="214">
        <f t="shared" si="43"/>
        <v>74245</v>
      </c>
      <c r="K176" s="186">
        <v>820</v>
      </c>
      <c r="L176" s="186">
        <v>0</v>
      </c>
      <c r="M176" s="215">
        <f t="shared" si="44"/>
        <v>340</v>
      </c>
      <c r="N176" s="216">
        <f t="shared" si="56"/>
        <v>1287663</v>
      </c>
      <c r="O176" s="219">
        <f t="shared" si="56"/>
        <v>702769</v>
      </c>
      <c r="P176" s="218">
        <f t="shared" si="56"/>
        <v>2039841</v>
      </c>
      <c r="Q176" s="238">
        <f t="shared" si="54"/>
        <v>10843722.18</v>
      </c>
      <c r="R176" s="217">
        <f t="shared" si="54"/>
        <v>5470257</v>
      </c>
      <c r="S176" s="239">
        <f t="shared" si="54"/>
        <v>16594043.57</v>
      </c>
      <c r="T176" s="240">
        <f>N176/'2017'!N176-1</f>
        <v>0.120422078091582</v>
      </c>
      <c r="U176" s="241">
        <f>O176/'2017'!O176-1</f>
        <v>0.0322314838614917</v>
      </c>
      <c r="V176" s="241">
        <f>P176/'2017'!P176-1</f>
        <v>0.085946017887564</v>
      </c>
      <c r="W176" s="241">
        <f>Q176/'2017'!Q176-1</f>
        <v>0.0886458256487916</v>
      </c>
      <c r="X176" s="241">
        <f>R176/'2017'!R176-1</f>
        <v>0.177384559854278</v>
      </c>
      <c r="Y176" s="262">
        <f>S176/'2017'!S176-1</f>
        <v>0.109118058759741</v>
      </c>
      <c r="Z176" s="263"/>
      <c r="AA176" s="264">
        <f t="shared" si="49"/>
        <v>1084.372218</v>
      </c>
      <c r="AB176" s="265"/>
      <c r="AC176" s="266"/>
      <c r="AD176" s="265">
        <f t="shared" si="45"/>
        <v>11123786.57</v>
      </c>
      <c r="AE176" s="186">
        <f t="shared" si="47"/>
        <v>108808.22</v>
      </c>
      <c r="AF176" s="186">
        <f t="shared" si="55"/>
        <v>43161.64</v>
      </c>
      <c r="AG176" s="266">
        <f t="shared" si="46"/>
        <v>128094.530000001</v>
      </c>
      <c r="AH176" s="281"/>
      <c r="AI176" s="282"/>
      <c r="AJ176" s="282"/>
      <c r="AK176" s="282"/>
      <c r="AL176" s="282"/>
      <c r="AM176" s="282"/>
      <c r="AN176" s="282"/>
      <c r="AO176" s="282"/>
      <c r="AP176" s="282"/>
      <c r="AQ176" s="282"/>
      <c r="AR176" s="282"/>
      <c r="AS176" s="28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</row>
    <row r="177" s="163" customFormat="1" ht="15" customHeight="1" spans="1:55">
      <c r="A177" s="190">
        <v>42907</v>
      </c>
      <c r="B177" s="191" t="s">
        <v>36</v>
      </c>
      <c r="C177" s="192">
        <f>63544+2816</f>
        <v>66360</v>
      </c>
      <c r="D177" s="193">
        <f>24577+14140</f>
        <v>38717</v>
      </c>
      <c r="E177" s="193">
        <f>81610+24577</f>
        <v>106187</v>
      </c>
      <c r="F177" s="194">
        <v>5240</v>
      </c>
      <c r="G177" s="193">
        <v>3597</v>
      </c>
      <c r="H177" s="195"/>
      <c r="I177" s="195"/>
      <c r="J177" s="220">
        <f t="shared" si="43"/>
        <v>67470</v>
      </c>
      <c r="K177" s="193">
        <v>312</v>
      </c>
      <c r="L177" s="193">
        <v>0</v>
      </c>
      <c r="M177" s="221">
        <f t="shared" si="44"/>
        <v>798</v>
      </c>
      <c r="N177" s="222">
        <f t="shared" si="56"/>
        <v>1354023</v>
      </c>
      <c r="O177" s="225">
        <f t="shared" si="56"/>
        <v>741486</v>
      </c>
      <c r="P177" s="224">
        <f t="shared" si="56"/>
        <v>2146028</v>
      </c>
      <c r="Q177" s="242">
        <f t="shared" si="54"/>
        <v>10910082.18</v>
      </c>
      <c r="R177" s="223">
        <f t="shared" si="54"/>
        <v>5508974</v>
      </c>
      <c r="S177" s="243">
        <f t="shared" si="54"/>
        <v>16700230.57</v>
      </c>
      <c r="T177" s="244">
        <f>N177/'2017'!N177-1</f>
        <v>0.129222000940724</v>
      </c>
      <c r="U177" s="245">
        <f>O177/'2017'!O177-1</f>
        <v>0.027821711497543</v>
      </c>
      <c r="V177" s="245">
        <f>P177/'2017'!P177-1</f>
        <v>0.0875016976156355</v>
      </c>
      <c r="W177" s="245">
        <f>Q177/'2017'!Q177-1</f>
        <v>0.0898580014826791</v>
      </c>
      <c r="X177" s="245">
        <f>R177/'2017'!R177-1</f>
        <v>0.175448647331523</v>
      </c>
      <c r="Y177" s="267">
        <f>S177/'2017'!S177-1</f>
        <v>0.109175813850326</v>
      </c>
      <c r="Z177" s="268">
        <v>51.34</v>
      </c>
      <c r="AA177" s="269">
        <f t="shared" si="49"/>
        <v>1039.668218</v>
      </c>
      <c r="AB177" s="270">
        <v>4283.88</v>
      </c>
      <c r="AC177" s="221">
        <f t="shared" si="50"/>
        <v>2426.93123523535</v>
      </c>
      <c r="AD177" s="270">
        <f t="shared" si="45"/>
        <v>11191256.57</v>
      </c>
      <c r="AE177" s="193">
        <f t="shared" si="47"/>
        <v>109120.22</v>
      </c>
      <c r="AF177" s="193">
        <f t="shared" si="55"/>
        <v>43161.64</v>
      </c>
      <c r="AG177" s="221">
        <f t="shared" si="46"/>
        <v>128892.530000001</v>
      </c>
      <c r="AH177" s="281"/>
      <c r="AI177" s="282"/>
      <c r="AJ177" s="282"/>
      <c r="AK177" s="282"/>
      <c r="AL177" s="282"/>
      <c r="AM177" s="282"/>
      <c r="AN177" s="282"/>
      <c r="AO177" s="282"/>
      <c r="AP177" s="282"/>
      <c r="AQ177" s="282"/>
      <c r="AR177" s="282"/>
      <c r="AS177" s="28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</row>
    <row r="178" ht="15" customHeight="1" spans="1:55">
      <c r="A178" s="189">
        <v>42908</v>
      </c>
      <c r="B178" s="184" t="s">
        <v>37</v>
      </c>
      <c r="C178" s="185">
        <v>68500</v>
      </c>
      <c r="D178" s="186">
        <f>25548+11079</f>
        <v>36627</v>
      </c>
      <c r="E178" s="186">
        <v>105851</v>
      </c>
      <c r="F178" s="187">
        <v>5350.8</v>
      </c>
      <c r="G178" s="186">
        <v>3566.6</v>
      </c>
      <c r="H178" s="188"/>
      <c r="I178" s="188"/>
      <c r="J178" s="214">
        <f t="shared" si="43"/>
        <v>69224</v>
      </c>
      <c r="K178" s="186">
        <v>349</v>
      </c>
      <c r="L178" s="186">
        <v>0</v>
      </c>
      <c r="M178" s="215">
        <f t="shared" si="44"/>
        <v>375</v>
      </c>
      <c r="N178" s="216">
        <f t="shared" si="56"/>
        <v>1422523</v>
      </c>
      <c r="O178" s="219">
        <f t="shared" si="56"/>
        <v>778113</v>
      </c>
      <c r="P178" s="218">
        <f t="shared" si="56"/>
        <v>2251879</v>
      </c>
      <c r="Q178" s="238">
        <f t="shared" si="54"/>
        <v>10978582.18</v>
      </c>
      <c r="R178" s="217">
        <f t="shared" si="54"/>
        <v>5545601</v>
      </c>
      <c r="S178" s="239">
        <f t="shared" si="54"/>
        <v>16806081.57</v>
      </c>
      <c r="T178" s="240">
        <f>N178/'2017'!N178-1</f>
        <v>0.138952340919554</v>
      </c>
      <c r="U178" s="241">
        <f>O178/'2017'!O178-1</f>
        <v>0.0214137568915727</v>
      </c>
      <c r="V178" s="241">
        <f>P178/'2017'!P178-1</f>
        <v>0.0890943490763965</v>
      </c>
      <c r="W178" s="241">
        <f>Q178/'2017'!Q178-1</f>
        <v>0.0912612360921543</v>
      </c>
      <c r="X178" s="241">
        <f>R178/'2017'!R178-1</f>
        <v>0.173154739793073</v>
      </c>
      <c r="Y178" s="262">
        <f>S178/'2017'!S178-1</f>
        <v>0.109258256413376</v>
      </c>
      <c r="Z178" s="263"/>
      <c r="AA178" s="264">
        <f t="shared" si="49"/>
        <v>1097.858218</v>
      </c>
      <c r="AB178" s="265"/>
      <c r="AC178" s="266"/>
      <c r="AD178" s="265">
        <f t="shared" si="45"/>
        <v>11260480.57</v>
      </c>
      <c r="AE178" s="186">
        <f t="shared" si="47"/>
        <v>109469.22</v>
      </c>
      <c r="AF178" s="186">
        <f t="shared" si="55"/>
        <v>43161.64</v>
      </c>
      <c r="AG178" s="266">
        <f t="shared" si="46"/>
        <v>129267.530000001</v>
      </c>
      <c r="AH178" s="281"/>
      <c r="AI178" s="282"/>
      <c r="AJ178" s="282"/>
      <c r="AK178" s="282"/>
      <c r="AL178" s="282"/>
      <c r="AM178" s="282"/>
      <c r="AN178" s="282"/>
      <c r="AO178" s="282"/>
      <c r="AP178" s="282"/>
      <c r="AQ178" s="282"/>
      <c r="AR178" s="282"/>
      <c r="AS178" s="28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</row>
    <row r="179" ht="15" customHeight="1" spans="1:55">
      <c r="A179" s="189">
        <v>42909</v>
      </c>
      <c r="B179" s="184" t="s">
        <v>38</v>
      </c>
      <c r="C179" s="185">
        <v>62337</v>
      </c>
      <c r="D179" s="186">
        <f>28692+11029</f>
        <v>39721</v>
      </c>
      <c r="E179" s="186">
        <v>103155</v>
      </c>
      <c r="F179" s="187">
        <v>5231.2</v>
      </c>
      <c r="G179" s="186">
        <v>3460.6</v>
      </c>
      <c r="H179" s="188"/>
      <c r="I179" s="188"/>
      <c r="J179" s="214">
        <f t="shared" si="43"/>
        <v>63434</v>
      </c>
      <c r="K179" s="186">
        <v>613</v>
      </c>
      <c r="L179" s="186">
        <v>0</v>
      </c>
      <c r="M179" s="215">
        <f t="shared" si="44"/>
        <v>484</v>
      </c>
      <c r="N179" s="216">
        <f t="shared" si="56"/>
        <v>1484860</v>
      </c>
      <c r="O179" s="219">
        <f t="shared" si="56"/>
        <v>817834</v>
      </c>
      <c r="P179" s="218">
        <f t="shared" si="56"/>
        <v>2355034</v>
      </c>
      <c r="Q179" s="238">
        <f t="shared" si="54"/>
        <v>11040919.18</v>
      </c>
      <c r="R179" s="217">
        <f t="shared" si="54"/>
        <v>5585322</v>
      </c>
      <c r="S179" s="239">
        <f t="shared" si="54"/>
        <v>16909236.57</v>
      </c>
      <c r="T179" s="240">
        <f>N179/'2017'!N179-1</f>
        <v>0.144406944777351</v>
      </c>
      <c r="U179" s="241">
        <f>O179/'2017'!O179-1</f>
        <v>0.0152870195650014</v>
      </c>
      <c r="V179" s="241">
        <f>P179/'2017'!P179-1</f>
        <v>0.0880660056125839</v>
      </c>
      <c r="W179" s="241">
        <f>Q179/'2017'!Q179-1</f>
        <v>0.0921902314878775</v>
      </c>
      <c r="X179" s="241">
        <f>R179/'2017'!R179-1</f>
        <v>0.170729713482256</v>
      </c>
      <c r="Y179" s="262">
        <f>S179/'2017'!S179-1</f>
        <v>0.108984321056673</v>
      </c>
      <c r="Z179" s="263"/>
      <c r="AA179" s="264">
        <f t="shared" si="49"/>
        <v>1104.091918</v>
      </c>
      <c r="AB179" s="265"/>
      <c r="AC179" s="266"/>
      <c r="AD179" s="265">
        <f t="shared" si="45"/>
        <v>11323914.57</v>
      </c>
      <c r="AE179" s="186">
        <f t="shared" si="47"/>
        <v>110082.22</v>
      </c>
      <c r="AF179" s="186">
        <f t="shared" si="55"/>
        <v>43161.64</v>
      </c>
      <c r="AG179" s="266">
        <f t="shared" si="46"/>
        <v>129751.530000001</v>
      </c>
      <c r="AH179" s="281"/>
      <c r="AI179" s="282"/>
      <c r="AJ179" s="282"/>
      <c r="AK179" s="282"/>
      <c r="AL179" s="282"/>
      <c r="AM179" s="282"/>
      <c r="AN179" s="282"/>
      <c r="AO179" s="282"/>
      <c r="AP179" s="282"/>
      <c r="AQ179" s="282"/>
      <c r="AR179" s="282"/>
      <c r="AS179" s="28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</row>
    <row r="180" ht="15" customHeight="1" spans="1:55">
      <c r="A180" s="189">
        <v>42910</v>
      </c>
      <c r="B180" s="184" t="s">
        <v>1</v>
      </c>
      <c r="C180" s="185">
        <v>62204</v>
      </c>
      <c r="D180" s="186">
        <f>28014+10983</f>
        <v>38997</v>
      </c>
      <c r="E180" s="186">
        <v>102805</v>
      </c>
      <c r="F180" s="187">
        <v>4916.2</v>
      </c>
      <c r="G180" s="186">
        <v>3448.4</v>
      </c>
      <c r="H180" s="188"/>
      <c r="I180" s="188"/>
      <c r="J180" s="214">
        <f t="shared" si="43"/>
        <v>63808</v>
      </c>
      <c r="K180" s="186">
        <v>979</v>
      </c>
      <c r="L180" s="186">
        <v>0</v>
      </c>
      <c r="M180" s="215">
        <f t="shared" si="44"/>
        <v>625</v>
      </c>
      <c r="N180" s="216">
        <f t="shared" si="56"/>
        <v>1547064</v>
      </c>
      <c r="O180" s="219">
        <f t="shared" si="56"/>
        <v>856831</v>
      </c>
      <c r="P180" s="218">
        <f t="shared" si="56"/>
        <v>2457839</v>
      </c>
      <c r="Q180" s="238">
        <f t="shared" si="54"/>
        <v>11103123.18</v>
      </c>
      <c r="R180" s="217">
        <f t="shared" si="54"/>
        <v>5624319</v>
      </c>
      <c r="S180" s="239">
        <f t="shared" si="54"/>
        <v>17012041.57</v>
      </c>
      <c r="T180" s="240">
        <f>N180/'2017'!N180-1</f>
        <v>0.152719732299927</v>
      </c>
      <c r="U180" s="241">
        <f>O180/'2017'!O180-1</f>
        <v>0.00753388897773344</v>
      </c>
      <c r="V180" s="241">
        <f>P180/'2017'!P180-1</f>
        <v>0.0881060623165251</v>
      </c>
      <c r="W180" s="241">
        <f>Q180/'2017'!Q180-1</f>
        <v>0.0935184099981035</v>
      </c>
      <c r="X180" s="241">
        <f>R180/'2017'!R180-1</f>
        <v>0.167911135808068</v>
      </c>
      <c r="Y180" s="262">
        <f>S180/'2017'!S180-1</f>
        <v>0.108861505174949</v>
      </c>
      <c r="Z180" s="263"/>
      <c r="AA180" s="264">
        <f t="shared" si="49"/>
        <v>1110.312318</v>
      </c>
      <c r="AB180" s="265"/>
      <c r="AC180" s="266"/>
      <c r="AD180" s="265">
        <f t="shared" si="45"/>
        <v>11387722.57</v>
      </c>
      <c r="AE180" s="186">
        <f t="shared" si="47"/>
        <v>111061.22</v>
      </c>
      <c r="AF180" s="186">
        <f t="shared" si="55"/>
        <v>43161.64</v>
      </c>
      <c r="AG180" s="266">
        <f t="shared" si="46"/>
        <v>130376.530000001</v>
      </c>
      <c r="AH180" s="281"/>
      <c r="AI180" s="282"/>
      <c r="AJ180" s="282"/>
      <c r="AK180" s="282"/>
      <c r="AL180" s="282"/>
      <c r="AM180" s="282"/>
      <c r="AN180" s="282"/>
      <c r="AO180" s="282"/>
      <c r="AP180" s="282"/>
      <c r="AQ180" s="282"/>
      <c r="AR180" s="282"/>
      <c r="AS180" s="28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</row>
    <row r="181" ht="15" customHeight="1" spans="1:55">
      <c r="A181" s="189">
        <v>42911</v>
      </c>
      <c r="B181" s="184" t="s">
        <v>39</v>
      </c>
      <c r="C181" s="185">
        <v>76232</v>
      </c>
      <c r="D181" s="186">
        <f>29192+10977</f>
        <v>40169</v>
      </c>
      <c r="E181" s="186">
        <v>117979</v>
      </c>
      <c r="F181" s="187">
        <v>5934.2</v>
      </c>
      <c r="G181" s="186">
        <v>3539.8</v>
      </c>
      <c r="H181" s="188"/>
      <c r="I181" s="188"/>
      <c r="J181" s="214">
        <f t="shared" si="43"/>
        <v>77810</v>
      </c>
      <c r="K181" s="186">
        <v>448</v>
      </c>
      <c r="L181" s="186">
        <v>0</v>
      </c>
      <c r="M181" s="215">
        <f t="shared" si="44"/>
        <v>1130</v>
      </c>
      <c r="N181" s="216">
        <f t="shared" si="56"/>
        <v>1623296</v>
      </c>
      <c r="O181" s="219">
        <f t="shared" si="56"/>
        <v>897000</v>
      </c>
      <c r="P181" s="218">
        <f t="shared" si="56"/>
        <v>2575818</v>
      </c>
      <c r="Q181" s="238">
        <f t="shared" si="54"/>
        <v>11179355.18</v>
      </c>
      <c r="R181" s="217">
        <f t="shared" si="54"/>
        <v>5664488</v>
      </c>
      <c r="S181" s="239">
        <f t="shared" si="54"/>
        <v>17130020.57</v>
      </c>
      <c r="T181" s="240">
        <f>N181/'2017'!N181-1</f>
        <v>0.174851614276006</v>
      </c>
      <c r="U181" s="241">
        <f>O181/'2017'!O181-1</f>
        <v>0.00285988359222844</v>
      </c>
      <c r="V181" s="241">
        <f>P181/'2017'!P181-1</f>
        <v>0.0978984585286014</v>
      </c>
      <c r="W181" s="241">
        <f>Q181/'2017'!Q181-1</f>
        <v>0.0967484416704383</v>
      </c>
      <c r="X181" s="241">
        <f>R181/'2017'!R181-1</f>
        <v>0.165598225085118</v>
      </c>
      <c r="Y181" s="262">
        <f>S181/'2017'!S181-1</f>
        <v>0.110233064862869</v>
      </c>
      <c r="Z181" s="263"/>
      <c r="AA181" s="264">
        <f t="shared" si="49"/>
        <v>1117.935518</v>
      </c>
      <c r="AB181" s="265"/>
      <c r="AC181" s="266"/>
      <c r="AD181" s="265">
        <f t="shared" si="45"/>
        <v>11465532.57</v>
      </c>
      <c r="AE181" s="186">
        <f t="shared" si="47"/>
        <v>111509.22</v>
      </c>
      <c r="AF181" s="186">
        <f t="shared" si="55"/>
        <v>43161.64</v>
      </c>
      <c r="AG181" s="266">
        <f t="shared" si="46"/>
        <v>131506.530000001</v>
      </c>
      <c r="AH181" s="281"/>
      <c r="AI181" s="282"/>
      <c r="AJ181" s="282"/>
      <c r="AK181" s="282"/>
      <c r="AL181" s="282"/>
      <c r="AM181" s="282"/>
      <c r="AN181" s="282"/>
      <c r="AO181" s="282"/>
      <c r="AP181" s="282"/>
      <c r="AQ181" s="282"/>
      <c r="AR181" s="282"/>
      <c r="AS181" s="28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</row>
    <row r="182" ht="15" customHeight="1" spans="1:55">
      <c r="A182" s="189">
        <v>42912</v>
      </c>
      <c r="B182" s="184" t="s">
        <v>34</v>
      </c>
      <c r="C182" s="185">
        <v>80816</v>
      </c>
      <c r="D182" s="186">
        <f>35158+10887</f>
        <v>46045</v>
      </c>
      <c r="E182" s="186">
        <v>128354</v>
      </c>
      <c r="F182" s="187">
        <v>6256.3</v>
      </c>
      <c r="G182" s="186">
        <v>4048.2</v>
      </c>
      <c r="H182" s="188"/>
      <c r="I182" s="188"/>
      <c r="J182" s="214">
        <f t="shared" si="43"/>
        <v>82309</v>
      </c>
      <c r="K182" s="186">
        <v>220</v>
      </c>
      <c r="L182" s="186">
        <v>0</v>
      </c>
      <c r="M182" s="215">
        <f t="shared" si="44"/>
        <v>1273</v>
      </c>
      <c r="N182" s="216">
        <f t="shared" si="56"/>
        <v>1704112</v>
      </c>
      <c r="O182" s="219">
        <f t="shared" si="56"/>
        <v>943045</v>
      </c>
      <c r="P182" s="218">
        <f t="shared" si="56"/>
        <v>2704172</v>
      </c>
      <c r="Q182" s="238">
        <f t="shared" si="54"/>
        <v>11260171.18</v>
      </c>
      <c r="R182" s="217">
        <f t="shared" si="54"/>
        <v>5710533</v>
      </c>
      <c r="S182" s="239">
        <f t="shared" si="54"/>
        <v>17258374.57</v>
      </c>
      <c r="T182" s="240">
        <f>N182/'2017'!N182-1</f>
        <v>0.197374661591743</v>
      </c>
      <c r="U182" s="241">
        <f>O182/'2017'!O182-1</f>
        <v>0.00337385649565802</v>
      </c>
      <c r="V182" s="241">
        <f>P182/'2017'!P182-1</f>
        <v>0.109521336001923</v>
      </c>
      <c r="W182" s="241">
        <f>Q182/'2017'!Q182-1</f>
        <v>0.100197160736797</v>
      </c>
      <c r="X182" s="241">
        <f>R182/'2017'!R182-1</f>
        <v>0.164189410412468</v>
      </c>
      <c r="Y182" s="262">
        <f>S182/'2017'!S182-1</f>
        <v>0.111985863716742</v>
      </c>
      <c r="Z182" s="263"/>
      <c r="AA182" s="264">
        <f t="shared" si="49"/>
        <v>1126.017118</v>
      </c>
      <c r="AB182" s="265"/>
      <c r="AC182" s="266"/>
      <c r="AD182" s="265">
        <f t="shared" si="45"/>
        <v>11547841.57</v>
      </c>
      <c r="AE182" s="186">
        <f t="shared" si="47"/>
        <v>111729.22</v>
      </c>
      <c r="AF182" s="186">
        <f t="shared" si="55"/>
        <v>43161.64</v>
      </c>
      <c r="AG182" s="266">
        <f t="shared" si="46"/>
        <v>132779.530000001</v>
      </c>
      <c r="AH182" s="281"/>
      <c r="AI182" s="282"/>
      <c r="AJ182" s="282"/>
      <c r="AK182" s="282"/>
      <c r="AL182" s="282"/>
      <c r="AM182" s="282"/>
      <c r="AN182" s="282"/>
      <c r="AO182" s="282"/>
      <c r="AP182" s="282"/>
      <c r="AQ182" s="282"/>
      <c r="AR182" s="282"/>
      <c r="AS182" s="28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</row>
    <row r="183" ht="15" customHeight="1" spans="1:55">
      <c r="A183" s="189">
        <v>42913</v>
      </c>
      <c r="B183" s="184" t="s">
        <v>35</v>
      </c>
      <c r="C183" s="185">
        <v>83270</v>
      </c>
      <c r="D183" s="186">
        <f>38687+10928</f>
        <v>49615</v>
      </c>
      <c r="E183" s="186">
        <v>134617</v>
      </c>
      <c r="F183" s="187">
        <v>6469.4</v>
      </c>
      <c r="G183" s="186">
        <v>4345.4</v>
      </c>
      <c r="H183" s="188"/>
      <c r="I183" s="188"/>
      <c r="J183" s="214">
        <f t="shared" si="43"/>
        <v>85002</v>
      </c>
      <c r="K183" s="186">
        <v>415</v>
      </c>
      <c r="L183" s="186">
        <v>0</v>
      </c>
      <c r="M183" s="215">
        <f t="shared" si="44"/>
        <v>1317</v>
      </c>
      <c r="N183" s="216">
        <f t="shared" si="56"/>
        <v>1787382</v>
      </c>
      <c r="O183" s="219">
        <f t="shared" si="56"/>
        <v>992660</v>
      </c>
      <c r="P183" s="218">
        <f t="shared" si="56"/>
        <v>2838789</v>
      </c>
      <c r="Q183" s="238">
        <f t="shared" si="54"/>
        <v>11343441.18</v>
      </c>
      <c r="R183" s="217">
        <f t="shared" si="54"/>
        <v>5760148</v>
      </c>
      <c r="S183" s="239">
        <f t="shared" si="54"/>
        <v>17392991.57</v>
      </c>
      <c r="T183" s="240">
        <f>N183/'2017'!N183-1</f>
        <v>0.22082346649327</v>
      </c>
      <c r="U183" s="241">
        <f>O183/'2017'!O183-1</f>
        <v>0.00718767502455409</v>
      </c>
      <c r="V183" s="241">
        <f>P183/'2017'!P183-1</f>
        <v>0.122987550882356</v>
      </c>
      <c r="W183" s="241">
        <f>Q183/'2017'!Q183-1</f>
        <v>0.103924719478122</v>
      </c>
      <c r="X183" s="241">
        <f>R183/'2017'!R183-1</f>
        <v>0.163464125424674</v>
      </c>
      <c r="Y183" s="262">
        <f>S183/'2017'!S183-1</f>
        <v>0.114152142519535</v>
      </c>
      <c r="Z183" s="263"/>
      <c r="AA183" s="264">
        <f t="shared" si="49"/>
        <v>1134.344118</v>
      </c>
      <c r="AB183" s="265"/>
      <c r="AC183" s="266"/>
      <c r="AD183" s="265">
        <f t="shared" si="45"/>
        <v>11632843.57</v>
      </c>
      <c r="AE183" s="186">
        <f t="shared" si="47"/>
        <v>112144.22</v>
      </c>
      <c r="AF183" s="186">
        <f t="shared" ref="AF183:AF198" si="57">AF182+L183</f>
        <v>43161.64</v>
      </c>
      <c r="AG183" s="266">
        <f t="shared" si="46"/>
        <v>134096.530000001</v>
      </c>
      <c r="AH183" s="281"/>
      <c r="AI183" s="282"/>
      <c r="AJ183" s="282"/>
      <c r="AK183" s="282"/>
      <c r="AL183" s="282"/>
      <c r="AM183" s="282"/>
      <c r="AN183" s="282"/>
      <c r="AO183" s="282"/>
      <c r="AP183" s="282"/>
      <c r="AQ183" s="282"/>
      <c r="AR183" s="282"/>
      <c r="AS183" s="28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</row>
    <row r="184" s="163" customFormat="1" ht="15" customHeight="1" spans="1:55">
      <c r="A184" s="190">
        <v>42914</v>
      </c>
      <c r="B184" s="191" t="s">
        <v>36</v>
      </c>
      <c r="C184" s="192">
        <f>82666+3405</f>
        <v>86071</v>
      </c>
      <c r="D184" s="193">
        <f>36219+13812</f>
        <v>50031</v>
      </c>
      <c r="E184" s="193">
        <f>101219+36219</f>
        <v>137438</v>
      </c>
      <c r="F184" s="194">
        <v>6648</v>
      </c>
      <c r="G184" s="193">
        <v>4560</v>
      </c>
      <c r="H184" s="195"/>
      <c r="I184" s="195"/>
      <c r="J184" s="220">
        <f t="shared" si="43"/>
        <v>87407</v>
      </c>
      <c r="K184" s="193">
        <v>277</v>
      </c>
      <c r="L184" s="193">
        <v>0</v>
      </c>
      <c r="M184" s="221">
        <f t="shared" si="44"/>
        <v>1059</v>
      </c>
      <c r="N184" s="222">
        <f t="shared" si="56"/>
        <v>1873453</v>
      </c>
      <c r="O184" s="225">
        <f t="shared" si="56"/>
        <v>1042691</v>
      </c>
      <c r="P184" s="224">
        <f t="shared" si="56"/>
        <v>2976227</v>
      </c>
      <c r="Q184" s="242">
        <f t="shared" si="54"/>
        <v>11429512.18</v>
      </c>
      <c r="R184" s="223">
        <f t="shared" si="54"/>
        <v>5810179</v>
      </c>
      <c r="S184" s="243">
        <f t="shared" si="54"/>
        <v>17530429.57</v>
      </c>
      <c r="T184" s="244">
        <f>N184/'2017'!N184-1</f>
        <v>0.245027738863916</v>
      </c>
      <c r="U184" s="245">
        <f>O184/'2017'!O184-1</f>
        <v>0.00998368824003482</v>
      </c>
      <c r="V184" s="245">
        <f>P184/'2017'!P184-1</f>
        <v>0.136086351246069</v>
      </c>
      <c r="W184" s="245">
        <f>Q184/'2017'!Q184-1</f>
        <v>0.107916051802751</v>
      </c>
      <c r="X184" s="245">
        <f>R184/'2017'!R184-1</f>
        <v>0.162578026391509</v>
      </c>
      <c r="Y184" s="267">
        <f>S184/'2017'!S184-1</f>
        <v>0.116389102385166</v>
      </c>
      <c r="Z184" s="268">
        <v>53.29</v>
      </c>
      <c r="AA184" s="269">
        <f t="shared" si="49"/>
        <v>1089.661218</v>
      </c>
      <c r="AB184" s="270">
        <v>4283.88</v>
      </c>
      <c r="AC184" s="221">
        <f t="shared" si="50"/>
        <v>2543.63151628897</v>
      </c>
      <c r="AD184" s="270">
        <f t="shared" si="45"/>
        <v>11720250.57</v>
      </c>
      <c r="AE184" s="193">
        <f t="shared" si="47"/>
        <v>112421.22</v>
      </c>
      <c r="AF184" s="193">
        <f t="shared" si="57"/>
        <v>43161.64</v>
      </c>
      <c r="AG184" s="221">
        <f t="shared" si="46"/>
        <v>135155.530000001</v>
      </c>
      <c r="AH184" s="281"/>
      <c r="AI184" s="282"/>
      <c r="AJ184" s="282"/>
      <c r="AK184" s="282"/>
      <c r="AL184" s="282"/>
      <c r="AM184" s="282"/>
      <c r="AN184" s="282"/>
      <c r="AO184" s="282"/>
      <c r="AP184" s="282"/>
      <c r="AQ184" s="282"/>
      <c r="AR184" s="282"/>
      <c r="AS184" s="28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</row>
    <row r="185" ht="15" customHeight="1" spans="1:55">
      <c r="A185" s="189">
        <v>42915</v>
      </c>
      <c r="B185" s="184" t="s">
        <v>37</v>
      </c>
      <c r="C185" s="185">
        <f>76478+2375</f>
        <v>78853</v>
      </c>
      <c r="D185" s="186">
        <f>13638+34953</f>
        <v>48591</v>
      </c>
      <c r="E185" s="186">
        <f>93512+34953</f>
        <v>128465</v>
      </c>
      <c r="F185" s="187">
        <v>6338</v>
      </c>
      <c r="G185" s="186">
        <v>4459</v>
      </c>
      <c r="H185" s="188"/>
      <c r="I185" s="188"/>
      <c r="J185" s="214">
        <f t="shared" si="43"/>
        <v>79874</v>
      </c>
      <c r="K185" s="186">
        <v>166</v>
      </c>
      <c r="L185" s="186">
        <v>0</v>
      </c>
      <c r="M185" s="215">
        <f t="shared" si="44"/>
        <v>855</v>
      </c>
      <c r="N185" s="216">
        <f t="shared" si="56"/>
        <v>1952306</v>
      </c>
      <c r="O185" s="219">
        <f t="shared" si="56"/>
        <v>1091282</v>
      </c>
      <c r="P185" s="218">
        <f t="shared" si="56"/>
        <v>3104692</v>
      </c>
      <c r="Q185" s="238">
        <f t="shared" si="54"/>
        <v>11508365.18</v>
      </c>
      <c r="R185" s="217">
        <f t="shared" si="54"/>
        <v>5858770</v>
      </c>
      <c r="S185" s="239">
        <f t="shared" si="54"/>
        <v>17658894.57</v>
      </c>
      <c r="T185" s="240">
        <f>N185/'2017'!N185-1</f>
        <v>0.262847066798796</v>
      </c>
      <c r="U185" s="241">
        <f>O185/'2017'!O185-1</f>
        <v>0.0095470516077345</v>
      </c>
      <c r="V185" s="241">
        <f>P185/'2017'!P185-1</f>
        <v>0.144111552545726</v>
      </c>
      <c r="W185" s="241">
        <f>Q185/'2017'!Q185-1</f>
        <v>0.111121285445974</v>
      </c>
      <c r="X185" s="241">
        <f>R185/'2017'!R185-1</f>
        <v>0.161015535112636</v>
      </c>
      <c r="Y185" s="262">
        <f>S185/'2017'!S185-1</f>
        <v>0.117884802576375</v>
      </c>
      <c r="Z185" s="263"/>
      <c r="AA185" s="264">
        <f t="shared" si="49"/>
        <v>1150.836518</v>
      </c>
      <c r="AB185" s="265"/>
      <c r="AC185" s="266"/>
      <c r="AD185" s="265">
        <f t="shared" si="45"/>
        <v>11800124.57</v>
      </c>
      <c r="AE185" s="186">
        <f t="shared" si="47"/>
        <v>112587.22</v>
      </c>
      <c r="AF185" s="186">
        <f t="shared" si="57"/>
        <v>43161.64</v>
      </c>
      <c r="AG185" s="266">
        <f t="shared" si="46"/>
        <v>136010.530000001</v>
      </c>
      <c r="AH185" s="281"/>
      <c r="AI185" s="282"/>
      <c r="AJ185" s="282"/>
      <c r="AK185" s="282"/>
      <c r="AL185" s="282"/>
      <c r="AM185" s="282"/>
      <c r="AN185" s="282"/>
      <c r="AO185" s="282"/>
      <c r="AP185" s="282"/>
      <c r="AQ185" s="282"/>
      <c r="AR185" s="282"/>
      <c r="AS185" s="28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</row>
    <row r="186" ht="15" customHeight="1" spans="1:55">
      <c r="A186" s="204">
        <v>42916</v>
      </c>
      <c r="B186" s="197" t="s">
        <v>38</v>
      </c>
      <c r="C186" s="198">
        <v>69959</v>
      </c>
      <c r="D186" s="199">
        <v>46521</v>
      </c>
      <c r="E186" s="199">
        <v>117786</v>
      </c>
      <c r="F186" s="200">
        <v>5779</v>
      </c>
      <c r="G186" s="199">
        <v>4012</v>
      </c>
      <c r="H186" s="201"/>
      <c r="I186" s="201"/>
      <c r="J186" s="226">
        <f t="shared" si="43"/>
        <v>71265</v>
      </c>
      <c r="K186" s="199">
        <v>347.55</v>
      </c>
      <c r="L186" s="199">
        <v>34.56</v>
      </c>
      <c r="M186" s="227">
        <f t="shared" si="44"/>
        <v>923.889999999999</v>
      </c>
      <c r="N186" s="228">
        <f>[5]表2、统调口径电量!$D$10</f>
        <v>2022262.82</v>
      </c>
      <c r="O186" s="232">
        <f>[5]表2、统调口径电量!$D$14</f>
        <v>1137803</v>
      </c>
      <c r="P186" s="233">
        <f>[5]表2、统调口径电量!$D$3</f>
        <v>3222478.17</v>
      </c>
      <c r="Q186" s="246">
        <f>[5]表2、统调口径电量!$I$10</f>
        <v>11578322</v>
      </c>
      <c r="R186" s="229">
        <f>[5]表2、统调口径电量!$I$14</f>
        <v>5905291</v>
      </c>
      <c r="S186" s="247">
        <f>[5]表2、统调口径电量!$I$3</f>
        <v>17776680.74</v>
      </c>
      <c r="T186" s="248">
        <f>N186/'2017'!N186-1</f>
        <v>0.271578423288592</v>
      </c>
      <c r="U186" s="249">
        <f>O186/'2017'!O186-1</f>
        <v>0.00779359506255073</v>
      </c>
      <c r="V186" s="249">
        <f>P186/'2017'!P186-1</f>
        <v>0.146791967684397</v>
      </c>
      <c r="W186" s="249">
        <f>Q186/'2017'!Q186-1</f>
        <v>0.113103882524211</v>
      </c>
      <c r="X186" s="249">
        <f>R186/'2017'!R186-1</f>
        <v>0.159180067246797</v>
      </c>
      <c r="Y186" s="272">
        <f>S186/'2017'!S186-1</f>
        <v>0.118517740966485</v>
      </c>
      <c r="Z186" s="273">
        <f>[5]表2、统调口径电量!$I$12/10000</f>
        <v>53.76403</v>
      </c>
      <c r="AA186" s="274">
        <f t="shared" si="49"/>
        <v>1104.06817</v>
      </c>
      <c r="AB186" s="275"/>
      <c r="AC186" s="276"/>
      <c r="AD186" s="275">
        <f t="shared" si="45"/>
        <v>11871389.74</v>
      </c>
      <c r="AE186" s="199">
        <f t="shared" si="47"/>
        <v>112934.77</v>
      </c>
      <c r="AF186" s="199">
        <f t="shared" si="57"/>
        <v>43196.2</v>
      </c>
      <c r="AG186" s="276">
        <f t="shared" si="46"/>
        <v>136936.769999998</v>
      </c>
      <c r="AH186" s="281"/>
      <c r="AI186" s="282"/>
      <c r="AJ186" s="282"/>
      <c r="AK186" s="282"/>
      <c r="AL186" s="282"/>
      <c r="AM186" s="282"/>
      <c r="AN186" s="282"/>
      <c r="AO186" s="282"/>
      <c r="AP186" s="282"/>
      <c r="AQ186" s="282"/>
      <c r="AR186" s="282"/>
      <c r="AS186" s="28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</row>
    <row r="187" ht="15" customHeight="1" spans="1:55">
      <c r="A187" s="189">
        <v>42917</v>
      </c>
      <c r="B187" s="184" t="s">
        <v>1</v>
      </c>
      <c r="C187" s="185">
        <v>54764</v>
      </c>
      <c r="D187" s="186">
        <f>10591+40607</f>
        <v>51198</v>
      </c>
      <c r="E187" s="186">
        <v>106863</v>
      </c>
      <c r="F187" s="187">
        <v>5011</v>
      </c>
      <c r="G187" s="186">
        <v>3828</v>
      </c>
      <c r="H187" s="188"/>
      <c r="I187" s="188"/>
      <c r="J187" s="214">
        <f t="shared" si="43"/>
        <v>55665</v>
      </c>
      <c r="K187" s="186">
        <v>166</v>
      </c>
      <c r="L187" s="186">
        <v>63</v>
      </c>
      <c r="M187" s="215">
        <f t="shared" si="44"/>
        <v>672</v>
      </c>
      <c r="N187" s="216">
        <f>C187</f>
        <v>54764</v>
      </c>
      <c r="O187" s="219">
        <f>D187</f>
        <v>51198</v>
      </c>
      <c r="P187" s="218">
        <f>E187</f>
        <v>106863</v>
      </c>
      <c r="Q187" s="238">
        <f t="shared" ref="Q187:S202" si="58">Q$186+N187</f>
        <v>11633086</v>
      </c>
      <c r="R187" s="217">
        <f t="shared" si="58"/>
        <v>5956489</v>
      </c>
      <c r="S187" s="239">
        <f t="shared" si="58"/>
        <v>17883543.74</v>
      </c>
      <c r="T187" s="240">
        <f>N187/'2017'!N187-1</f>
        <v>0.344231713303878</v>
      </c>
      <c r="U187" s="241">
        <f>O187/'2017'!O187-1</f>
        <v>0.041880341880342</v>
      </c>
      <c r="V187" s="241">
        <f>P187/'2017'!P187-1</f>
        <v>0.136344785784924</v>
      </c>
      <c r="W187" s="241">
        <f>Q187/'2017'!Q187-1</f>
        <v>0.114005590060367</v>
      </c>
      <c r="X187" s="241">
        <f>R187/'2017'!R187-1</f>
        <v>0.158059410414174</v>
      </c>
      <c r="Y187" s="262">
        <f>S187/'2017'!S187-1</f>
        <v>0.118622605011216</v>
      </c>
      <c r="Z187" s="263"/>
      <c r="AA187" s="264">
        <f t="shared" si="49"/>
        <v>1163.3086</v>
      </c>
      <c r="AB187" s="265"/>
      <c r="AC187" s="266"/>
      <c r="AD187" s="265">
        <f t="shared" si="45"/>
        <v>11927054.74</v>
      </c>
      <c r="AE187" s="186">
        <f t="shared" si="47"/>
        <v>113100.77</v>
      </c>
      <c r="AF187" s="186">
        <f t="shared" si="57"/>
        <v>43259.2</v>
      </c>
      <c r="AG187" s="266">
        <f t="shared" si="46"/>
        <v>137608.769999998</v>
      </c>
      <c r="AH187" s="281"/>
      <c r="AI187" s="282"/>
      <c r="AJ187" s="282"/>
      <c r="AK187" s="282"/>
      <c r="AL187" s="282"/>
      <c r="AM187" s="282"/>
      <c r="AN187" s="282"/>
      <c r="AO187" s="282"/>
      <c r="AP187" s="282"/>
      <c r="AQ187" s="282"/>
      <c r="AR187" s="282"/>
      <c r="AS187" s="28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</row>
    <row r="188" ht="15" customHeight="1" spans="1:55">
      <c r="A188" s="189">
        <v>42918</v>
      </c>
      <c r="B188" s="184" t="s">
        <v>39</v>
      </c>
      <c r="C188" s="185">
        <v>70437</v>
      </c>
      <c r="D188" s="186">
        <f>10908+38022</f>
        <v>48930</v>
      </c>
      <c r="E188" s="186">
        <v>120575</v>
      </c>
      <c r="F188" s="187">
        <v>6008</v>
      </c>
      <c r="G188" s="186">
        <v>3693</v>
      </c>
      <c r="H188" s="188"/>
      <c r="I188" s="188"/>
      <c r="J188" s="214">
        <f t="shared" si="43"/>
        <v>71645</v>
      </c>
      <c r="K188" s="186">
        <v>207</v>
      </c>
      <c r="L188" s="186">
        <v>63.27</v>
      </c>
      <c r="M188" s="215">
        <f t="shared" si="44"/>
        <v>937.729999999996</v>
      </c>
      <c r="N188" s="216">
        <f t="shared" ref="N188:P203" si="59">C188+N187</f>
        <v>125201</v>
      </c>
      <c r="O188" s="219">
        <f t="shared" si="59"/>
        <v>100128</v>
      </c>
      <c r="P188" s="218">
        <f t="shared" si="59"/>
        <v>227438</v>
      </c>
      <c r="Q188" s="238">
        <f t="shared" si="58"/>
        <v>11703523</v>
      </c>
      <c r="R188" s="217">
        <f t="shared" si="58"/>
        <v>6005419</v>
      </c>
      <c r="S188" s="239">
        <f t="shared" si="58"/>
        <v>18004118.74</v>
      </c>
      <c r="T188" s="240">
        <f>N188/'2017'!N188-1</f>
        <v>0.505272016831981</v>
      </c>
      <c r="U188" s="241">
        <f>O188/'2017'!O188-1</f>
        <v>0.0321303769675603</v>
      </c>
      <c r="V188" s="241">
        <f>P188/'2017'!P188-1</f>
        <v>0.206548436894904</v>
      </c>
      <c r="W188" s="241">
        <f>Q188/'2017'!Q188-1</f>
        <v>0.11621485591891</v>
      </c>
      <c r="X188" s="241">
        <f>R188/'2017'!R188-1</f>
        <v>0.156805897468496</v>
      </c>
      <c r="Y188" s="262">
        <f>S188/'2017'!S188-1</f>
        <v>0.119549608327158</v>
      </c>
      <c r="Z188" s="263"/>
      <c r="AA188" s="264">
        <f t="shared" si="49"/>
        <v>1170.3523</v>
      </c>
      <c r="AB188" s="265"/>
      <c r="AC188" s="266"/>
      <c r="AD188" s="265">
        <f t="shared" si="45"/>
        <v>11998699.74</v>
      </c>
      <c r="AE188" s="186">
        <f t="shared" si="47"/>
        <v>113307.77</v>
      </c>
      <c r="AF188" s="186">
        <f t="shared" si="57"/>
        <v>43322.47</v>
      </c>
      <c r="AG188" s="266">
        <f t="shared" si="46"/>
        <v>138546.499999998</v>
      </c>
      <c r="AH188" s="281"/>
      <c r="AI188" s="282"/>
      <c r="AJ188" s="282"/>
      <c r="AK188" s="282"/>
      <c r="AL188" s="282"/>
      <c r="AM188" s="282"/>
      <c r="AN188" s="282"/>
      <c r="AO188" s="282"/>
      <c r="AP188" s="282"/>
      <c r="AQ188" s="282"/>
      <c r="AR188" s="282"/>
      <c r="AS188" s="28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</row>
    <row r="189" ht="15" customHeight="1" spans="1:55">
      <c r="A189" s="189">
        <v>42919</v>
      </c>
      <c r="B189" s="184" t="s">
        <v>34</v>
      </c>
      <c r="C189" s="185">
        <v>71726</v>
      </c>
      <c r="D189" s="186">
        <f>11054+39790</f>
        <v>50844</v>
      </c>
      <c r="E189" s="186">
        <v>123528</v>
      </c>
      <c r="F189" s="187">
        <v>6104</v>
      </c>
      <c r="G189" s="186">
        <v>4024</v>
      </c>
      <c r="H189" s="188"/>
      <c r="I189" s="188"/>
      <c r="J189" s="214">
        <f t="shared" si="43"/>
        <v>72684</v>
      </c>
      <c r="K189" s="186">
        <v>193</v>
      </c>
      <c r="L189" s="186">
        <v>77.6</v>
      </c>
      <c r="M189" s="215">
        <f t="shared" si="44"/>
        <v>687.399999999994</v>
      </c>
      <c r="N189" s="216">
        <f t="shared" si="59"/>
        <v>196927</v>
      </c>
      <c r="O189" s="219">
        <f t="shared" si="59"/>
        <v>150972</v>
      </c>
      <c r="P189" s="218">
        <f t="shared" si="59"/>
        <v>350966</v>
      </c>
      <c r="Q189" s="238">
        <f t="shared" si="58"/>
        <v>11775249</v>
      </c>
      <c r="R189" s="217">
        <f t="shared" si="58"/>
        <v>6056263</v>
      </c>
      <c r="S189" s="239">
        <f t="shared" si="58"/>
        <v>18127646.74</v>
      </c>
      <c r="T189" s="240">
        <f>N189/'2017'!N189-1</f>
        <v>0.421989067565909</v>
      </c>
      <c r="U189" s="241">
        <f>O189/'2017'!O189-1</f>
        <v>0.0675434874840899</v>
      </c>
      <c r="V189" s="241">
        <f>P189/'2017'!P189-1</f>
        <v>0.199367110236274</v>
      </c>
      <c r="W189" s="241">
        <f>Q189/'2017'!Q189-1</f>
        <v>0.11716225815916</v>
      </c>
      <c r="X189" s="241">
        <f>R189/'2017'!R189-1</f>
        <v>0.156704939790354</v>
      </c>
      <c r="Y189" s="262">
        <f>S189/'2017'!S189-1</f>
        <v>0.119979440701206</v>
      </c>
      <c r="Z189" s="263"/>
      <c r="AA189" s="264">
        <f t="shared" si="49"/>
        <v>1177.5249</v>
      </c>
      <c r="AB189" s="265"/>
      <c r="AC189" s="266"/>
      <c r="AD189" s="265">
        <f t="shared" si="45"/>
        <v>12071383.74</v>
      </c>
      <c r="AE189" s="186">
        <f t="shared" si="47"/>
        <v>113500.77</v>
      </c>
      <c r="AF189" s="186">
        <f t="shared" si="57"/>
        <v>43400.07</v>
      </c>
      <c r="AG189" s="266">
        <f t="shared" si="46"/>
        <v>139233.899999998</v>
      </c>
      <c r="AH189" s="281"/>
      <c r="AI189" s="282"/>
      <c r="AJ189" s="282"/>
      <c r="AK189" s="282"/>
      <c r="AL189" s="282"/>
      <c r="AM189" s="282"/>
      <c r="AN189" s="282"/>
      <c r="AO189" s="282"/>
      <c r="AP189" s="282"/>
      <c r="AQ189" s="282"/>
      <c r="AR189" s="282"/>
      <c r="AS189" s="28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</row>
    <row r="190" ht="15" customHeight="1" spans="1:55">
      <c r="A190" s="189">
        <v>42920</v>
      </c>
      <c r="B190" s="184" t="s">
        <v>35</v>
      </c>
      <c r="C190" s="185">
        <v>76504</v>
      </c>
      <c r="D190" s="186">
        <f>10901+36227</f>
        <v>47128</v>
      </c>
      <c r="E190" s="186">
        <v>125278</v>
      </c>
      <c r="F190" s="187">
        <v>6276</v>
      </c>
      <c r="G190" s="186">
        <v>4033</v>
      </c>
      <c r="H190" s="188"/>
      <c r="I190" s="188"/>
      <c r="J190" s="214">
        <f t="shared" si="43"/>
        <v>78150</v>
      </c>
      <c r="K190" s="186">
        <v>309</v>
      </c>
      <c r="L190" s="186">
        <v>555</v>
      </c>
      <c r="M190" s="215">
        <f t="shared" si="44"/>
        <v>782</v>
      </c>
      <c r="N190" s="216">
        <f t="shared" si="59"/>
        <v>273431</v>
      </c>
      <c r="O190" s="219">
        <f t="shared" si="59"/>
        <v>198100</v>
      </c>
      <c r="P190" s="218">
        <f t="shared" si="59"/>
        <v>476244</v>
      </c>
      <c r="Q190" s="238">
        <f t="shared" si="58"/>
        <v>11851753</v>
      </c>
      <c r="R190" s="217">
        <f t="shared" si="58"/>
        <v>6103391</v>
      </c>
      <c r="S190" s="239">
        <f t="shared" si="58"/>
        <v>18252924.74</v>
      </c>
      <c r="T190" s="240">
        <f>N190/'2017'!N190-1</f>
        <v>0.430766896205287</v>
      </c>
      <c r="U190" s="241">
        <f>O190/'2017'!O190-1</f>
        <v>0.0423463052217288</v>
      </c>
      <c r="V190" s="241">
        <f>P190/'2017'!P190-1</f>
        <v>0.19546058130866</v>
      </c>
      <c r="W190" s="241">
        <f>Q190/'2017'!Q190-1</f>
        <v>0.118834862854727</v>
      </c>
      <c r="X190" s="241">
        <f>R190/'2017'!R190-1</f>
        <v>0.154978189663541</v>
      </c>
      <c r="Y190" s="262">
        <f>S190/'2017'!S190-1</f>
        <v>0.12039923485279</v>
      </c>
      <c r="Z190" s="263"/>
      <c r="AA190" s="264">
        <f t="shared" si="49"/>
        <v>1185.1753</v>
      </c>
      <c r="AB190" s="265"/>
      <c r="AC190" s="266"/>
      <c r="AD190" s="265">
        <f t="shared" si="45"/>
        <v>12149533.74</v>
      </c>
      <c r="AE190" s="186">
        <f t="shared" si="47"/>
        <v>113809.77</v>
      </c>
      <c r="AF190" s="186">
        <f t="shared" si="57"/>
        <v>43955.07</v>
      </c>
      <c r="AG190" s="266">
        <f t="shared" si="46"/>
        <v>140015.899999998</v>
      </c>
      <c r="AH190" s="281"/>
      <c r="AI190" s="282"/>
      <c r="AJ190" s="282"/>
      <c r="AK190" s="282"/>
      <c r="AL190" s="282"/>
      <c r="AM190" s="282"/>
      <c r="AN190" s="282"/>
      <c r="AO190" s="282"/>
      <c r="AP190" s="282"/>
      <c r="AQ190" s="282"/>
      <c r="AR190" s="282"/>
      <c r="AS190" s="28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</row>
    <row r="191" s="163" customFormat="1" ht="15" customHeight="1" spans="1:55">
      <c r="A191" s="190">
        <v>42921</v>
      </c>
      <c r="B191" s="191" t="s">
        <v>36</v>
      </c>
      <c r="C191" s="192">
        <f>72500+4014</f>
        <v>76514</v>
      </c>
      <c r="D191" s="193">
        <f>32643+13715</f>
        <v>46358</v>
      </c>
      <c r="E191" s="193">
        <f>91503+32643</f>
        <v>124146</v>
      </c>
      <c r="F191" s="194">
        <v>6258</v>
      </c>
      <c r="G191" s="193">
        <v>4026</v>
      </c>
      <c r="H191" s="195"/>
      <c r="I191" s="195"/>
      <c r="J191" s="220">
        <f t="shared" si="43"/>
        <v>77788</v>
      </c>
      <c r="K191" s="193">
        <v>197</v>
      </c>
      <c r="L191" s="193">
        <v>555</v>
      </c>
      <c r="M191" s="221">
        <f t="shared" si="44"/>
        <v>522</v>
      </c>
      <c r="N191" s="222">
        <f t="shared" si="59"/>
        <v>349945</v>
      </c>
      <c r="O191" s="225">
        <f t="shared" si="59"/>
        <v>244458</v>
      </c>
      <c r="P191" s="224">
        <f t="shared" si="59"/>
        <v>600390</v>
      </c>
      <c r="Q191" s="242">
        <f t="shared" si="58"/>
        <v>11928267</v>
      </c>
      <c r="R191" s="223">
        <f t="shared" si="58"/>
        <v>6149749</v>
      </c>
      <c r="S191" s="243">
        <f t="shared" si="58"/>
        <v>18377070.74</v>
      </c>
      <c r="T191" s="244">
        <f>N191/'2017'!N191-1</f>
        <v>0.428096293303624</v>
      </c>
      <c r="U191" s="245">
        <f>O191/'2017'!O191-1</f>
        <v>0.0213624684033509</v>
      </c>
      <c r="V191" s="245">
        <f>P191/'2017'!P191-1</f>
        <v>0.184341342170671</v>
      </c>
      <c r="W191" s="245">
        <f>Q191/'2017'!Q191-1</f>
        <v>0.120353584392859</v>
      </c>
      <c r="X191" s="245">
        <f>R191/'2017'!R191-1</f>
        <v>0.152995642436021</v>
      </c>
      <c r="Y191" s="267">
        <f>S191/'2017'!S191-1</f>
        <v>0.12055241145869</v>
      </c>
      <c r="Z191" s="268">
        <v>55.49</v>
      </c>
      <c r="AA191" s="269">
        <f t="shared" si="49"/>
        <v>1137.3367</v>
      </c>
      <c r="AB191" s="270">
        <v>4283.88</v>
      </c>
      <c r="AC191" s="221">
        <f t="shared" si="50"/>
        <v>2654.92193992362</v>
      </c>
      <c r="AD191" s="270">
        <f t="shared" si="45"/>
        <v>12227321.74</v>
      </c>
      <c r="AE191" s="193">
        <f t="shared" si="47"/>
        <v>114006.77</v>
      </c>
      <c r="AF191" s="193">
        <f t="shared" si="57"/>
        <v>44510.07</v>
      </c>
      <c r="AG191" s="221">
        <f t="shared" si="46"/>
        <v>140537.899999998</v>
      </c>
      <c r="AH191" s="281"/>
      <c r="AI191" s="282"/>
      <c r="AJ191" s="282"/>
      <c r="AK191" s="282"/>
      <c r="AL191" s="282"/>
      <c r="AM191" s="282"/>
      <c r="AN191" s="282"/>
      <c r="AO191" s="282"/>
      <c r="AP191" s="282"/>
      <c r="AQ191" s="282"/>
      <c r="AR191" s="282"/>
      <c r="AS191" s="28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</row>
    <row r="192" ht="15" customHeight="1" spans="1:55">
      <c r="A192" s="189">
        <v>42922</v>
      </c>
      <c r="B192" s="184" t="s">
        <v>37</v>
      </c>
      <c r="C192" s="185">
        <f>68340+4151</f>
        <v>72491</v>
      </c>
      <c r="D192" s="186">
        <f>13874+33956</f>
        <v>47830</v>
      </c>
      <c r="E192" s="186">
        <f>88067+33956</f>
        <v>122023</v>
      </c>
      <c r="F192" s="187">
        <v>6105</v>
      </c>
      <c r="G192" s="186">
        <v>3937</v>
      </c>
      <c r="H192" s="188"/>
      <c r="I192" s="188"/>
      <c r="J192" s="214">
        <f t="shared" si="43"/>
        <v>74193</v>
      </c>
      <c r="K192" s="186">
        <v>517</v>
      </c>
      <c r="L192" s="186">
        <v>579</v>
      </c>
      <c r="M192" s="215">
        <f t="shared" si="44"/>
        <v>606</v>
      </c>
      <c r="N192" s="216">
        <f t="shared" si="59"/>
        <v>422436</v>
      </c>
      <c r="O192" s="219">
        <f t="shared" si="59"/>
        <v>292288</v>
      </c>
      <c r="P192" s="218">
        <f t="shared" si="59"/>
        <v>722413</v>
      </c>
      <c r="Q192" s="238">
        <f t="shared" si="58"/>
        <v>12000758</v>
      </c>
      <c r="R192" s="217">
        <f t="shared" si="58"/>
        <v>6197579</v>
      </c>
      <c r="S192" s="239">
        <f t="shared" si="58"/>
        <v>18499093.74</v>
      </c>
      <c r="T192" s="240">
        <f>N192/'2017'!N192-1</f>
        <v>0.402356315543118</v>
      </c>
      <c r="U192" s="241">
        <f>O192/'2017'!O192-1</f>
        <v>0.0075005515111406</v>
      </c>
      <c r="V192" s="241">
        <f>P192/'2017'!P192-1</f>
        <v>0.167292798753876</v>
      </c>
      <c r="W192" s="241">
        <f>Q192/'2017'!Q192-1</f>
        <v>0.121244761841479</v>
      </c>
      <c r="X192" s="241">
        <f>R192/'2017'!R192-1</f>
        <v>0.151007683006032</v>
      </c>
      <c r="Y192" s="262">
        <f>S192/'2017'!S192-1</f>
        <v>0.12034586307432</v>
      </c>
      <c r="Z192" s="263"/>
      <c r="AA192" s="264">
        <f t="shared" si="49"/>
        <v>1200.0758</v>
      </c>
      <c r="AB192" s="265"/>
      <c r="AC192" s="266"/>
      <c r="AD192" s="265">
        <f t="shared" si="45"/>
        <v>12301514.74</v>
      </c>
      <c r="AE192" s="186">
        <f t="shared" si="47"/>
        <v>114523.77</v>
      </c>
      <c r="AF192" s="186">
        <f t="shared" si="57"/>
        <v>45089.07</v>
      </c>
      <c r="AG192" s="266">
        <f t="shared" si="46"/>
        <v>141143.899999998</v>
      </c>
      <c r="AH192" s="281"/>
      <c r="AI192" s="282"/>
      <c r="AJ192" s="282"/>
      <c r="AK192" s="282"/>
      <c r="AL192" s="282"/>
      <c r="AM192" s="282"/>
      <c r="AN192" s="282"/>
      <c r="AO192" s="282"/>
      <c r="AP192" s="282"/>
      <c r="AQ192" s="282"/>
      <c r="AR192" s="282"/>
      <c r="AS192" s="28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</row>
    <row r="193" ht="15" customHeight="1" spans="1:55">
      <c r="A193" s="189">
        <v>42923</v>
      </c>
      <c r="B193" s="184" t="s">
        <v>38</v>
      </c>
      <c r="C193" s="185">
        <f>64006+4183</f>
        <v>68189</v>
      </c>
      <c r="D193" s="186">
        <f>14123+34711</f>
        <v>48834</v>
      </c>
      <c r="E193" s="186">
        <f>85637+34711</f>
        <v>120348</v>
      </c>
      <c r="F193" s="187">
        <v>5892</v>
      </c>
      <c r="G193" s="186">
        <v>3903</v>
      </c>
      <c r="H193" s="188"/>
      <c r="I193" s="188"/>
      <c r="J193" s="214">
        <f t="shared" si="43"/>
        <v>71514</v>
      </c>
      <c r="K193" s="186">
        <v>1585</v>
      </c>
      <c r="L193" s="186">
        <v>823</v>
      </c>
      <c r="M193" s="215">
        <f t="shared" si="44"/>
        <v>917</v>
      </c>
      <c r="N193" s="216">
        <f t="shared" si="59"/>
        <v>490625</v>
      </c>
      <c r="O193" s="219">
        <f t="shared" si="59"/>
        <v>341122</v>
      </c>
      <c r="P193" s="218">
        <f t="shared" si="59"/>
        <v>842761</v>
      </c>
      <c r="Q193" s="238">
        <f t="shared" si="58"/>
        <v>12068947</v>
      </c>
      <c r="R193" s="217">
        <f t="shared" si="58"/>
        <v>6246413</v>
      </c>
      <c r="S193" s="239">
        <f t="shared" si="58"/>
        <v>18619441.74</v>
      </c>
      <c r="T193" s="240">
        <f>N193/'2017'!N193-1</f>
        <v>0.35434120703029</v>
      </c>
      <c r="U193" s="241">
        <f>O193/'2017'!O193-1</f>
        <v>-0.00141099050362403</v>
      </c>
      <c r="V193" s="241">
        <f>P193/'2017'!P193-1</f>
        <v>0.144646681960115</v>
      </c>
      <c r="W193" s="241">
        <f>Q193/'2017'!Q193-1</f>
        <v>0.121222621074243</v>
      </c>
      <c r="X193" s="241">
        <f>R193/'2017'!R193-1</f>
        <v>0.149088304890403</v>
      </c>
      <c r="Y193" s="262">
        <f>S193/'2017'!S193-1</f>
        <v>0.119674598700747</v>
      </c>
      <c r="Z193" s="263"/>
      <c r="AA193" s="264">
        <f t="shared" si="49"/>
        <v>1206.8947</v>
      </c>
      <c r="AB193" s="265"/>
      <c r="AC193" s="266"/>
      <c r="AD193" s="265">
        <f t="shared" si="45"/>
        <v>12373028.74</v>
      </c>
      <c r="AE193" s="186">
        <f t="shared" si="47"/>
        <v>116108.77</v>
      </c>
      <c r="AF193" s="186">
        <f t="shared" si="57"/>
        <v>45912.07</v>
      </c>
      <c r="AG193" s="266">
        <f t="shared" si="46"/>
        <v>142060.899999998</v>
      </c>
      <c r="AH193" s="281"/>
      <c r="AI193" s="282"/>
      <c r="AJ193" s="282"/>
      <c r="AK193" s="282"/>
      <c r="AL193" s="282"/>
      <c r="AM193" s="282"/>
      <c r="AN193" s="282"/>
      <c r="AO193" s="282"/>
      <c r="AP193" s="282"/>
      <c r="AQ193" s="282"/>
      <c r="AR193" s="282"/>
      <c r="AS193" s="28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</row>
    <row r="194" ht="15" customHeight="1" spans="1:55">
      <c r="A194" s="189">
        <v>42924</v>
      </c>
      <c r="B194" s="184" t="s">
        <v>1</v>
      </c>
      <c r="C194" s="185">
        <f>62119+3414</f>
        <v>65533</v>
      </c>
      <c r="D194" s="186">
        <f>14337+34245</f>
        <v>48582</v>
      </c>
      <c r="E194" s="186">
        <f>83807+34245</f>
        <v>118052</v>
      </c>
      <c r="F194" s="187">
        <v>5557</v>
      </c>
      <c r="G194" s="186">
        <v>4011</v>
      </c>
      <c r="H194" s="188"/>
      <c r="I194" s="188"/>
      <c r="J194" s="214">
        <f t="shared" si="43"/>
        <v>69470</v>
      </c>
      <c r="K194" s="186">
        <v>2090</v>
      </c>
      <c r="L194" s="186">
        <v>633</v>
      </c>
      <c r="M194" s="215">
        <f t="shared" si="44"/>
        <v>1214</v>
      </c>
      <c r="N194" s="216">
        <f t="shared" si="59"/>
        <v>556158</v>
      </c>
      <c r="O194" s="219">
        <f t="shared" si="59"/>
        <v>389704</v>
      </c>
      <c r="P194" s="218">
        <f t="shared" si="59"/>
        <v>960813</v>
      </c>
      <c r="Q194" s="238">
        <f t="shared" si="58"/>
        <v>12134480</v>
      </c>
      <c r="R194" s="217">
        <f t="shared" si="58"/>
        <v>6294995</v>
      </c>
      <c r="S194" s="239">
        <f t="shared" si="58"/>
        <v>18737493.74</v>
      </c>
      <c r="T194" s="240">
        <f>N194/'2017'!N194-1</f>
        <v>0.316795980651439</v>
      </c>
      <c r="U194" s="241">
        <f>O194/'2017'!O194-1</f>
        <v>-0.00995874235310856</v>
      </c>
      <c r="V194" s="241">
        <f>P194/'2017'!P194-1</f>
        <v>0.126495740524925</v>
      </c>
      <c r="W194" s="241">
        <f>Q194/'2017'!Q194-1</f>
        <v>0.121051892877831</v>
      </c>
      <c r="X194" s="241">
        <f>R194/'2017'!R194-1</f>
        <v>0.147048656949818</v>
      </c>
      <c r="Y194" s="262">
        <f>S194/'2017'!S194-1</f>
        <v>0.118924083651007</v>
      </c>
      <c r="Z194" s="263"/>
      <c r="AA194" s="264">
        <f t="shared" si="49"/>
        <v>1213.448</v>
      </c>
      <c r="AB194" s="265"/>
      <c r="AC194" s="266"/>
      <c r="AD194" s="265">
        <f t="shared" si="45"/>
        <v>12442498.74</v>
      </c>
      <c r="AE194" s="186">
        <f t="shared" si="47"/>
        <v>118198.77</v>
      </c>
      <c r="AF194" s="186">
        <f t="shared" si="57"/>
        <v>46545.07</v>
      </c>
      <c r="AG194" s="266">
        <f t="shared" si="46"/>
        <v>143274.899999998</v>
      </c>
      <c r="AH194" s="281"/>
      <c r="AI194" s="282"/>
      <c r="AJ194" s="282"/>
      <c r="AK194" s="282"/>
      <c r="AL194" s="282"/>
      <c r="AM194" s="282"/>
      <c r="AN194" s="282"/>
      <c r="AO194" s="282"/>
      <c r="AP194" s="282"/>
      <c r="AQ194" s="282"/>
      <c r="AR194" s="282"/>
      <c r="AS194" s="28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</row>
    <row r="195" ht="15" customHeight="1" spans="1:55">
      <c r="A195" s="189">
        <v>42925</v>
      </c>
      <c r="B195" s="184" t="s">
        <v>39</v>
      </c>
      <c r="C195" s="185">
        <v>74809</v>
      </c>
      <c r="D195" s="186">
        <f>37800+10795</f>
        <v>48595</v>
      </c>
      <c r="E195" s="186">
        <f>127918</f>
        <v>127918</v>
      </c>
      <c r="F195" s="187">
        <v>6285</v>
      </c>
      <c r="G195" s="186">
        <v>4404.8</v>
      </c>
      <c r="H195" s="188"/>
      <c r="I195" s="188"/>
      <c r="J195" s="214">
        <f t="shared" si="43"/>
        <v>79323</v>
      </c>
      <c r="K195" s="186">
        <v>2262</v>
      </c>
      <c r="L195" s="186">
        <v>990</v>
      </c>
      <c r="M195" s="215">
        <f t="shared" si="44"/>
        <v>1262</v>
      </c>
      <c r="N195" s="216">
        <f t="shared" si="59"/>
        <v>630967</v>
      </c>
      <c r="O195" s="219">
        <f t="shared" si="59"/>
        <v>438299</v>
      </c>
      <c r="P195" s="218">
        <f t="shared" si="59"/>
        <v>1088731</v>
      </c>
      <c r="Q195" s="238">
        <f t="shared" si="58"/>
        <v>12209289</v>
      </c>
      <c r="R195" s="217">
        <f t="shared" si="58"/>
        <v>6343590</v>
      </c>
      <c r="S195" s="239">
        <f t="shared" si="58"/>
        <v>18865411.74</v>
      </c>
      <c r="T195" s="240">
        <f>N195/'2017'!N195-1</f>
        <v>0.325741960561841</v>
      </c>
      <c r="U195" s="241">
        <f>O195/'2017'!O195-1</f>
        <v>-0.015100478855959</v>
      </c>
      <c r="V195" s="241">
        <f>P195/'2017'!P195-1</f>
        <v>0.131525286328961</v>
      </c>
      <c r="W195" s="241">
        <f>Q195/'2017'!Q195-1</f>
        <v>0.122407435678284</v>
      </c>
      <c r="X195" s="241">
        <f>R195/'2017'!R195-1</f>
        <v>0.145178853692863</v>
      </c>
      <c r="Y195" s="262">
        <f>S195/'2017'!S195-1</f>
        <v>0.119260275192069</v>
      </c>
      <c r="Z195" s="263"/>
      <c r="AA195" s="264">
        <f t="shared" si="49"/>
        <v>1220.9289</v>
      </c>
      <c r="AB195" s="265"/>
      <c r="AC195" s="266"/>
      <c r="AD195" s="265">
        <f t="shared" si="45"/>
        <v>12521821.74</v>
      </c>
      <c r="AE195" s="186">
        <f t="shared" si="47"/>
        <v>120460.77</v>
      </c>
      <c r="AF195" s="186">
        <f t="shared" si="57"/>
        <v>47535.07</v>
      </c>
      <c r="AG195" s="266">
        <f t="shared" si="46"/>
        <v>144536.899999998</v>
      </c>
      <c r="AH195" s="281"/>
      <c r="AI195" s="282"/>
      <c r="AJ195" s="282"/>
      <c r="AK195" s="282"/>
      <c r="AL195" s="282"/>
      <c r="AM195" s="282"/>
      <c r="AN195" s="282"/>
      <c r="AO195" s="282"/>
      <c r="AP195" s="282"/>
      <c r="AQ195" s="282"/>
      <c r="AR195" s="282"/>
      <c r="AS195" s="28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</row>
    <row r="196" ht="15" customHeight="1" spans="1:55">
      <c r="A196" s="189">
        <v>42926</v>
      </c>
      <c r="B196" s="184" t="s">
        <v>34</v>
      </c>
      <c r="C196" s="185">
        <v>74470</v>
      </c>
      <c r="D196" s="186">
        <f>39305+10638</f>
        <v>49943</v>
      </c>
      <c r="E196" s="186">
        <v>128793</v>
      </c>
      <c r="F196" s="187">
        <v>6232.4</v>
      </c>
      <c r="G196" s="186">
        <v>4226.6</v>
      </c>
      <c r="H196" s="188"/>
      <c r="I196" s="188"/>
      <c r="J196" s="214">
        <f t="shared" si="43"/>
        <v>78850</v>
      </c>
      <c r="K196" s="186">
        <v>2052</v>
      </c>
      <c r="L196" s="186">
        <v>1066</v>
      </c>
      <c r="M196" s="215">
        <f t="shared" si="44"/>
        <v>1262</v>
      </c>
      <c r="N196" s="216">
        <f t="shared" si="59"/>
        <v>705437</v>
      </c>
      <c r="O196" s="219">
        <f t="shared" si="59"/>
        <v>488242</v>
      </c>
      <c r="P196" s="218">
        <f t="shared" si="59"/>
        <v>1217524</v>
      </c>
      <c r="Q196" s="238">
        <f t="shared" si="58"/>
        <v>12283759</v>
      </c>
      <c r="R196" s="217">
        <f t="shared" si="58"/>
        <v>6393533</v>
      </c>
      <c r="S196" s="239">
        <f t="shared" si="58"/>
        <v>18994204.74</v>
      </c>
      <c r="T196" s="240">
        <f>N196/'2017'!N196-1</f>
        <v>0.306897254436993</v>
      </c>
      <c r="U196" s="241">
        <f>O196/'2017'!O196-1</f>
        <v>-0.011183480367139</v>
      </c>
      <c r="V196" s="241">
        <f>P196/'2017'!P196-1</f>
        <v>0.128396475950568</v>
      </c>
      <c r="W196" s="241">
        <f>Q196/'2017'!Q196-1</f>
        <v>0.122664243972332</v>
      </c>
      <c r="X196" s="241">
        <f>R196/'2017'!R196-1</f>
        <v>0.144126848806211</v>
      </c>
      <c r="Y196" s="262">
        <f>S196/'2017'!S196-1</f>
        <v>0.119145774290973</v>
      </c>
      <c r="Z196" s="263"/>
      <c r="AA196" s="264">
        <f t="shared" si="49"/>
        <v>1228.3759</v>
      </c>
      <c r="AB196" s="265"/>
      <c r="AC196" s="266"/>
      <c r="AD196" s="265">
        <f t="shared" si="45"/>
        <v>12600671.74</v>
      </c>
      <c r="AE196" s="186">
        <f t="shared" si="47"/>
        <v>122512.77</v>
      </c>
      <c r="AF196" s="186">
        <f t="shared" si="57"/>
        <v>48601.07</v>
      </c>
      <c r="AG196" s="266">
        <f t="shared" si="46"/>
        <v>145798.899999998</v>
      </c>
      <c r="AH196" s="281"/>
      <c r="AI196" s="282"/>
      <c r="AJ196" s="282"/>
      <c r="AK196" s="282"/>
      <c r="AL196" s="282"/>
      <c r="AM196" s="282"/>
      <c r="AN196" s="282"/>
      <c r="AO196" s="282"/>
      <c r="AP196" s="282"/>
      <c r="AQ196" s="282"/>
      <c r="AR196" s="282"/>
      <c r="AS196" s="28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</row>
    <row r="197" ht="15" customHeight="1" spans="1:55">
      <c r="A197" s="189">
        <v>42927</v>
      </c>
      <c r="B197" s="184" t="s">
        <v>35</v>
      </c>
      <c r="C197" s="185">
        <v>76574</v>
      </c>
      <c r="D197" s="186">
        <f>27953+10603</f>
        <v>38556</v>
      </c>
      <c r="E197" s="186">
        <v>119074</v>
      </c>
      <c r="F197" s="187">
        <v>5691.2</v>
      </c>
      <c r="G197" s="186">
        <v>4120.3</v>
      </c>
      <c r="H197" s="188"/>
      <c r="I197" s="188"/>
      <c r="J197" s="214">
        <f t="shared" ref="J197:J260" si="60">E197-D197</f>
        <v>80518</v>
      </c>
      <c r="K197" s="186">
        <v>1674</v>
      </c>
      <c r="L197" s="186">
        <v>1066</v>
      </c>
      <c r="M197" s="215">
        <f t="shared" si="44"/>
        <v>1204</v>
      </c>
      <c r="N197" s="216">
        <f t="shared" si="59"/>
        <v>782011</v>
      </c>
      <c r="O197" s="219">
        <f t="shared" si="59"/>
        <v>526798</v>
      </c>
      <c r="P197" s="218">
        <f t="shared" si="59"/>
        <v>1336598</v>
      </c>
      <c r="Q197" s="238">
        <f t="shared" si="58"/>
        <v>12360333</v>
      </c>
      <c r="R197" s="217">
        <f t="shared" si="58"/>
        <v>6432089</v>
      </c>
      <c r="S197" s="239">
        <f t="shared" si="58"/>
        <v>19113278.74</v>
      </c>
      <c r="T197" s="240">
        <f>N197/'2017'!N197-1</f>
        <v>0.287146492328254</v>
      </c>
      <c r="U197" s="241">
        <f>O197/'2017'!O197-1</f>
        <v>-0.0270768423832645</v>
      </c>
      <c r="V197" s="241">
        <f>P197/'2017'!P197-1</f>
        <v>0.11523872619288</v>
      </c>
      <c r="W197" s="241">
        <f>Q197/'2017'!Q197-1</f>
        <v>0.122708438392721</v>
      </c>
      <c r="X197" s="241">
        <f>R197/'2017'!R197-1</f>
        <v>0.141285539587085</v>
      </c>
      <c r="Y197" s="262">
        <f>S197/'2017'!S197-1</f>
        <v>0.118287811444403</v>
      </c>
      <c r="Z197" s="263"/>
      <c r="AA197" s="264">
        <f t="shared" si="49"/>
        <v>1236.0333</v>
      </c>
      <c r="AB197" s="265"/>
      <c r="AC197" s="266"/>
      <c r="AD197" s="265">
        <f t="shared" si="45"/>
        <v>12681189.74</v>
      </c>
      <c r="AE197" s="186">
        <f t="shared" si="47"/>
        <v>124186.77</v>
      </c>
      <c r="AF197" s="186">
        <f t="shared" si="57"/>
        <v>49667.07</v>
      </c>
      <c r="AG197" s="266">
        <f t="shared" si="46"/>
        <v>147002.899999998</v>
      </c>
      <c r="AH197" s="281"/>
      <c r="AI197" s="282"/>
      <c r="AJ197" s="282"/>
      <c r="AK197" s="282"/>
      <c r="AL197" s="282"/>
      <c r="AM197" s="282"/>
      <c r="AN197" s="282"/>
      <c r="AO197" s="282"/>
      <c r="AP197" s="282"/>
      <c r="AQ197" s="282"/>
      <c r="AR197" s="282"/>
      <c r="AS197" s="28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</row>
    <row r="198" s="163" customFormat="1" ht="15" customHeight="1" spans="1:55">
      <c r="A198" s="190">
        <v>42928</v>
      </c>
      <c r="B198" s="191" t="s">
        <v>36</v>
      </c>
      <c r="C198" s="192">
        <v>74735</v>
      </c>
      <c r="D198" s="193">
        <f>9656+37040</f>
        <v>46696</v>
      </c>
      <c r="E198" s="193">
        <v>124810</v>
      </c>
      <c r="F198" s="194">
        <v>6137</v>
      </c>
      <c r="G198" s="193">
        <v>3920</v>
      </c>
      <c r="H198" s="195"/>
      <c r="I198" s="195"/>
      <c r="J198" s="220">
        <f t="shared" si="60"/>
        <v>78114</v>
      </c>
      <c r="K198" s="193">
        <v>835</v>
      </c>
      <c r="L198" s="193">
        <v>1063</v>
      </c>
      <c r="M198" s="221">
        <f t="shared" ref="M198:M261" si="61">J198-K198-L198-C198</f>
        <v>1481</v>
      </c>
      <c r="N198" s="222">
        <f t="shared" si="59"/>
        <v>856746</v>
      </c>
      <c r="O198" s="225">
        <f t="shared" si="59"/>
        <v>573494</v>
      </c>
      <c r="P198" s="224">
        <f t="shared" si="59"/>
        <v>1461408</v>
      </c>
      <c r="Q198" s="242">
        <f t="shared" si="58"/>
        <v>12435068</v>
      </c>
      <c r="R198" s="223">
        <f t="shared" si="58"/>
        <v>6478785</v>
      </c>
      <c r="S198" s="243">
        <f t="shared" si="58"/>
        <v>19238088.74</v>
      </c>
      <c r="T198" s="244">
        <f>N198/'2017'!N198-1</f>
        <v>0.25884131692975</v>
      </c>
      <c r="U198" s="245">
        <f>O198/'2017'!O198-1</f>
        <v>-0.0269587008787155</v>
      </c>
      <c r="V198" s="245">
        <f>P198/'2017'!P198-1</f>
        <v>0.104594237305815</v>
      </c>
      <c r="W198" s="245">
        <f>Q198/'2017'!Q198-1</f>
        <v>0.122053773039839</v>
      </c>
      <c r="X198" s="245">
        <f>R198/'2017'!R198-1</f>
        <v>0.139878200174814</v>
      </c>
      <c r="Y198" s="267">
        <f>S198/'2017'!S198-1</f>
        <v>0.117447744015927</v>
      </c>
      <c r="Z198" s="268">
        <v>57.99</v>
      </c>
      <c r="AA198" s="269">
        <f t="shared" si="49"/>
        <v>1185.5168</v>
      </c>
      <c r="AB198" s="270">
        <v>4283.88</v>
      </c>
      <c r="AC198" s="221">
        <f t="shared" si="50"/>
        <v>2767.39030971923</v>
      </c>
      <c r="AD198" s="270">
        <f t="shared" ref="AD198:AD261" si="62">S198-R198</f>
        <v>12759303.74</v>
      </c>
      <c r="AE198" s="193">
        <f t="shared" si="47"/>
        <v>125021.77</v>
      </c>
      <c r="AF198" s="193">
        <f t="shared" si="57"/>
        <v>50730.07</v>
      </c>
      <c r="AG198" s="221">
        <f t="shared" ref="AG198:AG261" si="63">AD198-Q198-AE198-AF198</f>
        <v>148483.899999998</v>
      </c>
      <c r="AH198" s="281"/>
      <c r="AI198" s="282"/>
      <c r="AJ198" s="282"/>
      <c r="AK198" s="282"/>
      <c r="AL198" s="282"/>
      <c r="AM198" s="282"/>
      <c r="AN198" s="282"/>
      <c r="AO198" s="282"/>
      <c r="AP198" s="282"/>
      <c r="AQ198" s="282"/>
      <c r="AR198" s="282"/>
      <c r="AS198" s="28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</row>
    <row r="199" ht="15" customHeight="1" spans="1:55">
      <c r="A199" s="189">
        <v>42929</v>
      </c>
      <c r="B199" s="184" t="s">
        <v>37</v>
      </c>
      <c r="C199" s="185">
        <f>70498+4877</f>
        <v>75375</v>
      </c>
      <c r="D199" s="186">
        <f>39921+11214</f>
        <v>51135</v>
      </c>
      <c r="E199" s="186">
        <f>89841+39921</f>
        <v>129762</v>
      </c>
      <c r="F199" s="187">
        <v>6306</v>
      </c>
      <c r="G199" s="186">
        <v>4209</v>
      </c>
      <c r="H199" s="188"/>
      <c r="I199" s="188"/>
      <c r="J199" s="214">
        <f t="shared" si="60"/>
        <v>78627</v>
      </c>
      <c r="K199" s="186">
        <v>604</v>
      </c>
      <c r="L199" s="186">
        <v>1236</v>
      </c>
      <c r="M199" s="215">
        <f t="shared" si="61"/>
        <v>1412</v>
      </c>
      <c r="N199" s="216">
        <f t="shared" si="59"/>
        <v>932121</v>
      </c>
      <c r="O199" s="219">
        <f t="shared" si="59"/>
        <v>624629</v>
      </c>
      <c r="P199" s="218">
        <f t="shared" si="59"/>
        <v>1591170</v>
      </c>
      <c r="Q199" s="238">
        <f t="shared" si="58"/>
        <v>12510443</v>
      </c>
      <c r="R199" s="217">
        <f t="shared" si="58"/>
        <v>6529920</v>
      </c>
      <c r="S199" s="239">
        <f t="shared" si="58"/>
        <v>19367850.74</v>
      </c>
      <c r="T199" s="240">
        <f>N199/'2017'!N199-1</f>
        <v>0.235422056578166</v>
      </c>
      <c r="U199" s="241">
        <f>O199/'2017'!O199-1</f>
        <v>-0.0233396293678739</v>
      </c>
      <c r="V199" s="241">
        <f>P199/'2017'!P199-1</f>
        <v>0.097376784167462</v>
      </c>
      <c r="W199" s="241">
        <f>Q199/'2017'!Q199-1</f>
        <v>0.121376188169949</v>
      </c>
      <c r="X199" s="241">
        <f>R199/'2017'!R199-1</f>
        <v>0.138822011100599</v>
      </c>
      <c r="Y199" s="262">
        <f>S199/'2017'!S199-1</f>
        <v>0.116750238303064</v>
      </c>
      <c r="Z199" s="263"/>
      <c r="AA199" s="264">
        <f t="shared" si="49"/>
        <v>1251.0443</v>
      </c>
      <c r="AB199" s="265"/>
      <c r="AC199" s="266"/>
      <c r="AD199" s="265">
        <f t="shared" si="62"/>
        <v>12837930.74</v>
      </c>
      <c r="AE199" s="186">
        <f t="shared" ref="AE199:AE262" si="64">AE198+K199</f>
        <v>125625.77</v>
      </c>
      <c r="AF199" s="186">
        <f t="shared" ref="AF199:AF214" si="65">AF198+L199</f>
        <v>51966.07</v>
      </c>
      <c r="AG199" s="266">
        <f t="shared" si="63"/>
        <v>149895.899999998</v>
      </c>
      <c r="AH199" s="281"/>
      <c r="AI199" s="282"/>
      <c r="AJ199" s="282"/>
      <c r="AK199" s="282"/>
      <c r="AL199" s="282"/>
      <c r="AM199" s="282"/>
      <c r="AN199" s="282"/>
      <c r="AO199" s="282"/>
      <c r="AP199" s="282"/>
      <c r="AQ199" s="282"/>
      <c r="AR199" s="282"/>
      <c r="AS199" s="28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</row>
    <row r="200" ht="15" customHeight="1" spans="1:55">
      <c r="A200" s="189">
        <v>42930</v>
      </c>
      <c r="B200" s="184" t="s">
        <v>38</v>
      </c>
      <c r="C200" s="185">
        <f>68350+4865</f>
        <v>73215</v>
      </c>
      <c r="D200" s="186">
        <f>13743+37827</f>
        <v>51570</v>
      </c>
      <c r="E200" s="186">
        <f>90089+37827</f>
        <v>127916</v>
      </c>
      <c r="F200" s="187">
        <v>6150</v>
      </c>
      <c r="G200" s="186">
        <v>4267</v>
      </c>
      <c r="H200" s="188"/>
      <c r="I200" s="188"/>
      <c r="J200" s="214">
        <f t="shared" si="60"/>
        <v>76346</v>
      </c>
      <c r="K200" s="186">
        <v>442</v>
      </c>
      <c r="L200" s="186">
        <v>1300</v>
      </c>
      <c r="M200" s="215">
        <f t="shared" si="61"/>
        <v>1389</v>
      </c>
      <c r="N200" s="216">
        <f t="shared" si="59"/>
        <v>1005336</v>
      </c>
      <c r="O200" s="219">
        <f t="shared" si="59"/>
        <v>676199</v>
      </c>
      <c r="P200" s="218">
        <f t="shared" si="59"/>
        <v>1719086</v>
      </c>
      <c r="Q200" s="238">
        <f t="shared" si="58"/>
        <v>12583658</v>
      </c>
      <c r="R200" s="217">
        <f t="shared" si="58"/>
        <v>6581490</v>
      </c>
      <c r="S200" s="239">
        <f t="shared" si="58"/>
        <v>19495766.74</v>
      </c>
      <c r="T200" s="240">
        <f>N200/'2017'!N200-1</f>
        <v>0.212677106277035</v>
      </c>
      <c r="U200" s="241">
        <f>O200/'2017'!O200-1</f>
        <v>-0.0205096486170944</v>
      </c>
      <c r="V200" s="241">
        <f>P200/'2017'!P200-1</f>
        <v>0.0892769565134743</v>
      </c>
      <c r="W200" s="241">
        <f>Q200/'2017'!Q200-1</f>
        <v>0.120454025011345</v>
      </c>
      <c r="X200" s="241">
        <f>R200/'2017'!R200-1</f>
        <v>0.137735626936241</v>
      </c>
      <c r="Y200" s="262">
        <f>S200/'2017'!S200-1</f>
        <v>0.115876402353952</v>
      </c>
      <c r="Z200" s="263"/>
      <c r="AA200" s="264">
        <f t="shared" si="49"/>
        <v>1258.3658</v>
      </c>
      <c r="AB200" s="265"/>
      <c r="AC200" s="266"/>
      <c r="AD200" s="265">
        <f t="shared" si="62"/>
        <v>12914276.74</v>
      </c>
      <c r="AE200" s="186">
        <f t="shared" si="64"/>
        <v>126067.77</v>
      </c>
      <c r="AF200" s="186">
        <f t="shared" si="65"/>
        <v>53266.07</v>
      </c>
      <c r="AG200" s="266">
        <f t="shared" si="63"/>
        <v>151284.899999998</v>
      </c>
      <c r="AH200" s="281"/>
      <c r="AI200" s="282"/>
      <c r="AJ200" s="282"/>
      <c r="AK200" s="282"/>
      <c r="AL200" s="282"/>
      <c r="AM200" s="282"/>
      <c r="AN200" s="282"/>
      <c r="AO200" s="282"/>
      <c r="AP200" s="282"/>
      <c r="AQ200" s="282"/>
      <c r="AR200" s="282"/>
      <c r="AS200" s="28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</row>
    <row r="201" ht="15" customHeight="1" spans="1:55">
      <c r="A201" s="189">
        <v>42931</v>
      </c>
      <c r="B201" s="184" t="s">
        <v>1</v>
      </c>
      <c r="C201" s="185">
        <v>65648</v>
      </c>
      <c r="D201" s="186">
        <f>10924+42012</f>
        <v>52936</v>
      </c>
      <c r="E201" s="186">
        <v>121502</v>
      </c>
      <c r="F201" s="187">
        <v>5630</v>
      </c>
      <c r="G201" s="186">
        <v>5630</v>
      </c>
      <c r="H201" s="188"/>
      <c r="I201" s="188"/>
      <c r="J201" s="214">
        <f t="shared" si="60"/>
        <v>68566</v>
      </c>
      <c r="K201" s="186">
        <v>302</v>
      </c>
      <c r="L201" s="186">
        <v>1307</v>
      </c>
      <c r="M201" s="215">
        <f t="shared" si="61"/>
        <v>1309</v>
      </c>
      <c r="N201" s="216">
        <f t="shared" si="59"/>
        <v>1070984</v>
      </c>
      <c r="O201" s="219">
        <f t="shared" si="59"/>
        <v>729135</v>
      </c>
      <c r="P201" s="218">
        <f t="shared" si="59"/>
        <v>1840588</v>
      </c>
      <c r="Q201" s="238">
        <f t="shared" si="58"/>
        <v>12649306</v>
      </c>
      <c r="R201" s="217">
        <f t="shared" si="58"/>
        <v>6634426</v>
      </c>
      <c r="S201" s="239">
        <f t="shared" si="58"/>
        <v>19617268.74</v>
      </c>
      <c r="T201" s="240">
        <f>N201/'2017'!N201-1</f>
        <v>0.190637072612159</v>
      </c>
      <c r="U201" s="241">
        <f>O201/'2017'!O201-1</f>
        <v>-0.0191637935325224</v>
      </c>
      <c r="V201" s="241">
        <f>P201/'2017'!P201-1</f>
        <v>0.0803107014024291</v>
      </c>
      <c r="W201" s="241">
        <f>Q201/'2017'!Q201-1</f>
        <v>0.119274964650052</v>
      </c>
      <c r="X201" s="241">
        <f>R201/'2017'!R201-1</f>
        <v>0.136469701511713</v>
      </c>
      <c r="Y201" s="262">
        <f>S201/'2017'!S201-1</f>
        <v>0.11481846349682</v>
      </c>
      <c r="Z201" s="263"/>
      <c r="AA201" s="264">
        <f t="shared" ref="AA201:AA264" si="66">Q201/10000-Z201</f>
        <v>1264.9306</v>
      </c>
      <c r="AB201" s="265"/>
      <c r="AC201" s="266"/>
      <c r="AD201" s="265">
        <f t="shared" si="62"/>
        <v>12982842.74</v>
      </c>
      <c r="AE201" s="186">
        <f t="shared" si="64"/>
        <v>126369.77</v>
      </c>
      <c r="AF201" s="186">
        <f t="shared" si="65"/>
        <v>54573.07</v>
      </c>
      <c r="AG201" s="266">
        <f t="shared" si="63"/>
        <v>152593.899999998</v>
      </c>
      <c r="AH201" s="281"/>
      <c r="AI201" s="282"/>
      <c r="AJ201" s="282"/>
      <c r="AK201" s="282"/>
      <c r="AL201" s="282"/>
      <c r="AM201" s="282"/>
      <c r="AN201" s="282"/>
      <c r="AO201" s="282"/>
      <c r="AP201" s="282"/>
      <c r="AQ201" s="282"/>
      <c r="AR201" s="282"/>
      <c r="AS201" s="28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</row>
    <row r="202" ht="15" customHeight="1" spans="1:55">
      <c r="A202" s="189">
        <v>42932</v>
      </c>
      <c r="B202" s="184" t="s">
        <v>39</v>
      </c>
      <c r="C202" s="185">
        <v>75777</v>
      </c>
      <c r="D202" s="186">
        <f>10493+41021</f>
        <v>51514</v>
      </c>
      <c r="E202" s="186">
        <v>130356</v>
      </c>
      <c r="F202" s="187">
        <v>6343</v>
      </c>
      <c r="G202" s="186">
        <v>4161</v>
      </c>
      <c r="H202" s="188"/>
      <c r="I202" s="188"/>
      <c r="J202" s="214">
        <f t="shared" si="60"/>
        <v>78842</v>
      </c>
      <c r="K202" s="186">
        <v>523</v>
      </c>
      <c r="L202" s="186">
        <v>1320</v>
      </c>
      <c r="M202" s="215">
        <f t="shared" si="61"/>
        <v>1222</v>
      </c>
      <c r="N202" s="216">
        <f t="shared" si="59"/>
        <v>1146761</v>
      </c>
      <c r="O202" s="219">
        <f t="shared" si="59"/>
        <v>780649</v>
      </c>
      <c r="P202" s="218">
        <f t="shared" si="59"/>
        <v>1970944</v>
      </c>
      <c r="Q202" s="238">
        <f t="shared" si="58"/>
        <v>12725083</v>
      </c>
      <c r="R202" s="217">
        <f t="shared" si="58"/>
        <v>6685940</v>
      </c>
      <c r="S202" s="239">
        <f t="shared" si="58"/>
        <v>19747624.74</v>
      </c>
      <c r="T202" s="240">
        <f>N202/'2017'!N202-1</f>
        <v>0.188662543314375</v>
      </c>
      <c r="U202" s="241">
        <f>O202/'2017'!O202-1</f>
        <v>-0.0194095975259421</v>
      </c>
      <c r="V202" s="241">
        <f>P202/'2017'!P202-1</f>
        <v>0.0802682386084916</v>
      </c>
      <c r="W202" s="241">
        <f>Q202/'2017'!Q202-1</f>
        <v>0.119516992017928</v>
      </c>
      <c r="X202" s="241">
        <f>R202/'2017'!R202-1</f>
        <v>0.135043553400662</v>
      </c>
      <c r="Y202" s="262">
        <f>S202/'2017'!S202-1</f>
        <v>0.114578936404351</v>
      </c>
      <c r="Z202" s="263"/>
      <c r="AA202" s="264">
        <f t="shared" si="66"/>
        <v>1272.5083</v>
      </c>
      <c r="AB202" s="265"/>
      <c r="AC202" s="266"/>
      <c r="AD202" s="265">
        <f t="shared" si="62"/>
        <v>13061684.74</v>
      </c>
      <c r="AE202" s="186">
        <f t="shared" si="64"/>
        <v>126892.77</v>
      </c>
      <c r="AF202" s="186">
        <f t="shared" si="65"/>
        <v>55893.07</v>
      </c>
      <c r="AG202" s="266">
        <f t="shared" si="63"/>
        <v>153815.899999998</v>
      </c>
      <c r="AH202" s="281"/>
      <c r="AI202" s="282"/>
      <c r="AJ202" s="282"/>
      <c r="AK202" s="282"/>
      <c r="AL202" s="282"/>
      <c r="AM202" s="282"/>
      <c r="AN202" s="282"/>
      <c r="AO202" s="282"/>
      <c r="AP202" s="282"/>
      <c r="AQ202" s="282"/>
      <c r="AR202" s="282"/>
      <c r="AS202" s="28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</row>
    <row r="203" ht="15" customHeight="1" spans="1:55">
      <c r="A203" s="189">
        <v>42933</v>
      </c>
      <c r="B203" s="184" t="s">
        <v>34</v>
      </c>
      <c r="C203" s="185">
        <v>80610</v>
      </c>
      <c r="D203" s="186">
        <f>10634+41051</f>
        <v>51685</v>
      </c>
      <c r="E203" s="186">
        <v>135246</v>
      </c>
      <c r="F203" s="187">
        <v>6524</v>
      </c>
      <c r="G203" s="186">
        <v>4403</v>
      </c>
      <c r="H203" s="188"/>
      <c r="I203" s="188"/>
      <c r="J203" s="214">
        <f t="shared" si="60"/>
        <v>83561</v>
      </c>
      <c r="K203" s="186">
        <v>410</v>
      </c>
      <c r="L203" s="186">
        <v>1298</v>
      </c>
      <c r="M203" s="215">
        <f t="shared" si="61"/>
        <v>1243</v>
      </c>
      <c r="N203" s="216">
        <f t="shared" si="59"/>
        <v>1227371</v>
      </c>
      <c r="O203" s="219">
        <f t="shared" si="59"/>
        <v>832334</v>
      </c>
      <c r="P203" s="218">
        <f t="shared" si="59"/>
        <v>2106190</v>
      </c>
      <c r="Q203" s="238">
        <f t="shared" ref="Q203:S216" si="67">Q$186+N203</f>
        <v>12805693</v>
      </c>
      <c r="R203" s="217">
        <f t="shared" si="67"/>
        <v>6737625</v>
      </c>
      <c r="S203" s="239">
        <f t="shared" si="67"/>
        <v>19882870.74</v>
      </c>
      <c r="T203" s="240">
        <f>N203/'2017'!N203-1</f>
        <v>0.182093281055723</v>
      </c>
      <c r="U203" s="241">
        <f>O203/'2017'!O203-1</f>
        <v>-0.020192186578488</v>
      </c>
      <c r="V203" s="241">
        <f>P203/'2017'!P203-1</f>
        <v>0.0780221051370849</v>
      </c>
      <c r="W203" s="241">
        <f>Q203/'2017'!Q203-1</f>
        <v>0.119365337120342</v>
      </c>
      <c r="X203" s="241">
        <f>R203/'2017'!R203-1</f>
        <v>0.133544453297657</v>
      </c>
      <c r="Y203" s="262">
        <f>S203/'2017'!S203-1</f>
        <v>0.114084542626129</v>
      </c>
      <c r="Z203" s="263"/>
      <c r="AA203" s="264">
        <f t="shared" si="66"/>
        <v>1280.5693</v>
      </c>
      <c r="AB203" s="265"/>
      <c r="AC203" s="266"/>
      <c r="AD203" s="265">
        <f t="shared" si="62"/>
        <v>13145245.74</v>
      </c>
      <c r="AE203" s="186">
        <f t="shared" si="64"/>
        <v>127302.77</v>
      </c>
      <c r="AF203" s="186">
        <f t="shared" si="65"/>
        <v>57191.07</v>
      </c>
      <c r="AG203" s="266">
        <f t="shared" si="63"/>
        <v>155058.899999998</v>
      </c>
      <c r="AH203" s="281"/>
      <c r="AI203" s="282"/>
      <c r="AJ203" s="282"/>
      <c r="AK203" s="282"/>
      <c r="AL203" s="282"/>
      <c r="AM203" s="282"/>
      <c r="AN203" s="282"/>
      <c r="AO203" s="282"/>
      <c r="AP203" s="282"/>
      <c r="AQ203" s="282"/>
      <c r="AR203" s="282"/>
      <c r="AS203" s="28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</row>
    <row r="204" ht="15" customHeight="1" spans="1:55">
      <c r="A204" s="189">
        <v>42934</v>
      </c>
      <c r="B204" s="184" t="s">
        <v>35</v>
      </c>
      <c r="C204" s="185">
        <v>79093</v>
      </c>
      <c r="D204" s="186">
        <f>10602+41873</f>
        <v>52475</v>
      </c>
      <c r="E204" s="186">
        <v>134719</v>
      </c>
      <c r="F204" s="187">
        <v>6487</v>
      </c>
      <c r="G204" s="186">
        <v>4440</v>
      </c>
      <c r="H204" s="188"/>
      <c r="I204" s="188"/>
      <c r="J204" s="214">
        <f t="shared" si="60"/>
        <v>82244</v>
      </c>
      <c r="K204" s="186">
        <v>493</v>
      </c>
      <c r="L204" s="186">
        <v>1389</v>
      </c>
      <c r="M204" s="215">
        <f t="shared" si="61"/>
        <v>1269</v>
      </c>
      <c r="N204" s="216">
        <f t="shared" ref="N204:P216" si="68">C204+N203</f>
        <v>1306464</v>
      </c>
      <c r="O204" s="219">
        <f t="shared" si="68"/>
        <v>884809</v>
      </c>
      <c r="P204" s="218">
        <f t="shared" si="68"/>
        <v>2240909</v>
      </c>
      <c r="Q204" s="238">
        <f t="shared" si="67"/>
        <v>12884786</v>
      </c>
      <c r="R204" s="217">
        <f t="shared" si="67"/>
        <v>6790100</v>
      </c>
      <c r="S204" s="239">
        <f t="shared" si="67"/>
        <v>20017589.74</v>
      </c>
      <c r="T204" s="240">
        <f>N204/'2017'!N204-1</f>
        <v>0.167645018983133</v>
      </c>
      <c r="U204" s="241">
        <f>O204/'2017'!O204-1</f>
        <v>-0.0185767511094695</v>
      </c>
      <c r="V204" s="241">
        <f>P204/'2017'!P204-1</f>
        <v>0.0731248644173068</v>
      </c>
      <c r="W204" s="241">
        <f>Q204/'2017'!Q204-1</f>
        <v>0.118400896217429</v>
      </c>
      <c r="X204" s="241">
        <f>R204/'2017'!R204-1</f>
        <v>0.132452268423593</v>
      </c>
      <c r="Y204" s="262">
        <f>S204/'2017'!S204-1</f>
        <v>0.113246157481843</v>
      </c>
      <c r="Z204" s="263"/>
      <c r="AA204" s="264">
        <f t="shared" si="66"/>
        <v>1288.4786</v>
      </c>
      <c r="AB204" s="265"/>
      <c r="AC204" s="266"/>
      <c r="AD204" s="265">
        <f t="shared" si="62"/>
        <v>13227489.74</v>
      </c>
      <c r="AE204" s="186">
        <f t="shared" si="64"/>
        <v>127795.77</v>
      </c>
      <c r="AF204" s="186">
        <f t="shared" si="65"/>
        <v>58580.07</v>
      </c>
      <c r="AG204" s="266">
        <f t="shared" si="63"/>
        <v>156327.899999998</v>
      </c>
      <c r="AH204" s="281"/>
      <c r="AI204" s="282"/>
      <c r="AJ204" s="282"/>
      <c r="AK204" s="282"/>
      <c r="AL204" s="282"/>
      <c r="AM204" s="282"/>
      <c r="AN204" s="282"/>
      <c r="AO204" s="282"/>
      <c r="AP204" s="282"/>
      <c r="AQ204" s="282"/>
      <c r="AR204" s="282"/>
      <c r="AS204" s="28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</row>
    <row r="205" s="163" customFormat="1" ht="15" customHeight="1" spans="1:55">
      <c r="A205" s="190">
        <v>42935</v>
      </c>
      <c r="B205" s="191" t="s">
        <v>36</v>
      </c>
      <c r="C205" s="192">
        <f>70339+6073</f>
        <v>76412</v>
      </c>
      <c r="D205" s="193">
        <f>43335+13286</f>
        <v>56621</v>
      </c>
      <c r="E205" s="193">
        <f>92585+43335</f>
        <v>135920</v>
      </c>
      <c r="F205" s="194">
        <v>6543</v>
      </c>
      <c r="G205" s="193">
        <v>4451</v>
      </c>
      <c r="H205" s="195"/>
      <c r="I205" s="195"/>
      <c r="J205" s="220">
        <f t="shared" si="60"/>
        <v>79299</v>
      </c>
      <c r="K205" s="193">
        <v>730</v>
      </c>
      <c r="L205" s="193">
        <v>970</v>
      </c>
      <c r="M205" s="221">
        <f t="shared" si="61"/>
        <v>1187</v>
      </c>
      <c r="N205" s="222">
        <f t="shared" si="68"/>
        <v>1382876</v>
      </c>
      <c r="O205" s="225">
        <f t="shared" si="68"/>
        <v>941430</v>
      </c>
      <c r="P205" s="224">
        <f t="shared" si="68"/>
        <v>2376829</v>
      </c>
      <c r="Q205" s="242">
        <f t="shared" si="67"/>
        <v>12961198</v>
      </c>
      <c r="R205" s="223">
        <f t="shared" si="67"/>
        <v>6846721</v>
      </c>
      <c r="S205" s="243">
        <f t="shared" si="67"/>
        <v>20153509.74</v>
      </c>
      <c r="T205" s="244">
        <f>N205/'2017'!N205-1</f>
        <v>0.150647682189738</v>
      </c>
      <c r="U205" s="245">
        <f>O205/'2017'!O205-1</f>
        <v>-0.0123592782710229</v>
      </c>
      <c r="V205" s="245">
        <f>P205/'2017'!P205-1</f>
        <v>0.068112939611551</v>
      </c>
      <c r="W205" s="245">
        <f>Q205/'2017'!Q205-1</f>
        <v>0.116992401026581</v>
      </c>
      <c r="X205" s="245">
        <f>R205/'2017'!R205-1</f>
        <v>0.132142278398963</v>
      </c>
      <c r="Y205" s="267">
        <f>S205/'2017'!S205-1</f>
        <v>0.1123271158737</v>
      </c>
      <c r="Z205" s="268">
        <v>61.51</v>
      </c>
      <c r="AA205" s="269">
        <f t="shared" si="66"/>
        <v>1234.6098</v>
      </c>
      <c r="AB205" s="270">
        <v>4283.88</v>
      </c>
      <c r="AC205" s="221">
        <f t="shared" ref="AC205:AC261" si="69">AA205*10000/AB205</f>
        <v>2881.989691588</v>
      </c>
      <c r="AD205" s="270">
        <f t="shared" si="62"/>
        <v>13306788.74</v>
      </c>
      <c r="AE205" s="193">
        <f t="shared" si="64"/>
        <v>128525.77</v>
      </c>
      <c r="AF205" s="193">
        <f t="shared" si="65"/>
        <v>59550.07</v>
      </c>
      <c r="AG205" s="221">
        <f t="shared" si="63"/>
        <v>157514.899999998</v>
      </c>
      <c r="AH205" s="281"/>
      <c r="AI205" s="282"/>
      <c r="AJ205" s="282"/>
      <c r="AK205" s="282"/>
      <c r="AL205" s="282"/>
      <c r="AM205" s="282"/>
      <c r="AN205" s="282"/>
      <c r="AO205" s="282"/>
      <c r="AP205" s="282"/>
      <c r="AQ205" s="282"/>
      <c r="AR205" s="282"/>
      <c r="AS205" s="28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</row>
    <row r="206" ht="15" customHeight="1" spans="1:55">
      <c r="A206" s="189">
        <v>42936</v>
      </c>
      <c r="B206" s="184" t="s">
        <v>37</v>
      </c>
      <c r="C206" s="185">
        <v>77620</v>
      </c>
      <c r="D206" s="186">
        <f>45277+10742</f>
        <v>56019</v>
      </c>
      <c r="E206" s="186">
        <v>135949</v>
      </c>
      <c r="F206" s="187">
        <v>6527.6</v>
      </c>
      <c r="G206" s="186">
        <v>4483.4</v>
      </c>
      <c r="H206" s="188"/>
      <c r="I206" s="188"/>
      <c r="J206" s="214">
        <f t="shared" si="60"/>
        <v>79930</v>
      </c>
      <c r="K206" s="186">
        <v>1045</v>
      </c>
      <c r="L206" s="186">
        <v>52</v>
      </c>
      <c r="M206" s="215">
        <f t="shared" si="61"/>
        <v>1213</v>
      </c>
      <c r="N206" s="216">
        <f t="shared" si="68"/>
        <v>1460496</v>
      </c>
      <c r="O206" s="219">
        <f t="shared" si="68"/>
        <v>997449</v>
      </c>
      <c r="P206" s="218">
        <f t="shared" si="68"/>
        <v>2512778</v>
      </c>
      <c r="Q206" s="238">
        <f t="shared" si="67"/>
        <v>13038818</v>
      </c>
      <c r="R206" s="217">
        <f t="shared" si="67"/>
        <v>6902740</v>
      </c>
      <c r="S206" s="239">
        <f t="shared" si="67"/>
        <v>20289458.74</v>
      </c>
      <c r="T206" s="240">
        <f>N206/'2017'!N206-1</f>
        <v>0.135353472535332</v>
      </c>
      <c r="U206" s="241">
        <f>O206/'2017'!O206-1</f>
        <v>-0.00727932855807789</v>
      </c>
      <c r="V206" s="241">
        <f>P206/'2017'!P206-1</f>
        <v>0.0631030459133552</v>
      </c>
      <c r="W206" s="241">
        <f>Q206/'2017'!Q206-1</f>
        <v>0.115552625093625</v>
      </c>
      <c r="X206" s="241">
        <f>R206/'2017'!R206-1</f>
        <v>0.131757764875395</v>
      </c>
      <c r="Y206" s="262">
        <f>S206/'2017'!S206-1</f>
        <v>0.111343408102765</v>
      </c>
      <c r="Z206" s="263"/>
      <c r="AA206" s="264">
        <f t="shared" si="66"/>
        <v>1303.8818</v>
      </c>
      <c r="AB206" s="265"/>
      <c r="AC206" s="266"/>
      <c r="AD206" s="265">
        <f t="shared" si="62"/>
        <v>13386718.74</v>
      </c>
      <c r="AE206" s="186">
        <f t="shared" si="64"/>
        <v>129570.77</v>
      </c>
      <c r="AF206" s="186">
        <f t="shared" si="65"/>
        <v>59602.07</v>
      </c>
      <c r="AG206" s="266">
        <f t="shared" si="63"/>
        <v>158727.899999998</v>
      </c>
      <c r="AH206" s="281"/>
      <c r="AI206" s="282"/>
      <c r="AJ206" s="282"/>
      <c r="AK206" s="282"/>
      <c r="AL206" s="282"/>
      <c r="AM206" s="282"/>
      <c r="AN206" s="282"/>
      <c r="AO206" s="282"/>
      <c r="AP206" s="282"/>
      <c r="AQ206" s="282"/>
      <c r="AR206" s="282"/>
      <c r="AS206" s="28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</row>
    <row r="207" ht="15" customHeight="1" spans="1:55">
      <c r="A207" s="189">
        <v>42937</v>
      </c>
      <c r="B207" s="184" t="s">
        <v>38</v>
      </c>
      <c r="C207" s="185">
        <v>73580</v>
      </c>
      <c r="D207" s="186">
        <f>43318+10550</f>
        <v>53868</v>
      </c>
      <c r="E207" s="186">
        <v>129444</v>
      </c>
      <c r="F207" s="187">
        <v>6244.5</v>
      </c>
      <c r="G207" s="186">
        <v>4472.8</v>
      </c>
      <c r="H207" s="188"/>
      <c r="I207" s="188"/>
      <c r="J207" s="214">
        <f t="shared" si="60"/>
        <v>75576</v>
      </c>
      <c r="K207" s="186">
        <v>876</v>
      </c>
      <c r="L207" s="186">
        <v>0</v>
      </c>
      <c r="M207" s="215">
        <f t="shared" si="61"/>
        <v>1120</v>
      </c>
      <c r="N207" s="216">
        <f t="shared" si="68"/>
        <v>1534076</v>
      </c>
      <c r="O207" s="219">
        <f t="shared" si="68"/>
        <v>1051317</v>
      </c>
      <c r="P207" s="218">
        <f t="shared" si="68"/>
        <v>2642222</v>
      </c>
      <c r="Q207" s="238">
        <f t="shared" si="67"/>
        <v>13112398</v>
      </c>
      <c r="R207" s="217">
        <f t="shared" si="67"/>
        <v>6956608</v>
      </c>
      <c r="S207" s="239">
        <f t="shared" si="67"/>
        <v>20418902.74</v>
      </c>
      <c r="T207" s="240">
        <f>N207/'2017'!N207-1</f>
        <v>0.117488557964844</v>
      </c>
      <c r="U207" s="241">
        <f>O207/'2017'!O207-1</f>
        <v>-0.00536054033035538</v>
      </c>
      <c r="V207" s="241">
        <f>P207/'2017'!P207-1</f>
        <v>0.0550239396842143</v>
      </c>
      <c r="W207" s="241">
        <f>Q207/'2017'!Q207-1</f>
        <v>0.113615086503019</v>
      </c>
      <c r="X207" s="241">
        <f>R207/'2017'!R207-1</f>
        <v>0.130907156670599</v>
      </c>
      <c r="Y207" s="262">
        <f>S207/'2017'!S207-1</f>
        <v>0.109874437392978</v>
      </c>
      <c r="Z207" s="263"/>
      <c r="AA207" s="264">
        <f t="shared" si="66"/>
        <v>1311.2398</v>
      </c>
      <c r="AB207" s="265"/>
      <c r="AC207" s="266"/>
      <c r="AD207" s="265">
        <f t="shared" si="62"/>
        <v>13462294.74</v>
      </c>
      <c r="AE207" s="186">
        <f t="shared" si="64"/>
        <v>130446.77</v>
      </c>
      <c r="AF207" s="186">
        <f t="shared" si="65"/>
        <v>59602.07</v>
      </c>
      <c r="AG207" s="266">
        <f t="shared" si="63"/>
        <v>159847.899999998</v>
      </c>
      <c r="AH207" s="281"/>
      <c r="AI207" s="282"/>
      <c r="AJ207" s="282"/>
      <c r="AK207" s="282"/>
      <c r="AL207" s="282"/>
      <c r="AM207" s="282"/>
      <c r="AN207" s="282"/>
      <c r="AO207" s="282"/>
      <c r="AP207" s="282"/>
      <c r="AQ207" s="282"/>
      <c r="AR207" s="282"/>
      <c r="AS207" s="28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</row>
    <row r="208" ht="15" customHeight="1" spans="1:55">
      <c r="A208" s="189">
        <v>42938</v>
      </c>
      <c r="B208" s="184" t="s">
        <v>1</v>
      </c>
      <c r="C208" s="185">
        <v>68887</v>
      </c>
      <c r="D208" s="186">
        <f>10536+36183</f>
        <v>46719</v>
      </c>
      <c r="E208" s="186">
        <v>117198</v>
      </c>
      <c r="F208" s="187">
        <v>5400.5</v>
      </c>
      <c r="G208" s="186">
        <v>4133.5</v>
      </c>
      <c r="H208" s="188"/>
      <c r="I208" s="188"/>
      <c r="J208" s="214">
        <f t="shared" si="60"/>
        <v>70479</v>
      </c>
      <c r="K208" s="186">
        <v>489</v>
      </c>
      <c r="L208" s="186">
        <v>0</v>
      </c>
      <c r="M208" s="215">
        <f t="shared" si="61"/>
        <v>1103</v>
      </c>
      <c r="N208" s="216">
        <f t="shared" si="68"/>
        <v>1602963</v>
      </c>
      <c r="O208" s="219">
        <f t="shared" si="68"/>
        <v>1098036</v>
      </c>
      <c r="P208" s="218">
        <f t="shared" si="68"/>
        <v>2759420</v>
      </c>
      <c r="Q208" s="238">
        <f t="shared" si="67"/>
        <v>13181285</v>
      </c>
      <c r="R208" s="217">
        <f t="shared" si="67"/>
        <v>7003327</v>
      </c>
      <c r="S208" s="239">
        <f t="shared" si="67"/>
        <v>20536100.74</v>
      </c>
      <c r="T208" s="240">
        <f>N208/'2017'!N208-1</f>
        <v>0.099928362338352</v>
      </c>
      <c r="U208" s="241">
        <f>O208/'2017'!O208-1</f>
        <v>-0.00978280866168146</v>
      </c>
      <c r="V208" s="241">
        <f>P208/'2017'!P208-1</f>
        <v>0.0439461286237937</v>
      </c>
      <c r="W208" s="241">
        <f>Q208/'2017'!Q208-1</f>
        <v>0.111484786373512</v>
      </c>
      <c r="X208" s="241">
        <f>R208/'2017'!R208-1</f>
        <v>0.128976522479415</v>
      </c>
      <c r="Y208" s="262">
        <f>S208/'2017'!S208-1</f>
        <v>0.107883915595942</v>
      </c>
      <c r="Z208" s="263"/>
      <c r="AA208" s="264">
        <f t="shared" si="66"/>
        <v>1318.1285</v>
      </c>
      <c r="AB208" s="265"/>
      <c r="AC208" s="266"/>
      <c r="AD208" s="265">
        <f t="shared" si="62"/>
        <v>13532773.74</v>
      </c>
      <c r="AE208" s="186">
        <f t="shared" si="64"/>
        <v>130935.77</v>
      </c>
      <c r="AF208" s="186">
        <f t="shared" si="65"/>
        <v>59602.07</v>
      </c>
      <c r="AG208" s="266">
        <f t="shared" si="63"/>
        <v>160950.899999998</v>
      </c>
      <c r="AH208" s="281"/>
      <c r="AI208" s="282"/>
      <c r="AJ208" s="282"/>
      <c r="AK208" s="282"/>
      <c r="AL208" s="282"/>
      <c r="AM208" s="282"/>
      <c r="AN208" s="282"/>
      <c r="AO208" s="282"/>
      <c r="AP208" s="282"/>
      <c r="AQ208" s="282"/>
      <c r="AR208" s="282"/>
      <c r="AS208" s="28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</row>
    <row r="209" ht="15" customHeight="1" spans="1:55">
      <c r="A209" s="189">
        <v>42939</v>
      </c>
      <c r="B209" s="184" t="s">
        <v>39</v>
      </c>
      <c r="C209" s="185">
        <v>74630</v>
      </c>
      <c r="D209" s="186">
        <f>10715+42237</f>
        <v>52952</v>
      </c>
      <c r="E209" s="186">
        <v>128857</v>
      </c>
      <c r="F209" s="187">
        <v>6411.2</v>
      </c>
      <c r="G209" s="186">
        <v>4024.2</v>
      </c>
      <c r="H209" s="188"/>
      <c r="I209" s="188"/>
      <c r="J209" s="214">
        <f t="shared" si="60"/>
        <v>75905</v>
      </c>
      <c r="K209" s="186">
        <v>356</v>
      </c>
      <c r="L209" s="186">
        <v>0</v>
      </c>
      <c r="M209" s="215">
        <f t="shared" si="61"/>
        <v>919</v>
      </c>
      <c r="N209" s="216">
        <f t="shared" si="68"/>
        <v>1677593</v>
      </c>
      <c r="O209" s="219">
        <f t="shared" si="68"/>
        <v>1150988</v>
      </c>
      <c r="P209" s="218">
        <f t="shared" si="68"/>
        <v>2888277</v>
      </c>
      <c r="Q209" s="238">
        <f t="shared" si="67"/>
        <v>13255915</v>
      </c>
      <c r="R209" s="217">
        <f t="shared" si="67"/>
        <v>7056279</v>
      </c>
      <c r="S209" s="239">
        <f t="shared" si="67"/>
        <v>20664957.74</v>
      </c>
      <c r="T209" s="240">
        <f>N209/'2017'!N209-1</f>
        <v>0.0914077305767844</v>
      </c>
      <c r="U209" s="241">
        <f>O209/'2017'!O209-1</f>
        <v>-0.00793316968225943</v>
      </c>
      <c r="V209" s="241">
        <f>P209/'2017'!P209-1</f>
        <v>0.0402799698318927</v>
      </c>
      <c r="W209" s="241">
        <f>Q209/'2017'!Q209-1</f>
        <v>0.110310585856532</v>
      </c>
      <c r="X209" s="241">
        <f>R209/'2017'!R209-1</f>
        <v>0.128181338386499</v>
      </c>
      <c r="Y209" s="262">
        <f>S209/'2017'!S209-1</f>
        <v>0.106882587679988</v>
      </c>
      <c r="Z209" s="263"/>
      <c r="AA209" s="264">
        <f t="shared" si="66"/>
        <v>1325.5915</v>
      </c>
      <c r="AB209" s="265"/>
      <c r="AC209" s="320"/>
      <c r="AD209" s="265">
        <f t="shared" si="62"/>
        <v>13608678.74</v>
      </c>
      <c r="AE209" s="186">
        <f t="shared" si="64"/>
        <v>131291.77</v>
      </c>
      <c r="AF209" s="186">
        <f t="shared" si="65"/>
        <v>59602.07</v>
      </c>
      <c r="AG209" s="266">
        <f t="shared" si="63"/>
        <v>161869.899999998</v>
      </c>
      <c r="AH209" s="281"/>
      <c r="AI209" s="282"/>
      <c r="AJ209" s="282"/>
      <c r="AK209" s="282"/>
      <c r="AL209" s="282"/>
      <c r="AM209" s="282"/>
      <c r="AN209" s="282"/>
      <c r="AO209" s="282"/>
      <c r="AP209" s="282"/>
      <c r="AQ209" s="282"/>
      <c r="AR209" s="282"/>
      <c r="AS209" s="28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</row>
    <row r="210" ht="15" customHeight="1" spans="1:55">
      <c r="A210" s="189">
        <v>42940</v>
      </c>
      <c r="B210" s="184" t="s">
        <v>34</v>
      </c>
      <c r="C210" s="185">
        <v>77019</v>
      </c>
      <c r="D210" s="186">
        <f>44407+10577</f>
        <v>54984</v>
      </c>
      <c r="E210" s="186">
        <v>133314</v>
      </c>
      <c r="F210" s="187">
        <v>6596.8</v>
      </c>
      <c r="G210" s="186">
        <v>4267.5</v>
      </c>
      <c r="H210" s="188"/>
      <c r="I210" s="188"/>
      <c r="J210" s="214">
        <f t="shared" si="60"/>
        <v>78330</v>
      </c>
      <c r="K210" s="186">
        <v>270</v>
      </c>
      <c r="L210" s="186">
        <v>0</v>
      </c>
      <c r="M210" s="215">
        <f t="shared" si="61"/>
        <v>1041</v>
      </c>
      <c r="N210" s="216">
        <f t="shared" si="68"/>
        <v>1754612</v>
      </c>
      <c r="O210" s="219">
        <f t="shared" si="68"/>
        <v>1205972</v>
      </c>
      <c r="P210" s="218">
        <f t="shared" si="68"/>
        <v>3021591</v>
      </c>
      <c r="Q210" s="238">
        <f t="shared" si="67"/>
        <v>13332934</v>
      </c>
      <c r="R210" s="217">
        <f t="shared" si="67"/>
        <v>7111263</v>
      </c>
      <c r="S210" s="239">
        <f t="shared" si="67"/>
        <v>20798271.74</v>
      </c>
      <c r="T210" s="240">
        <f>N210/'2017'!N210-1</f>
        <v>0.0792737311269864</v>
      </c>
      <c r="U210" s="241">
        <f>O210/'2017'!O210-1</f>
        <v>-0.00455718687602813</v>
      </c>
      <c r="V210" s="241">
        <f>P210/'2017'!P210-1</f>
        <v>0.0352083578866009</v>
      </c>
      <c r="W210" s="241">
        <f>Q210/'2017'!Q210-1</f>
        <v>0.108531152062471</v>
      </c>
      <c r="X210" s="241">
        <f>R210/'2017'!R210-1</f>
        <v>0.127722585746405</v>
      </c>
      <c r="Y210" s="262">
        <f>S210/'2017'!S210-1</f>
        <v>0.105591587602349</v>
      </c>
      <c r="Z210" s="263"/>
      <c r="AA210" s="264">
        <f t="shared" si="66"/>
        <v>1333.2934</v>
      </c>
      <c r="AB210" s="265"/>
      <c r="AC210" s="266"/>
      <c r="AD210" s="265">
        <f t="shared" si="62"/>
        <v>13687008.74</v>
      </c>
      <c r="AE210" s="186">
        <f t="shared" si="64"/>
        <v>131561.77</v>
      </c>
      <c r="AF210" s="186">
        <f t="shared" si="65"/>
        <v>59602.07</v>
      </c>
      <c r="AG210" s="266">
        <f t="shared" si="63"/>
        <v>162910.899999998</v>
      </c>
      <c r="AH210" s="281"/>
      <c r="AI210" s="282"/>
      <c r="AJ210" s="282"/>
      <c r="AK210" s="282"/>
      <c r="AL210" s="282"/>
      <c r="AM210" s="282"/>
      <c r="AN210" s="282"/>
      <c r="AO210" s="282"/>
      <c r="AP210" s="282"/>
      <c r="AQ210" s="282"/>
      <c r="AR210" s="282"/>
      <c r="AS210" s="28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</row>
    <row r="211" ht="15" customHeight="1" spans="1:55">
      <c r="A211" s="189">
        <v>42941</v>
      </c>
      <c r="B211" s="184" t="s">
        <v>35</v>
      </c>
      <c r="C211" s="185">
        <v>82087</v>
      </c>
      <c r="D211" s="186">
        <f>45221+10699</f>
        <v>55920</v>
      </c>
      <c r="E211" s="186">
        <v>139628</v>
      </c>
      <c r="F211" s="187">
        <v>6853.7</v>
      </c>
      <c r="G211" s="186">
        <v>4361.7</v>
      </c>
      <c r="H211" s="188"/>
      <c r="I211" s="188"/>
      <c r="J211" s="214">
        <f t="shared" si="60"/>
        <v>83708</v>
      </c>
      <c r="K211" s="186">
        <v>465</v>
      </c>
      <c r="L211" s="186">
        <v>0</v>
      </c>
      <c r="M211" s="215">
        <f t="shared" si="61"/>
        <v>1156</v>
      </c>
      <c r="N211" s="216">
        <f t="shared" si="68"/>
        <v>1836699</v>
      </c>
      <c r="O211" s="219">
        <f t="shared" si="68"/>
        <v>1261892</v>
      </c>
      <c r="P211" s="218">
        <f t="shared" si="68"/>
        <v>3161219</v>
      </c>
      <c r="Q211" s="238">
        <f t="shared" si="67"/>
        <v>13415021</v>
      </c>
      <c r="R211" s="217">
        <f t="shared" si="67"/>
        <v>7167183</v>
      </c>
      <c r="S211" s="239">
        <f t="shared" si="67"/>
        <v>20937899.74</v>
      </c>
      <c r="T211" s="240">
        <f>N211/'2017'!N211-1</f>
        <v>0.0696311817430566</v>
      </c>
      <c r="U211" s="241">
        <f>O211/'2017'!O211-1</f>
        <v>-0.000870156636112229</v>
      </c>
      <c r="V211" s="241">
        <f>P211/'2017'!P211-1</f>
        <v>0.0316954304051988</v>
      </c>
      <c r="W211" s="241">
        <f>Q211/'2017'!Q211-1</f>
        <v>0.106944247956074</v>
      </c>
      <c r="X211" s="241">
        <f>R211/'2017'!R211-1</f>
        <v>0.127383536562347</v>
      </c>
      <c r="Y211" s="262">
        <f>S211/'2017'!S211-1</f>
        <v>0.104484406099086</v>
      </c>
      <c r="Z211" s="263"/>
      <c r="AA211" s="264">
        <f t="shared" si="66"/>
        <v>1341.5021</v>
      </c>
      <c r="AB211" s="265"/>
      <c r="AC211" s="266"/>
      <c r="AD211" s="265">
        <f t="shared" si="62"/>
        <v>13770716.74</v>
      </c>
      <c r="AE211" s="186">
        <f t="shared" si="64"/>
        <v>132026.77</v>
      </c>
      <c r="AF211" s="186">
        <f t="shared" si="65"/>
        <v>59602.07</v>
      </c>
      <c r="AG211" s="266">
        <f t="shared" si="63"/>
        <v>164066.899999998</v>
      </c>
      <c r="AH211" s="281"/>
      <c r="AI211" s="282"/>
      <c r="AJ211" s="282"/>
      <c r="AK211" s="282"/>
      <c r="AL211" s="282"/>
      <c r="AM211" s="282"/>
      <c r="AN211" s="282"/>
      <c r="AO211" s="282"/>
      <c r="AP211" s="282"/>
      <c r="AQ211" s="282"/>
      <c r="AR211" s="282"/>
      <c r="AS211" s="28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</row>
    <row r="212" s="163" customFormat="1" ht="15" customHeight="1" spans="1:55">
      <c r="A212" s="190">
        <v>42942</v>
      </c>
      <c r="B212" s="191" t="s">
        <v>36</v>
      </c>
      <c r="C212" s="192">
        <v>80091</v>
      </c>
      <c r="D212" s="193">
        <f>47964+10718</f>
        <v>58682</v>
      </c>
      <c r="E212" s="193">
        <v>140195</v>
      </c>
      <c r="F212" s="194">
        <v>7140.5</v>
      </c>
      <c r="G212" s="193">
        <v>4698.6</v>
      </c>
      <c r="H212" s="195"/>
      <c r="I212" s="195"/>
      <c r="J212" s="220">
        <f t="shared" si="60"/>
        <v>81513</v>
      </c>
      <c r="K212" s="193">
        <v>519</v>
      </c>
      <c r="L212" s="193">
        <v>0</v>
      </c>
      <c r="M212" s="221">
        <f t="shared" si="61"/>
        <v>903</v>
      </c>
      <c r="N212" s="222">
        <f t="shared" si="68"/>
        <v>1916790</v>
      </c>
      <c r="O212" s="225">
        <f t="shared" si="68"/>
        <v>1320574</v>
      </c>
      <c r="P212" s="224">
        <f t="shared" si="68"/>
        <v>3301414</v>
      </c>
      <c r="Q212" s="242">
        <f t="shared" si="67"/>
        <v>13495112</v>
      </c>
      <c r="R212" s="223">
        <f t="shared" si="67"/>
        <v>7225865</v>
      </c>
      <c r="S212" s="243">
        <f t="shared" si="67"/>
        <v>21078094.74</v>
      </c>
      <c r="T212" s="244">
        <f>N212/'2017'!N212-1</f>
        <v>0.0603861179862737</v>
      </c>
      <c r="U212" s="245">
        <f>O212/'2017'!O212-1</f>
        <v>0.00435182058513051</v>
      </c>
      <c r="V212" s="245">
        <f>P212/'2017'!P212-1</f>
        <v>0.028912204372874</v>
      </c>
      <c r="W212" s="245">
        <f>Q212/'2017'!Q212-1</f>
        <v>0.105298921468092</v>
      </c>
      <c r="X212" s="245">
        <f>R212/'2017'!R212-1</f>
        <v>0.127417044910762</v>
      </c>
      <c r="Y212" s="267">
        <f>S212/'2017'!S212-1</f>
        <v>0.103466089471107</v>
      </c>
      <c r="Z212" s="268">
        <v>65.53</v>
      </c>
      <c r="AA212" s="269">
        <f t="shared" si="66"/>
        <v>1283.9812</v>
      </c>
      <c r="AB212" s="270">
        <v>4283.88</v>
      </c>
      <c r="AC212" s="221">
        <f t="shared" si="69"/>
        <v>2997.23895160462</v>
      </c>
      <c r="AD212" s="270">
        <f t="shared" si="62"/>
        <v>13852229.74</v>
      </c>
      <c r="AE212" s="193">
        <f t="shared" si="64"/>
        <v>132545.77</v>
      </c>
      <c r="AF212" s="193">
        <f t="shared" si="65"/>
        <v>59602.07</v>
      </c>
      <c r="AG212" s="221">
        <f t="shared" si="63"/>
        <v>164969.899999998</v>
      </c>
      <c r="AH212" s="281"/>
      <c r="AI212" s="282"/>
      <c r="AJ212" s="282"/>
      <c r="AK212" s="282"/>
      <c r="AL212" s="282"/>
      <c r="AM212" s="282"/>
      <c r="AN212" s="282"/>
      <c r="AO212" s="282"/>
      <c r="AP212" s="282"/>
      <c r="AQ212" s="282"/>
      <c r="AR212" s="282"/>
      <c r="AS212" s="28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</row>
    <row r="213" ht="15" customHeight="1" spans="1:55">
      <c r="A213" s="189">
        <v>42943</v>
      </c>
      <c r="B213" s="184" t="s">
        <v>37</v>
      </c>
      <c r="C213" s="185">
        <v>76721</v>
      </c>
      <c r="D213" s="186">
        <f>10795+45569</f>
        <v>56364</v>
      </c>
      <c r="E213" s="186">
        <v>137829</v>
      </c>
      <c r="F213" s="187">
        <v>6795.2</v>
      </c>
      <c r="G213" s="186">
        <v>4375.1</v>
      </c>
      <c r="H213" s="188"/>
      <c r="I213" s="188"/>
      <c r="J213" s="214">
        <f t="shared" si="60"/>
        <v>81465</v>
      </c>
      <c r="K213" s="186">
        <v>577</v>
      </c>
      <c r="L213" s="186">
        <v>30</v>
      </c>
      <c r="M213" s="215">
        <f t="shared" si="61"/>
        <v>4137</v>
      </c>
      <c r="N213" s="216">
        <f t="shared" si="68"/>
        <v>1993511</v>
      </c>
      <c r="O213" s="219">
        <f t="shared" si="68"/>
        <v>1376938</v>
      </c>
      <c r="P213" s="218">
        <f t="shared" si="68"/>
        <v>3439243</v>
      </c>
      <c r="Q213" s="238">
        <f t="shared" si="67"/>
        <v>13571833</v>
      </c>
      <c r="R213" s="217">
        <f t="shared" si="67"/>
        <v>7282229</v>
      </c>
      <c r="S213" s="239">
        <f t="shared" si="67"/>
        <v>21215923.74</v>
      </c>
      <c r="T213" s="240">
        <f>N213/'2017'!N213-1</f>
        <v>0.0513050930137511</v>
      </c>
      <c r="U213" s="241">
        <f>O213/'2017'!O213-1</f>
        <v>0.00990662527109909</v>
      </c>
      <c r="V213" s="241">
        <f>P213/'2017'!P213-1</f>
        <v>0.0262702442046236</v>
      </c>
      <c r="W213" s="241">
        <f>Q213/'2017'!Q213-1</f>
        <v>0.10357519120637</v>
      </c>
      <c r="X213" s="241">
        <f>R213/'2017'!R213-1</f>
        <v>0.12766406516151</v>
      </c>
      <c r="Y213" s="262">
        <f>S213/'2017'!S213-1</f>
        <v>0.102453724589558</v>
      </c>
      <c r="Z213" s="263"/>
      <c r="AA213" s="264">
        <f t="shared" si="66"/>
        <v>1357.1833</v>
      </c>
      <c r="AB213" s="265"/>
      <c r="AC213" s="266"/>
      <c r="AD213" s="265">
        <f t="shared" si="62"/>
        <v>13933694.74</v>
      </c>
      <c r="AE213" s="186">
        <f t="shared" si="64"/>
        <v>133122.77</v>
      </c>
      <c r="AF213" s="186">
        <f t="shared" si="65"/>
        <v>59632.07</v>
      </c>
      <c r="AG213" s="266">
        <f t="shared" si="63"/>
        <v>169106.899999998</v>
      </c>
      <c r="AH213" s="281"/>
      <c r="AI213" s="282"/>
      <c r="AJ213" s="282"/>
      <c r="AK213" s="282"/>
      <c r="AL213" s="282"/>
      <c r="AM213" s="282"/>
      <c r="AN213" s="282"/>
      <c r="AO213" s="282"/>
      <c r="AP213" s="282"/>
      <c r="AQ213" s="282"/>
      <c r="AR213" s="282"/>
      <c r="AS213" s="28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</row>
    <row r="214" ht="15" customHeight="1" spans="1:55">
      <c r="A214" s="189">
        <v>42944</v>
      </c>
      <c r="B214" s="184" t="s">
        <v>38</v>
      </c>
      <c r="C214" s="185">
        <v>78483</v>
      </c>
      <c r="D214" s="186">
        <f>10817+44995</f>
        <v>55812</v>
      </c>
      <c r="E214" s="186">
        <v>139186</v>
      </c>
      <c r="F214" s="187">
        <v>6699.3</v>
      </c>
      <c r="G214" s="186">
        <v>4539.9</v>
      </c>
      <c r="H214" s="188"/>
      <c r="I214" s="188"/>
      <c r="J214" s="214">
        <f t="shared" si="60"/>
        <v>83374</v>
      </c>
      <c r="K214" s="186">
        <v>450</v>
      </c>
      <c r="L214" s="186">
        <v>275</v>
      </c>
      <c r="M214" s="215">
        <f t="shared" si="61"/>
        <v>4166</v>
      </c>
      <c r="N214" s="216">
        <f t="shared" si="68"/>
        <v>2071994</v>
      </c>
      <c r="O214" s="219">
        <f t="shared" si="68"/>
        <v>1432750</v>
      </c>
      <c r="P214" s="218">
        <f t="shared" si="68"/>
        <v>3578429</v>
      </c>
      <c r="Q214" s="238">
        <f t="shared" si="67"/>
        <v>13650316</v>
      </c>
      <c r="R214" s="217">
        <f t="shared" si="67"/>
        <v>7338041</v>
      </c>
      <c r="S214" s="239">
        <f t="shared" si="67"/>
        <v>21355109.74</v>
      </c>
      <c r="T214" s="240">
        <f>N214/'2017'!N214-1</f>
        <v>0.0448257778226009</v>
      </c>
      <c r="U214" s="241">
        <f>O214/'2017'!O214-1</f>
        <v>0.0131699721241247</v>
      </c>
      <c r="V214" s="241">
        <f>P214/'2017'!P214-1</f>
        <v>0.0247593765123983</v>
      </c>
      <c r="W214" s="241">
        <f>Q214/'2017'!Q214-1</f>
        <v>0.102171058209185</v>
      </c>
      <c r="X214" s="241">
        <f>R214/'2017'!R214-1</f>
        <v>0.127455886499106</v>
      </c>
      <c r="Y214" s="262">
        <f>S214/'2017'!S214-1</f>
        <v>0.101628356362408</v>
      </c>
      <c r="Z214" s="263"/>
      <c r="AA214" s="264">
        <f t="shared" si="66"/>
        <v>1365.0316</v>
      </c>
      <c r="AB214" s="265"/>
      <c r="AC214" s="266"/>
      <c r="AD214" s="265">
        <f t="shared" si="62"/>
        <v>14017068.74</v>
      </c>
      <c r="AE214" s="186">
        <f t="shared" si="64"/>
        <v>133572.77</v>
      </c>
      <c r="AF214" s="186">
        <f t="shared" si="65"/>
        <v>59907.07</v>
      </c>
      <c r="AG214" s="266">
        <f t="shared" si="63"/>
        <v>173272.899999998</v>
      </c>
      <c r="AH214" s="281"/>
      <c r="AI214" s="282"/>
      <c r="AJ214" s="282"/>
      <c r="AK214" s="282"/>
      <c r="AL214" s="282"/>
      <c r="AM214" s="282"/>
      <c r="AN214" s="282"/>
      <c r="AO214" s="282"/>
      <c r="AP214" s="282"/>
      <c r="AQ214" s="282"/>
      <c r="AR214" s="282"/>
      <c r="AS214" s="28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</row>
    <row r="215" ht="15" customHeight="1" spans="1:55">
      <c r="A215" s="189">
        <v>42945</v>
      </c>
      <c r="B215" s="184" t="s">
        <v>1</v>
      </c>
      <c r="C215" s="185">
        <v>74790</v>
      </c>
      <c r="D215" s="186">
        <f>10799+43605</f>
        <v>54404</v>
      </c>
      <c r="E215" s="186">
        <v>135602</v>
      </c>
      <c r="F215" s="187">
        <v>6351.7</v>
      </c>
      <c r="G215" s="186">
        <v>4626.5</v>
      </c>
      <c r="H215" s="188"/>
      <c r="I215" s="188"/>
      <c r="J215" s="214">
        <f t="shared" si="60"/>
        <v>81198</v>
      </c>
      <c r="K215" s="186">
        <v>788</v>
      </c>
      <c r="L215" s="186">
        <v>1561</v>
      </c>
      <c r="M215" s="215">
        <f t="shared" si="61"/>
        <v>4059</v>
      </c>
      <c r="N215" s="216">
        <f t="shared" si="68"/>
        <v>2146784</v>
      </c>
      <c r="O215" s="219">
        <f t="shared" si="68"/>
        <v>1487154</v>
      </c>
      <c r="P215" s="218">
        <f t="shared" si="68"/>
        <v>3714031</v>
      </c>
      <c r="Q215" s="238">
        <f t="shared" si="67"/>
        <v>13725106</v>
      </c>
      <c r="R215" s="217">
        <f t="shared" si="67"/>
        <v>7392445</v>
      </c>
      <c r="S215" s="239">
        <f t="shared" si="67"/>
        <v>21490711.74</v>
      </c>
      <c r="T215" s="240">
        <f>N215/'2017'!N215-1</f>
        <v>0.0417463502454198</v>
      </c>
      <c r="U215" s="241">
        <f>O215/'2017'!O215-1</f>
        <v>0.0146366823792847</v>
      </c>
      <c r="V215" s="241">
        <f>P215/'2017'!P215-1</f>
        <v>0.024385635772991</v>
      </c>
      <c r="W215" s="241">
        <f>Q215/'2017'!Q215-1</f>
        <v>0.10130453734599</v>
      </c>
      <c r="X215" s="241">
        <f>R215/'2017'!R215-1</f>
        <v>0.126885078970194</v>
      </c>
      <c r="Y215" s="262">
        <f>S215/'2017'!S215-1</f>
        <v>0.10103259774491</v>
      </c>
      <c r="Z215" s="263"/>
      <c r="AA215" s="264">
        <f t="shared" si="66"/>
        <v>1372.5106</v>
      </c>
      <c r="AB215" s="265"/>
      <c r="AC215" s="266"/>
      <c r="AD215" s="265">
        <f t="shared" si="62"/>
        <v>14098266.74</v>
      </c>
      <c r="AE215" s="186">
        <f t="shared" si="64"/>
        <v>134360.77</v>
      </c>
      <c r="AF215" s="186">
        <f t="shared" ref="AF215:AF230" si="70">AF214+L215</f>
        <v>61468.07</v>
      </c>
      <c r="AG215" s="266">
        <f t="shared" si="63"/>
        <v>177331.899999998</v>
      </c>
      <c r="AH215" s="281"/>
      <c r="AI215" s="282"/>
      <c r="AJ215" s="282"/>
      <c r="AK215" s="282"/>
      <c r="AL215" s="282"/>
      <c r="AM215" s="282"/>
      <c r="AN215" s="282"/>
      <c r="AO215" s="282"/>
      <c r="AP215" s="282"/>
      <c r="AQ215" s="282"/>
      <c r="AR215" s="282"/>
      <c r="AS215" s="28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</row>
    <row r="216" ht="15" customHeight="1" spans="1:55">
      <c r="A216" s="189">
        <v>42946</v>
      </c>
      <c r="B216" s="184" t="s">
        <v>39</v>
      </c>
      <c r="C216" s="185">
        <v>79379</v>
      </c>
      <c r="D216" s="186">
        <f>10739+48024</f>
        <v>58763</v>
      </c>
      <c r="E216" s="186">
        <v>141867</v>
      </c>
      <c r="F216" s="187">
        <v>7083</v>
      </c>
      <c r="G216" s="186">
        <v>4586</v>
      </c>
      <c r="H216" s="188"/>
      <c r="I216" s="188"/>
      <c r="J216" s="214">
        <f t="shared" si="60"/>
        <v>83104</v>
      </c>
      <c r="K216" s="186">
        <v>639</v>
      </c>
      <c r="L216" s="186">
        <v>2201</v>
      </c>
      <c r="M216" s="215">
        <f t="shared" si="61"/>
        <v>885</v>
      </c>
      <c r="N216" s="216">
        <f t="shared" si="68"/>
        <v>2226163</v>
      </c>
      <c r="O216" s="219">
        <f t="shared" si="68"/>
        <v>1545917</v>
      </c>
      <c r="P216" s="218">
        <f t="shared" si="68"/>
        <v>3855898</v>
      </c>
      <c r="Q216" s="238">
        <f t="shared" si="67"/>
        <v>13804485</v>
      </c>
      <c r="R216" s="217">
        <f t="shared" si="67"/>
        <v>7451208</v>
      </c>
      <c r="S216" s="239">
        <f t="shared" si="67"/>
        <v>21632578.74</v>
      </c>
      <c r="T216" s="240">
        <f>N216/'2017'!N216-1</f>
        <v>0.0494284192315126</v>
      </c>
      <c r="U216" s="241">
        <f>O216/'2017'!O216-1</f>
        <v>0.0186906157478519</v>
      </c>
      <c r="V216" s="241">
        <f>P216/'2017'!P216-1</f>
        <v>0.0303587084582235</v>
      </c>
      <c r="W216" s="241">
        <f>Q216/'2017'!Q216-1</f>
        <v>0.102317821515585</v>
      </c>
      <c r="X216" s="241">
        <f>R216/'2017'!R216-1</f>
        <v>0.126935254227137</v>
      </c>
      <c r="Y216" s="262">
        <f>S216/'2017'!S216-1</f>
        <v>0.101715581398423</v>
      </c>
      <c r="Z216" s="263"/>
      <c r="AA216" s="264">
        <f t="shared" si="66"/>
        <v>1380.4485</v>
      </c>
      <c r="AB216" s="265"/>
      <c r="AC216" s="266"/>
      <c r="AD216" s="265">
        <f t="shared" si="62"/>
        <v>14181370.74</v>
      </c>
      <c r="AE216" s="186">
        <f t="shared" si="64"/>
        <v>134999.77</v>
      </c>
      <c r="AF216" s="186">
        <f t="shared" si="70"/>
        <v>63669.07</v>
      </c>
      <c r="AG216" s="266">
        <f t="shared" si="63"/>
        <v>178216.899999998</v>
      </c>
      <c r="AH216" s="281"/>
      <c r="AI216" s="282"/>
      <c r="AJ216" s="282"/>
      <c r="AK216" s="282"/>
      <c r="AL216" s="282"/>
      <c r="AM216" s="282"/>
      <c r="AN216" s="282"/>
      <c r="AO216" s="282"/>
      <c r="AP216" s="282"/>
      <c r="AQ216" s="282"/>
      <c r="AR216" s="282"/>
      <c r="AS216" s="28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</row>
    <row r="217" s="163" customFormat="1" ht="15" customHeight="1" spans="1:55">
      <c r="A217" s="307">
        <v>42947</v>
      </c>
      <c r="B217" s="197" t="s">
        <v>34</v>
      </c>
      <c r="C217" s="198">
        <v>73403</v>
      </c>
      <c r="D217" s="199">
        <f>10730+48478</f>
        <v>59208</v>
      </c>
      <c r="E217" s="199">
        <v>136679</v>
      </c>
      <c r="F217" s="200">
        <v>6707</v>
      </c>
      <c r="G217" s="199">
        <v>4453</v>
      </c>
      <c r="H217" s="201"/>
      <c r="I217" s="201"/>
      <c r="J217" s="226">
        <f t="shared" si="60"/>
        <v>77471</v>
      </c>
      <c r="K217" s="199">
        <v>666</v>
      </c>
      <c r="L217" s="199">
        <v>2367</v>
      </c>
      <c r="M217" s="227">
        <f t="shared" si="61"/>
        <v>1035</v>
      </c>
      <c r="N217" s="228">
        <f>[6]表2、统调口径电量!$D$10</f>
        <v>2299564.7</v>
      </c>
      <c r="O217" s="232">
        <f>[6]表2、统调口径电量!$D$14</f>
        <v>1614262</v>
      </c>
      <c r="P217" s="233">
        <f>[6]表2、统调口径电量!$D$3</f>
        <v>3992595.62</v>
      </c>
      <c r="Q217" s="246">
        <f>[6]表2、统调口径电量!$I$10</f>
        <v>13879287.72</v>
      </c>
      <c r="R217" s="229">
        <f>[6]表2、统调口径电量!$I$14</f>
        <v>7519553</v>
      </c>
      <c r="S217" s="247">
        <f>[6]表2、统调口径电量!$I$3</f>
        <v>21771111.72</v>
      </c>
      <c r="T217" s="248">
        <f>N217/'2017'!N217-1</f>
        <v>0.0484190950521666</v>
      </c>
      <c r="U217" s="249">
        <f>O217/'2017'!O217-1</f>
        <v>0.0328976330391695</v>
      </c>
      <c r="V217" s="249">
        <f>P217/'2017'!P217-1</f>
        <v>0.0336538821996768</v>
      </c>
      <c r="W217" s="249">
        <f>Q217/'2017'!Q217-1</f>
        <v>0.10195063736007</v>
      </c>
      <c r="X217" s="249">
        <f>R217/'2017'!R217-1</f>
        <v>0.128988102280391</v>
      </c>
      <c r="Y217" s="272">
        <f>S217/'2017'!S217-1</f>
        <v>0.101993574004994</v>
      </c>
      <c r="Z217" s="273">
        <f>[6]表2、统调口径电量!$I$12/10000</f>
        <v>69.430069</v>
      </c>
      <c r="AA217" s="274">
        <f>[6]表2、统调口径电量!$I$11/10000</f>
        <v>1318.498703</v>
      </c>
      <c r="AB217" s="275">
        <v>4283.88</v>
      </c>
      <c r="AC217" s="276"/>
      <c r="AD217" s="321">
        <f t="shared" si="62"/>
        <v>14251558.72</v>
      </c>
      <c r="AE217" s="199">
        <f t="shared" si="64"/>
        <v>135665.77</v>
      </c>
      <c r="AF217" s="199">
        <f t="shared" si="70"/>
        <v>66036.07</v>
      </c>
      <c r="AG217" s="276">
        <f t="shared" si="63"/>
        <v>170569.159999998</v>
      </c>
      <c r="AH217" s="281"/>
      <c r="AI217" s="282"/>
      <c r="AJ217" s="282"/>
      <c r="AK217" s="282"/>
      <c r="AL217" s="282"/>
      <c r="AM217" s="282"/>
      <c r="AN217" s="282"/>
      <c r="AO217" s="282"/>
      <c r="AP217" s="282"/>
      <c r="AQ217" s="282"/>
      <c r="AR217" s="282"/>
      <c r="AS217" s="28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</row>
    <row r="218" ht="15" customHeight="1" spans="1:55">
      <c r="A218" s="189">
        <v>42948</v>
      </c>
      <c r="B218" s="184" t="s">
        <v>35</v>
      </c>
      <c r="C218" s="185">
        <v>69999</v>
      </c>
      <c r="D218" s="186">
        <f>48854+10499</f>
        <v>59353</v>
      </c>
      <c r="E218" s="186">
        <v>132868</v>
      </c>
      <c r="F218" s="187">
        <v>6330</v>
      </c>
      <c r="G218" s="186">
        <v>4390.5</v>
      </c>
      <c r="H218" s="188"/>
      <c r="I218" s="188"/>
      <c r="J218" s="214">
        <f t="shared" si="60"/>
        <v>73515</v>
      </c>
      <c r="K218" s="186">
        <v>160</v>
      </c>
      <c r="L218" s="186">
        <v>2315</v>
      </c>
      <c r="M218" s="215">
        <f t="shared" si="61"/>
        <v>1041</v>
      </c>
      <c r="N218" s="216">
        <f>C218</f>
        <v>69999</v>
      </c>
      <c r="O218" s="219">
        <f>D218</f>
        <v>59353</v>
      </c>
      <c r="P218" s="218">
        <f>E218</f>
        <v>132868</v>
      </c>
      <c r="Q218" s="238">
        <f>Q$217+N218</f>
        <v>13949286.72</v>
      </c>
      <c r="R218" s="217">
        <f>R$217+O218</f>
        <v>7578906</v>
      </c>
      <c r="S218" s="239">
        <f>S$217+P218</f>
        <v>21903979.72</v>
      </c>
      <c r="T218" s="240">
        <f>N218/'2017'!N218-1</f>
        <v>0.105148486714347</v>
      </c>
      <c r="U218" s="241">
        <f>O218/'2017'!O218-1</f>
        <v>0.237423121025748</v>
      </c>
      <c r="V218" s="241">
        <f>P218/'2017'!P218-1</f>
        <v>0.166952107431121</v>
      </c>
      <c r="W218" s="241">
        <f>Q218/'2017'!Q218-1</f>
        <v>0.101966638305677</v>
      </c>
      <c r="X218" s="241">
        <f>R218/'2017'!R218-1</f>
        <v>0.129763411579004</v>
      </c>
      <c r="Y218" s="262">
        <f>S218/'2017'!S218-1</f>
        <v>0.102365799639346</v>
      </c>
      <c r="Z218" s="263"/>
      <c r="AA218" s="264">
        <f t="shared" si="66"/>
        <v>1394.928672</v>
      </c>
      <c r="AB218" s="265"/>
      <c r="AC218" s="266"/>
      <c r="AD218" s="265">
        <f t="shared" si="62"/>
        <v>14325073.72</v>
      </c>
      <c r="AE218" s="186">
        <f t="shared" si="64"/>
        <v>135825.77</v>
      </c>
      <c r="AF218" s="186">
        <f t="shared" si="70"/>
        <v>68351.07</v>
      </c>
      <c r="AG218" s="266">
        <f t="shared" si="63"/>
        <v>171610.159999998</v>
      </c>
      <c r="AH218" s="281"/>
      <c r="AI218" s="282"/>
      <c r="AJ218" s="282"/>
      <c r="AK218" s="282"/>
      <c r="AL218" s="282"/>
      <c r="AM218" s="282"/>
      <c r="AN218" s="282"/>
      <c r="AO218" s="282"/>
      <c r="AP218" s="282"/>
      <c r="AQ218" s="282"/>
      <c r="AR218" s="282"/>
      <c r="AS218" s="28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</row>
    <row r="219" s="163" customFormat="1" ht="15" customHeight="1" spans="1:55">
      <c r="A219" s="190">
        <v>42949</v>
      </c>
      <c r="B219" s="191" t="s">
        <v>36</v>
      </c>
      <c r="C219" s="192">
        <v>70325</v>
      </c>
      <c r="D219" s="193">
        <v>59337</v>
      </c>
      <c r="E219" s="193">
        <v>133290</v>
      </c>
      <c r="F219" s="194">
        <v>6509</v>
      </c>
      <c r="G219" s="193">
        <v>4379</v>
      </c>
      <c r="H219" s="195"/>
      <c r="I219" s="195"/>
      <c r="J219" s="220">
        <f t="shared" si="60"/>
        <v>73953</v>
      </c>
      <c r="K219" s="193">
        <v>194</v>
      </c>
      <c r="L219" s="193">
        <v>2487</v>
      </c>
      <c r="M219" s="221">
        <f t="shared" si="61"/>
        <v>947</v>
      </c>
      <c r="N219" s="222">
        <f t="shared" ref="N219:P234" si="71">N218+C219</f>
        <v>140324</v>
      </c>
      <c r="O219" s="225">
        <f t="shared" si="71"/>
        <v>118690</v>
      </c>
      <c r="P219" s="224">
        <f t="shared" si="71"/>
        <v>266158</v>
      </c>
      <c r="Q219" s="242">
        <f t="shared" ref="Q219:S247" si="72">Q$217+N219</f>
        <v>14019611.72</v>
      </c>
      <c r="R219" s="223">
        <f t="shared" si="72"/>
        <v>7638243</v>
      </c>
      <c r="S219" s="243">
        <f t="shared" si="72"/>
        <v>22037269.72</v>
      </c>
      <c r="T219" s="244">
        <f>N219/'2017'!N219-1</f>
        <v>0.0414659670320698</v>
      </c>
      <c r="U219" s="245">
        <f>O219/'2017'!O219-1</f>
        <v>0.254783803784755</v>
      </c>
      <c r="V219" s="245">
        <f>P219/'2017'!P219-1</f>
        <v>0.132688453010695</v>
      </c>
      <c r="W219" s="245">
        <f>Q219/'2017'!Q219-1</f>
        <v>0.101310451664214</v>
      </c>
      <c r="X219" s="245">
        <f>R219/'2017'!R219-1</f>
        <v>0.13074960777353</v>
      </c>
      <c r="Y219" s="267">
        <f>S219/'2017'!S219-1</f>
        <v>0.102354367265865</v>
      </c>
      <c r="Z219" s="268">
        <v>70.14</v>
      </c>
      <c r="AA219" s="269">
        <f t="shared" si="66"/>
        <v>1331.821172</v>
      </c>
      <c r="AB219" s="270">
        <v>4283.88</v>
      </c>
      <c r="AC219" s="221">
        <f t="shared" si="69"/>
        <v>3108.91334958029</v>
      </c>
      <c r="AD219" s="270">
        <f t="shared" si="62"/>
        <v>14399026.72</v>
      </c>
      <c r="AE219" s="193">
        <f t="shared" si="64"/>
        <v>136019.77</v>
      </c>
      <c r="AF219" s="193">
        <f t="shared" si="70"/>
        <v>70838.07</v>
      </c>
      <c r="AG219" s="221">
        <f t="shared" si="63"/>
        <v>172557.159999998</v>
      </c>
      <c r="AH219" s="281"/>
      <c r="AI219" s="282"/>
      <c r="AJ219" s="282"/>
      <c r="AK219" s="282"/>
      <c r="AL219" s="282"/>
      <c r="AM219" s="282"/>
      <c r="AN219" s="282"/>
      <c r="AO219" s="282"/>
      <c r="AP219" s="282"/>
      <c r="AQ219" s="282"/>
      <c r="AR219" s="282"/>
      <c r="AS219" s="28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</row>
    <row r="220" ht="15" customHeight="1" spans="1:55">
      <c r="A220" s="189">
        <v>42950</v>
      </c>
      <c r="B220" s="184" t="s">
        <v>37</v>
      </c>
      <c r="C220" s="185">
        <v>67287</v>
      </c>
      <c r="D220" s="186">
        <f>45406+10511</f>
        <v>55917</v>
      </c>
      <c r="E220" s="186">
        <v>127224</v>
      </c>
      <c r="F220" s="187">
        <v>6149.3</v>
      </c>
      <c r="G220" s="186">
        <v>4251.6</v>
      </c>
      <c r="H220" s="188"/>
      <c r="I220" s="188"/>
      <c r="J220" s="214">
        <f t="shared" si="60"/>
        <v>71307</v>
      </c>
      <c r="K220" s="186">
        <v>602</v>
      </c>
      <c r="L220" s="186">
        <v>2535</v>
      </c>
      <c r="M220" s="215">
        <f t="shared" si="61"/>
        <v>883</v>
      </c>
      <c r="N220" s="216">
        <f t="shared" si="71"/>
        <v>207611</v>
      </c>
      <c r="O220" s="219">
        <f t="shared" si="71"/>
        <v>174607</v>
      </c>
      <c r="P220" s="218">
        <f t="shared" si="71"/>
        <v>393382</v>
      </c>
      <c r="Q220" s="238">
        <f t="shared" si="72"/>
        <v>14086898.72</v>
      </c>
      <c r="R220" s="217">
        <f t="shared" si="72"/>
        <v>7694160</v>
      </c>
      <c r="S220" s="239">
        <f t="shared" si="72"/>
        <v>22164493.72</v>
      </c>
      <c r="T220" s="240">
        <f>N220/'2017'!N220-1</f>
        <v>-0.0320353223114294</v>
      </c>
      <c r="U220" s="241">
        <f>O220/'2017'!O220-1</f>
        <v>0.258673759938871</v>
      </c>
      <c r="V220" s="241">
        <f>P220/'2017'!P220-1</f>
        <v>0.0808504324698589</v>
      </c>
      <c r="W220" s="241">
        <f>Q220/'2017'!Q220-1</f>
        <v>0.0997072109790236</v>
      </c>
      <c r="X220" s="241">
        <f>R220/'2017'!R220-1</f>
        <v>0.131634074155348</v>
      </c>
      <c r="Y220" s="262">
        <f>S220/'2017'!S220-1</f>
        <v>0.101611111475888</v>
      </c>
      <c r="Z220" s="263"/>
      <c r="AA220" s="264">
        <f t="shared" si="66"/>
        <v>1408.689872</v>
      </c>
      <c r="AB220" s="265"/>
      <c r="AC220" s="266"/>
      <c r="AD220" s="265">
        <f t="shared" si="62"/>
        <v>14470333.72</v>
      </c>
      <c r="AE220" s="186">
        <f t="shared" si="64"/>
        <v>136621.77</v>
      </c>
      <c r="AF220" s="186">
        <f t="shared" si="70"/>
        <v>73373.07</v>
      </c>
      <c r="AG220" s="266">
        <f t="shared" si="63"/>
        <v>173440.159999998</v>
      </c>
      <c r="AH220" s="281"/>
      <c r="AI220" s="282"/>
      <c r="AJ220" s="282"/>
      <c r="AK220" s="282"/>
      <c r="AL220" s="282"/>
      <c r="AM220" s="282"/>
      <c r="AN220" s="282"/>
      <c r="AO220" s="282"/>
      <c r="AP220" s="282"/>
      <c r="AQ220" s="282"/>
      <c r="AR220" s="282"/>
      <c r="AS220" s="28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</row>
    <row r="221" ht="15" customHeight="1" spans="1:55">
      <c r="A221" s="189">
        <v>42951</v>
      </c>
      <c r="B221" s="184" t="s">
        <v>38</v>
      </c>
      <c r="C221" s="185">
        <v>66614</v>
      </c>
      <c r="D221" s="186">
        <f>48099+10526</f>
        <v>58625</v>
      </c>
      <c r="E221" s="186">
        <v>129177</v>
      </c>
      <c r="F221" s="187">
        <v>6310.4</v>
      </c>
      <c r="G221" s="186">
        <v>4166.3</v>
      </c>
      <c r="H221" s="188"/>
      <c r="I221" s="188"/>
      <c r="J221" s="214">
        <f t="shared" si="60"/>
        <v>70552</v>
      </c>
      <c r="K221" s="186">
        <v>685</v>
      </c>
      <c r="L221" s="186">
        <v>1960</v>
      </c>
      <c r="M221" s="215">
        <f t="shared" si="61"/>
        <v>1293</v>
      </c>
      <c r="N221" s="216">
        <f t="shared" si="71"/>
        <v>274225</v>
      </c>
      <c r="O221" s="219">
        <f t="shared" si="71"/>
        <v>233232</v>
      </c>
      <c r="P221" s="218">
        <f t="shared" si="71"/>
        <v>522559</v>
      </c>
      <c r="Q221" s="238">
        <f t="shared" si="72"/>
        <v>14153512.72</v>
      </c>
      <c r="R221" s="217">
        <f t="shared" si="72"/>
        <v>7752785</v>
      </c>
      <c r="S221" s="239">
        <f t="shared" si="72"/>
        <v>22293670.72</v>
      </c>
      <c r="T221" s="240">
        <f>N221/'2017'!N221-1</f>
        <v>-0.0835644821709053</v>
      </c>
      <c r="U221" s="241">
        <f>O221/'2017'!O221-1</f>
        <v>0.275202571925335</v>
      </c>
      <c r="V221" s="241">
        <f>P221/'2017'!P221-1</f>
        <v>0.0480105090048535</v>
      </c>
      <c r="W221" s="241">
        <f>Q221/'2017'!Q221-1</f>
        <v>0.0976455464859765</v>
      </c>
      <c r="X221" s="241">
        <f>R221/'2017'!R221-1</f>
        <v>0.132895895480186</v>
      </c>
      <c r="Y221" s="262">
        <f>S221/'2017'!S221-1</f>
        <v>0.100664648401204</v>
      </c>
      <c r="Z221" s="263"/>
      <c r="AA221" s="264">
        <f t="shared" si="66"/>
        <v>1415.351272</v>
      </c>
      <c r="AB221" s="265"/>
      <c r="AC221" s="266"/>
      <c r="AD221" s="265">
        <f t="shared" si="62"/>
        <v>14540885.72</v>
      </c>
      <c r="AE221" s="186">
        <f t="shared" si="64"/>
        <v>137306.77</v>
      </c>
      <c r="AF221" s="186">
        <f t="shared" si="70"/>
        <v>75333.07</v>
      </c>
      <c r="AG221" s="266">
        <f t="shared" si="63"/>
        <v>174733.159999998</v>
      </c>
      <c r="AH221" s="281"/>
      <c r="AI221" s="282"/>
      <c r="AJ221" s="282"/>
      <c r="AK221" s="282"/>
      <c r="AL221" s="282"/>
      <c r="AM221" s="282"/>
      <c r="AN221" s="282"/>
      <c r="AO221" s="282"/>
      <c r="AP221" s="282"/>
      <c r="AQ221" s="282"/>
      <c r="AR221" s="282"/>
      <c r="AS221" s="28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</row>
    <row r="222" ht="15" customHeight="1" spans="1:55">
      <c r="A222" s="189">
        <v>42952</v>
      </c>
      <c r="B222" s="184" t="s">
        <v>1</v>
      </c>
      <c r="C222" s="185">
        <v>65796</v>
      </c>
      <c r="D222" s="186">
        <f>48483+10515</f>
        <v>58998</v>
      </c>
      <c r="E222" s="186">
        <v>129103</v>
      </c>
      <c r="F222" s="187">
        <v>6071.9</v>
      </c>
      <c r="G222" s="186">
        <v>4328</v>
      </c>
      <c r="H222" s="188"/>
      <c r="I222" s="188"/>
      <c r="J222" s="214">
        <f t="shared" si="60"/>
        <v>70105</v>
      </c>
      <c r="K222" s="186">
        <v>378</v>
      </c>
      <c r="L222" s="186">
        <v>2697</v>
      </c>
      <c r="M222" s="215">
        <f t="shared" si="61"/>
        <v>1234</v>
      </c>
      <c r="N222" s="216">
        <f t="shared" si="71"/>
        <v>340021</v>
      </c>
      <c r="O222" s="219">
        <f t="shared" si="71"/>
        <v>292230</v>
      </c>
      <c r="P222" s="218">
        <f t="shared" si="71"/>
        <v>651662</v>
      </c>
      <c r="Q222" s="238">
        <f t="shared" si="72"/>
        <v>14219308.72</v>
      </c>
      <c r="R222" s="217">
        <f t="shared" si="72"/>
        <v>7811783</v>
      </c>
      <c r="S222" s="239">
        <f t="shared" si="72"/>
        <v>22422773.72</v>
      </c>
      <c r="T222" s="240">
        <f>N222/'2017'!N222-1</f>
        <v>-0.113600696562547</v>
      </c>
      <c r="U222" s="241">
        <f>O222/'2017'!O222-1</f>
        <v>0.291384582751489</v>
      </c>
      <c r="V222" s="241">
        <f>P222/'2017'!P222-1</f>
        <v>0.0297063182810786</v>
      </c>
      <c r="W222" s="241">
        <f>Q222/'2017'!Q222-1</f>
        <v>0.0955798574104225</v>
      </c>
      <c r="X222" s="241">
        <f>R222/'2017'!R222-1</f>
        <v>0.134324311922875</v>
      </c>
      <c r="Y222" s="262">
        <f>S222/'2017'!S222-1</f>
        <v>0.0997498195807955</v>
      </c>
      <c r="Z222" s="263"/>
      <c r="AA222" s="264">
        <f t="shared" si="66"/>
        <v>1421.930872</v>
      </c>
      <c r="AB222" s="265"/>
      <c r="AC222" s="266"/>
      <c r="AD222" s="265">
        <f t="shared" si="62"/>
        <v>14610990.72</v>
      </c>
      <c r="AE222" s="186">
        <f t="shared" si="64"/>
        <v>137684.77</v>
      </c>
      <c r="AF222" s="186">
        <f t="shared" si="70"/>
        <v>78030.07</v>
      </c>
      <c r="AG222" s="266">
        <f t="shared" si="63"/>
        <v>175967.159999998</v>
      </c>
      <c r="AH222" s="281"/>
      <c r="AI222" s="282"/>
      <c r="AJ222" s="282"/>
      <c r="AK222" s="282"/>
      <c r="AL222" s="282"/>
      <c r="AM222" s="282"/>
      <c r="AN222" s="282"/>
      <c r="AO222" s="282"/>
      <c r="AP222" s="282"/>
      <c r="AQ222" s="282"/>
      <c r="AR222" s="282"/>
      <c r="AS222" s="28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</row>
    <row r="223" ht="15" customHeight="1" spans="1:55">
      <c r="A223" s="189">
        <v>42953</v>
      </c>
      <c r="B223" s="184" t="s">
        <v>39</v>
      </c>
      <c r="C223" s="185">
        <v>76343</v>
      </c>
      <c r="D223" s="186">
        <f>48643+10517</f>
        <v>59160</v>
      </c>
      <c r="E223" s="186">
        <v>140053</v>
      </c>
      <c r="F223" s="187">
        <v>3968.4</v>
      </c>
      <c r="G223" s="186">
        <v>4435.6</v>
      </c>
      <c r="H223" s="188"/>
      <c r="I223" s="188"/>
      <c r="J223" s="214">
        <f t="shared" si="60"/>
        <v>80893</v>
      </c>
      <c r="K223" s="186">
        <v>364</v>
      </c>
      <c r="L223" s="186">
        <v>3059</v>
      </c>
      <c r="M223" s="215">
        <f t="shared" si="61"/>
        <v>1127</v>
      </c>
      <c r="N223" s="216">
        <f t="shared" si="71"/>
        <v>416364</v>
      </c>
      <c r="O223" s="219">
        <f t="shared" si="71"/>
        <v>351390</v>
      </c>
      <c r="P223" s="218">
        <f t="shared" si="71"/>
        <v>791715</v>
      </c>
      <c r="Q223" s="238">
        <f t="shared" si="72"/>
        <v>14295651.72</v>
      </c>
      <c r="R223" s="217">
        <f t="shared" si="72"/>
        <v>7870943</v>
      </c>
      <c r="S223" s="239">
        <f t="shared" si="72"/>
        <v>22562826.72</v>
      </c>
      <c r="T223" s="240">
        <f>N223/'2017'!N223-1</f>
        <v>-0.0900857980794867</v>
      </c>
      <c r="U223" s="241">
        <f>O223/'2017'!O223-1</f>
        <v>0.282599729164462</v>
      </c>
      <c r="V223" s="241">
        <f>P223/'2017'!P223-1</f>
        <v>0.042178674245366</v>
      </c>
      <c r="W223" s="241">
        <f>Q223/'2017'!Q223-1</f>
        <v>0.095218496793551</v>
      </c>
      <c r="X223" s="241">
        <f>R223/'2017'!R223-1</f>
        <v>0.135057048169828</v>
      </c>
      <c r="Y223" s="262">
        <f>S223/'2017'!S223-1</f>
        <v>0.0997787059014499</v>
      </c>
      <c r="Z223" s="263"/>
      <c r="AA223" s="264">
        <f t="shared" si="66"/>
        <v>1429.565172</v>
      </c>
      <c r="AB223" s="265"/>
      <c r="AC223" s="266"/>
      <c r="AD223" s="265">
        <f t="shared" si="62"/>
        <v>14691883.72</v>
      </c>
      <c r="AE223" s="186">
        <f t="shared" si="64"/>
        <v>138048.77</v>
      </c>
      <c r="AF223" s="186">
        <f t="shared" si="70"/>
        <v>81089.07</v>
      </c>
      <c r="AG223" s="266">
        <f t="shared" si="63"/>
        <v>177094.159999998</v>
      </c>
      <c r="AH223" s="281"/>
      <c r="AI223" s="282"/>
      <c r="AJ223" s="282"/>
      <c r="AK223" s="282"/>
      <c r="AL223" s="282"/>
      <c r="AM223" s="282"/>
      <c r="AN223" s="282"/>
      <c r="AO223" s="282"/>
      <c r="AP223" s="282"/>
      <c r="AQ223" s="282"/>
      <c r="AR223" s="282"/>
      <c r="AS223" s="282"/>
      <c r="AT223" s="282"/>
      <c r="AU223" s="282"/>
      <c r="AV223" s="282"/>
      <c r="AW223" s="282"/>
      <c r="AX223" s="282"/>
      <c r="AY223" s="282"/>
      <c r="AZ223" s="282"/>
      <c r="BA223" s="282"/>
      <c r="BB223" s="282"/>
      <c r="BC223" s="282"/>
    </row>
    <row r="224" ht="15" customHeight="1" spans="1:55">
      <c r="A224" s="189">
        <v>42954</v>
      </c>
      <c r="B224" s="184" t="s">
        <v>34</v>
      </c>
      <c r="C224" s="185">
        <v>78998</v>
      </c>
      <c r="D224" s="186">
        <f>48348+10454</f>
        <v>58802</v>
      </c>
      <c r="E224" s="186">
        <v>142108</v>
      </c>
      <c r="F224" s="187">
        <v>6916.2</v>
      </c>
      <c r="G224" s="186">
        <v>4573.7</v>
      </c>
      <c r="H224" s="188"/>
      <c r="I224" s="188"/>
      <c r="J224" s="214">
        <f t="shared" si="60"/>
        <v>83306</v>
      </c>
      <c r="K224" s="186">
        <v>305</v>
      </c>
      <c r="L224" s="186">
        <v>2833</v>
      </c>
      <c r="M224" s="215">
        <f t="shared" si="61"/>
        <v>1170</v>
      </c>
      <c r="N224" s="216">
        <f t="shared" si="71"/>
        <v>495362</v>
      </c>
      <c r="O224" s="219">
        <f t="shared" si="71"/>
        <v>410192</v>
      </c>
      <c r="P224" s="218">
        <f t="shared" si="71"/>
        <v>933823</v>
      </c>
      <c r="Q224" s="238">
        <f t="shared" si="72"/>
        <v>14374649.72</v>
      </c>
      <c r="R224" s="217">
        <f t="shared" si="72"/>
        <v>7929745</v>
      </c>
      <c r="S224" s="239">
        <f t="shared" si="72"/>
        <v>22704934.72</v>
      </c>
      <c r="T224" s="240">
        <f>N224/'2017'!N224-1</f>
        <v>-0.0834132062274953</v>
      </c>
      <c r="U224" s="241">
        <f>O224/'2017'!O224-1</f>
        <v>0.279271468446413</v>
      </c>
      <c r="V224" s="241">
        <f>P224/'2017'!P224-1</f>
        <v>0.0434814188226538</v>
      </c>
      <c r="W224" s="241">
        <f>Q224/'2017'!Q224-1</f>
        <v>0.0943241800529273</v>
      </c>
      <c r="X224" s="241">
        <f>R224/'2017'!R224-1</f>
        <v>0.135890702313868</v>
      </c>
      <c r="Y224" s="262">
        <f>S224/'2017'!S224-1</f>
        <v>0.0994579531870141</v>
      </c>
      <c r="Z224" s="263"/>
      <c r="AA224" s="264">
        <f t="shared" si="66"/>
        <v>1437.464972</v>
      </c>
      <c r="AB224" s="265"/>
      <c r="AC224" s="266"/>
      <c r="AD224" s="265">
        <f t="shared" si="62"/>
        <v>14775189.72</v>
      </c>
      <c r="AE224" s="186">
        <f t="shared" si="64"/>
        <v>138353.77</v>
      </c>
      <c r="AF224" s="186">
        <f t="shared" si="70"/>
        <v>83922.07</v>
      </c>
      <c r="AG224" s="266">
        <f t="shared" si="63"/>
        <v>178264.159999998</v>
      </c>
      <c r="AH224" s="281"/>
      <c r="AI224" s="282"/>
      <c r="AJ224" s="282"/>
      <c r="AK224" s="282"/>
      <c r="AL224" s="282"/>
      <c r="AM224" s="282"/>
      <c r="AN224" s="282"/>
      <c r="AO224" s="282"/>
      <c r="AP224" s="282"/>
      <c r="AQ224" s="282"/>
      <c r="AR224" s="282"/>
      <c r="AS224" s="282"/>
      <c r="AT224" s="282"/>
      <c r="AU224" s="282"/>
      <c r="AV224" s="282"/>
      <c r="AW224" s="282"/>
      <c r="AX224" s="282"/>
      <c r="AY224" s="282"/>
      <c r="AZ224" s="282"/>
      <c r="BA224" s="282"/>
      <c r="BB224" s="282"/>
      <c r="BC224" s="282"/>
    </row>
    <row r="225" ht="15" customHeight="1" spans="1:55">
      <c r="A225" s="189">
        <v>42955</v>
      </c>
      <c r="B225" s="184" t="s">
        <v>35</v>
      </c>
      <c r="C225" s="185">
        <v>78645</v>
      </c>
      <c r="D225" s="186">
        <f>49520+10463</f>
        <v>59983</v>
      </c>
      <c r="E225" s="186">
        <v>143043</v>
      </c>
      <c r="F225" s="187">
        <v>6868.2</v>
      </c>
      <c r="G225" s="186">
        <v>4649.7</v>
      </c>
      <c r="H225" s="188"/>
      <c r="I225" s="188"/>
      <c r="J225" s="214">
        <f t="shared" si="60"/>
        <v>83060</v>
      </c>
      <c r="K225" s="186">
        <v>518</v>
      </c>
      <c r="L225" s="186">
        <v>2727</v>
      </c>
      <c r="M225" s="215">
        <f t="shared" si="61"/>
        <v>1170</v>
      </c>
      <c r="N225" s="216">
        <f t="shared" si="71"/>
        <v>574007</v>
      </c>
      <c r="O225" s="219">
        <f t="shared" si="71"/>
        <v>470175</v>
      </c>
      <c r="P225" s="218">
        <f t="shared" si="71"/>
        <v>1076866</v>
      </c>
      <c r="Q225" s="238">
        <f t="shared" si="72"/>
        <v>14453294.72</v>
      </c>
      <c r="R225" s="217">
        <f t="shared" si="72"/>
        <v>7989728</v>
      </c>
      <c r="S225" s="239">
        <f t="shared" si="72"/>
        <v>22847977.72</v>
      </c>
      <c r="T225" s="240">
        <f>N225/'2017'!N225-1</f>
        <v>-0.082758466403642</v>
      </c>
      <c r="U225" s="241">
        <f>O225/'2017'!O225-1</f>
        <v>0.277378707773896</v>
      </c>
      <c r="V225" s="241">
        <f>P225/'2017'!P225-1</f>
        <v>0.0427250949414277</v>
      </c>
      <c r="W225" s="241">
        <f>Q225/'2017'!Q225-1</f>
        <v>0.0932076953166707</v>
      </c>
      <c r="X225" s="241">
        <f>R225/'2017'!R225-1</f>
        <v>0.136759206853682</v>
      </c>
      <c r="Y225" s="262">
        <f>S225/'2017'!S225-1</f>
        <v>0.0990492539897967</v>
      </c>
      <c r="Z225" s="263"/>
      <c r="AA225" s="264">
        <f t="shared" si="66"/>
        <v>1445.329472</v>
      </c>
      <c r="AB225" s="265"/>
      <c r="AC225" s="266"/>
      <c r="AD225" s="265">
        <f t="shared" si="62"/>
        <v>14858249.72</v>
      </c>
      <c r="AE225" s="186">
        <f t="shared" si="64"/>
        <v>138871.77</v>
      </c>
      <c r="AF225" s="186">
        <f t="shared" si="70"/>
        <v>86649.07</v>
      </c>
      <c r="AG225" s="266">
        <f t="shared" si="63"/>
        <v>179434.159999998</v>
      </c>
      <c r="AH225" s="281"/>
      <c r="AI225" s="282"/>
      <c r="AJ225" s="282"/>
      <c r="AK225" s="282"/>
      <c r="AL225" s="282"/>
      <c r="AM225" s="282"/>
      <c r="AN225" s="282"/>
      <c r="AO225" s="282"/>
      <c r="AP225" s="282"/>
      <c r="AQ225" s="282"/>
      <c r="AR225" s="282"/>
      <c r="AS225" s="282"/>
      <c r="AT225" s="282"/>
      <c r="AU225" s="282"/>
      <c r="AV225" s="282"/>
      <c r="AW225" s="282"/>
      <c r="AX225" s="282"/>
      <c r="AY225" s="282"/>
      <c r="AZ225" s="282"/>
      <c r="BA225" s="282"/>
      <c r="BB225" s="282"/>
      <c r="BC225" s="282"/>
    </row>
    <row r="226" s="163" customFormat="1" ht="15" customHeight="1" spans="1:55">
      <c r="A226" s="190">
        <v>42956</v>
      </c>
      <c r="B226" s="191" t="s">
        <v>36</v>
      </c>
      <c r="C226" s="192">
        <f>73059+6348</f>
        <v>79407</v>
      </c>
      <c r="D226" s="193">
        <f>46083+13603</f>
        <v>59686</v>
      </c>
      <c r="E226" s="193">
        <f>98224+46083</f>
        <v>144307</v>
      </c>
      <c r="F226" s="194">
        <v>6923</v>
      </c>
      <c r="G226" s="193">
        <v>4720</v>
      </c>
      <c r="H226" s="195"/>
      <c r="I226" s="195"/>
      <c r="J226" s="220">
        <f t="shared" si="60"/>
        <v>84621</v>
      </c>
      <c r="K226" s="193">
        <v>954</v>
      </c>
      <c r="L226" s="193">
        <v>3161</v>
      </c>
      <c r="M226" s="221">
        <f t="shared" si="61"/>
        <v>1099</v>
      </c>
      <c r="N226" s="222">
        <f t="shared" si="71"/>
        <v>653414</v>
      </c>
      <c r="O226" s="225">
        <f t="shared" si="71"/>
        <v>529861</v>
      </c>
      <c r="P226" s="224">
        <f t="shared" si="71"/>
        <v>1221173</v>
      </c>
      <c r="Q226" s="242">
        <f t="shared" si="72"/>
        <v>14532701.72</v>
      </c>
      <c r="R226" s="223">
        <f t="shared" si="72"/>
        <v>8049414</v>
      </c>
      <c r="S226" s="243">
        <f t="shared" si="72"/>
        <v>22992284.72</v>
      </c>
      <c r="T226" s="244">
        <f>N226/'2017'!N226-1</f>
        <v>-0.0719816615916011</v>
      </c>
      <c r="U226" s="245">
        <f>O226/'2017'!O226-1</f>
        <v>0.267197753840856</v>
      </c>
      <c r="V226" s="245">
        <f>P226/'2017'!P226-1</f>
        <v>0.0492538121354231</v>
      </c>
      <c r="W226" s="245">
        <f>Q226/'2017'!Q226-1</f>
        <v>0.092742251902532</v>
      </c>
      <c r="X226" s="245">
        <f>R226/'2017'!R226-1</f>
        <v>0.137152239180445</v>
      </c>
      <c r="Y226" s="267">
        <f>S226/'2017'!S226-1</f>
        <v>0.0990594810369221</v>
      </c>
      <c r="Z226" s="268">
        <v>73.66</v>
      </c>
      <c r="AA226" s="269">
        <f t="shared" si="66"/>
        <v>1379.610172</v>
      </c>
      <c r="AB226" s="270">
        <v>4283.88</v>
      </c>
      <c r="AC226" s="221">
        <f t="shared" si="69"/>
        <v>3220.46876196345</v>
      </c>
      <c r="AD226" s="270">
        <f t="shared" si="62"/>
        <v>14942870.72</v>
      </c>
      <c r="AE226" s="193">
        <f t="shared" si="64"/>
        <v>139825.77</v>
      </c>
      <c r="AF226" s="193">
        <f t="shared" si="70"/>
        <v>89810.07</v>
      </c>
      <c r="AG226" s="221">
        <f t="shared" si="63"/>
        <v>180533.159999998</v>
      </c>
      <c r="AH226" s="281"/>
      <c r="AI226" s="282"/>
      <c r="AJ226" s="282"/>
      <c r="AK226" s="282"/>
      <c r="AL226" s="282"/>
      <c r="AM226" s="282"/>
      <c r="AN226" s="282"/>
      <c r="AO226" s="282"/>
      <c r="AP226" s="282"/>
      <c r="AQ226" s="282"/>
      <c r="AR226" s="282"/>
      <c r="AS226" s="282"/>
      <c r="AT226" s="282"/>
      <c r="AU226" s="282"/>
      <c r="AV226" s="282"/>
      <c r="AW226" s="282"/>
      <c r="AX226" s="282"/>
      <c r="AY226" s="282"/>
      <c r="AZ226" s="282"/>
      <c r="BA226" s="282"/>
      <c r="BB226" s="282"/>
      <c r="BC226" s="282"/>
    </row>
    <row r="227" ht="15" customHeight="1" spans="1:55">
      <c r="A227" s="189">
        <v>42957</v>
      </c>
      <c r="B227" s="184" t="s">
        <v>37</v>
      </c>
      <c r="C227" s="185">
        <v>79715</v>
      </c>
      <c r="D227" s="186">
        <f>48818+10646</f>
        <v>59464</v>
      </c>
      <c r="E227" s="186">
        <v>144458</v>
      </c>
      <c r="F227" s="187">
        <v>6964.6</v>
      </c>
      <c r="G227" s="186">
        <v>4705.5</v>
      </c>
      <c r="H227" s="188"/>
      <c r="I227" s="188"/>
      <c r="J227" s="214">
        <f t="shared" si="60"/>
        <v>84994</v>
      </c>
      <c r="K227" s="186">
        <v>771</v>
      </c>
      <c r="L227" s="186">
        <v>3394</v>
      </c>
      <c r="M227" s="215">
        <f t="shared" si="61"/>
        <v>1114</v>
      </c>
      <c r="N227" s="216">
        <f t="shared" si="71"/>
        <v>733129</v>
      </c>
      <c r="O227" s="219">
        <f t="shared" si="71"/>
        <v>589325</v>
      </c>
      <c r="P227" s="218">
        <f t="shared" si="71"/>
        <v>1365631</v>
      </c>
      <c r="Q227" s="238">
        <f t="shared" si="72"/>
        <v>14612416.72</v>
      </c>
      <c r="R227" s="217">
        <f t="shared" si="72"/>
        <v>8108878</v>
      </c>
      <c r="S227" s="239">
        <f t="shared" si="72"/>
        <v>23136742.72</v>
      </c>
      <c r="T227" s="240">
        <f>N227/'2017'!N227-1</f>
        <v>-0.0590052624823514</v>
      </c>
      <c r="U227" s="241">
        <f>O227/'2017'!O227-1</f>
        <v>0.258209076313452</v>
      </c>
      <c r="V227" s="241">
        <f>P227/'2017'!P227-1</f>
        <v>0.0577267446363565</v>
      </c>
      <c r="W227" s="241">
        <f>Q227/'2017'!Q227-1</f>
        <v>0.0925743896588214</v>
      </c>
      <c r="X227" s="241">
        <f>R227/'2017'!R227-1</f>
        <v>0.137478292340107</v>
      </c>
      <c r="Y227" s="262">
        <f>S227/'2017'!S227-1</f>
        <v>0.0992781124325695</v>
      </c>
      <c r="Z227" s="263"/>
      <c r="AA227" s="264">
        <f t="shared" si="66"/>
        <v>1461.241672</v>
      </c>
      <c r="AB227" s="265"/>
      <c r="AC227" s="266"/>
      <c r="AD227" s="265">
        <f t="shared" si="62"/>
        <v>15027864.72</v>
      </c>
      <c r="AE227" s="186">
        <f t="shared" si="64"/>
        <v>140596.77</v>
      </c>
      <c r="AF227" s="186">
        <f t="shared" si="70"/>
        <v>93204.07</v>
      </c>
      <c r="AG227" s="266">
        <f t="shared" si="63"/>
        <v>181647.159999998</v>
      </c>
      <c r="AH227" s="281"/>
      <c r="AI227" s="282"/>
      <c r="AJ227" s="282"/>
      <c r="AK227" s="282"/>
      <c r="AL227" s="282"/>
      <c r="AM227" s="282"/>
      <c r="AN227" s="282"/>
      <c r="AO227" s="282"/>
      <c r="AP227" s="282"/>
      <c r="AQ227" s="282"/>
      <c r="AR227" s="282"/>
      <c r="AS227" s="282"/>
      <c r="AT227" s="282"/>
      <c r="AU227" s="282"/>
      <c r="AV227" s="282"/>
      <c r="AW227" s="282"/>
      <c r="AX227" s="282"/>
      <c r="AY227" s="282"/>
      <c r="AZ227" s="282"/>
      <c r="BA227" s="282"/>
      <c r="BB227" s="282"/>
      <c r="BC227" s="282"/>
    </row>
    <row r="228" ht="15" customHeight="1" spans="1:55">
      <c r="A228" s="189">
        <v>42958</v>
      </c>
      <c r="B228" s="184" t="s">
        <v>38</v>
      </c>
      <c r="C228" s="185">
        <v>78226</v>
      </c>
      <c r="D228" s="186">
        <f>48669+10668</f>
        <v>59337</v>
      </c>
      <c r="E228" s="186">
        <v>142648</v>
      </c>
      <c r="F228" s="187">
        <v>6845.7</v>
      </c>
      <c r="G228" s="186">
        <v>4732.4</v>
      </c>
      <c r="H228" s="188"/>
      <c r="I228" s="188"/>
      <c r="J228" s="214">
        <f t="shared" si="60"/>
        <v>83311</v>
      </c>
      <c r="K228" s="186">
        <v>427</v>
      </c>
      <c r="L228" s="186">
        <v>3607</v>
      </c>
      <c r="M228" s="215">
        <f t="shared" si="61"/>
        <v>1051</v>
      </c>
      <c r="N228" s="216">
        <f t="shared" si="71"/>
        <v>811355</v>
      </c>
      <c r="O228" s="219">
        <f t="shared" si="71"/>
        <v>648662</v>
      </c>
      <c r="P228" s="218">
        <f t="shared" si="71"/>
        <v>1508279</v>
      </c>
      <c r="Q228" s="238">
        <f t="shared" si="72"/>
        <v>14690642.72</v>
      </c>
      <c r="R228" s="217">
        <f t="shared" si="72"/>
        <v>8168215</v>
      </c>
      <c r="S228" s="239">
        <f t="shared" si="72"/>
        <v>23279390.72</v>
      </c>
      <c r="T228" s="240">
        <f>N228/'2017'!N228-1</f>
        <v>-0.0544298235902193</v>
      </c>
      <c r="U228" s="241">
        <f>O228/'2017'!O228-1</f>
        <v>0.251629509854241</v>
      </c>
      <c r="V228" s="241">
        <f>P228/'2017'!P228-1</f>
        <v>0.0603649427206547</v>
      </c>
      <c r="W228" s="241">
        <f>Q228/'2017'!Q228-1</f>
        <v>0.0919765730444833</v>
      </c>
      <c r="X228" s="241">
        <f>R228/'2017'!R228-1</f>
        <v>0.137842001813701</v>
      </c>
      <c r="Y228" s="262">
        <f>S228/'2017'!S228-1</f>
        <v>0.099197667503754</v>
      </c>
      <c r="Z228" s="263"/>
      <c r="AA228" s="264">
        <f t="shared" si="66"/>
        <v>1469.064272</v>
      </c>
      <c r="AB228" s="265"/>
      <c r="AC228" s="266"/>
      <c r="AD228" s="265">
        <f t="shared" si="62"/>
        <v>15111175.72</v>
      </c>
      <c r="AE228" s="186">
        <f t="shared" si="64"/>
        <v>141023.77</v>
      </c>
      <c r="AF228" s="186">
        <f t="shared" si="70"/>
        <v>96811.07</v>
      </c>
      <c r="AG228" s="266">
        <f t="shared" si="63"/>
        <v>182698.159999998</v>
      </c>
      <c r="AH228" s="281"/>
      <c r="AI228" s="282"/>
      <c r="AJ228" s="282"/>
      <c r="AK228" s="282"/>
      <c r="AL228" s="282"/>
      <c r="AM228" s="282"/>
      <c r="AN228" s="282"/>
      <c r="AO228" s="282"/>
      <c r="AP228" s="282"/>
      <c r="AQ228" s="282"/>
      <c r="AR228" s="282"/>
      <c r="AS228" s="282"/>
      <c r="AT228" s="282"/>
      <c r="AU228" s="282"/>
      <c r="AV228" s="282"/>
      <c r="AW228" s="282"/>
      <c r="AX228" s="282"/>
      <c r="AY228" s="282"/>
      <c r="AZ228" s="282"/>
      <c r="BA228" s="282"/>
      <c r="BB228" s="282"/>
      <c r="BC228" s="282"/>
    </row>
    <row r="229" ht="15" customHeight="1" spans="1:55">
      <c r="A229" s="189">
        <v>42959</v>
      </c>
      <c r="B229" s="184" t="s">
        <v>1</v>
      </c>
      <c r="C229" s="185">
        <v>66280</v>
      </c>
      <c r="D229" s="186">
        <f>43604+10746</f>
        <v>54350</v>
      </c>
      <c r="E229" s="186">
        <v>125483</v>
      </c>
      <c r="F229" s="187">
        <v>5861.8</v>
      </c>
      <c r="G229" s="186">
        <v>4619.4</v>
      </c>
      <c r="H229" s="188"/>
      <c r="I229" s="188"/>
      <c r="J229" s="214">
        <f t="shared" si="60"/>
        <v>71133</v>
      </c>
      <c r="K229" s="186">
        <v>505</v>
      </c>
      <c r="L229" s="186">
        <v>3612</v>
      </c>
      <c r="M229" s="215">
        <f t="shared" si="61"/>
        <v>736</v>
      </c>
      <c r="N229" s="216">
        <f t="shared" si="71"/>
        <v>877635</v>
      </c>
      <c r="O229" s="219">
        <f t="shared" si="71"/>
        <v>703012</v>
      </c>
      <c r="P229" s="218">
        <f t="shared" si="71"/>
        <v>1633762</v>
      </c>
      <c r="Q229" s="238">
        <f t="shared" si="72"/>
        <v>14756922.72</v>
      </c>
      <c r="R229" s="217">
        <f t="shared" si="72"/>
        <v>8222565</v>
      </c>
      <c r="S229" s="239">
        <f t="shared" si="72"/>
        <v>23404873.72</v>
      </c>
      <c r="T229" s="240">
        <f>N229/'2017'!N229-1</f>
        <v>-0.0585739723676306</v>
      </c>
      <c r="U229" s="241">
        <f>O229/'2017'!O229-1</f>
        <v>0.242057504690763</v>
      </c>
      <c r="V229" s="241">
        <f>P229/'2017'!P229-1</f>
        <v>0.0560198669246987</v>
      </c>
      <c r="W229" s="241">
        <f>Q229/'2017'!Q229-1</f>
        <v>0.0908881250379812</v>
      </c>
      <c r="X229" s="241">
        <f>R229/'2017'!R229-1</f>
        <v>0.137844183901289</v>
      </c>
      <c r="Y229" s="262">
        <f>S229/'2017'!S229-1</f>
        <v>0.098654844776205</v>
      </c>
      <c r="Z229" s="263"/>
      <c r="AA229" s="264">
        <f t="shared" si="66"/>
        <v>1475.692272</v>
      </c>
      <c r="AB229" s="265"/>
      <c r="AC229" s="266"/>
      <c r="AD229" s="265">
        <f t="shared" si="62"/>
        <v>15182308.72</v>
      </c>
      <c r="AE229" s="186">
        <f t="shared" si="64"/>
        <v>141528.77</v>
      </c>
      <c r="AF229" s="186">
        <f t="shared" si="70"/>
        <v>100423.07</v>
      </c>
      <c r="AG229" s="266">
        <f t="shared" si="63"/>
        <v>183434.159999998</v>
      </c>
      <c r="AH229" s="281"/>
      <c r="AI229" s="282"/>
      <c r="AJ229" s="282"/>
      <c r="AK229" s="282"/>
      <c r="AL229" s="282"/>
      <c r="AM229" s="282"/>
      <c r="AN229" s="282"/>
      <c r="AO229" s="282"/>
      <c r="AP229" s="282"/>
      <c r="AQ229" s="282"/>
      <c r="AR229" s="282"/>
      <c r="AS229" s="282"/>
      <c r="AT229" s="282"/>
      <c r="AU229" s="282"/>
      <c r="AV229" s="282"/>
      <c r="AW229" s="282"/>
      <c r="AX229" s="282"/>
      <c r="AY229" s="282"/>
      <c r="AZ229" s="282"/>
      <c r="BA229" s="282"/>
      <c r="BB229" s="282"/>
      <c r="BC229" s="282"/>
    </row>
    <row r="230" ht="15" customHeight="1" spans="1:55">
      <c r="A230" s="189">
        <v>42960</v>
      </c>
      <c r="B230" s="184" t="s">
        <v>39</v>
      </c>
      <c r="C230" s="185">
        <v>67299</v>
      </c>
      <c r="D230" s="186">
        <f>46285+10748</f>
        <v>57033</v>
      </c>
      <c r="E230" s="186">
        <v>129660</v>
      </c>
      <c r="F230" s="187">
        <v>6521.9</v>
      </c>
      <c r="G230" s="186">
        <v>4031.3</v>
      </c>
      <c r="H230" s="188"/>
      <c r="I230" s="188"/>
      <c r="J230" s="214">
        <f t="shared" si="60"/>
        <v>72627</v>
      </c>
      <c r="K230" s="186">
        <v>382</v>
      </c>
      <c r="L230" s="186">
        <v>3615</v>
      </c>
      <c r="M230" s="215">
        <f t="shared" si="61"/>
        <v>1331</v>
      </c>
      <c r="N230" s="216">
        <f t="shared" si="71"/>
        <v>944934</v>
      </c>
      <c r="O230" s="219">
        <f t="shared" si="71"/>
        <v>760045</v>
      </c>
      <c r="P230" s="218">
        <f t="shared" si="71"/>
        <v>1763422</v>
      </c>
      <c r="Q230" s="238">
        <f t="shared" si="72"/>
        <v>14824221.72</v>
      </c>
      <c r="R230" s="217">
        <f t="shared" si="72"/>
        <v>8279598</v>
      </c>
      <c r="S230" s="239">
        <f t="shared" si="72"/>
        <v>23534533.72</v>
      </c>
      <c r="T230" s="240">
        <f>N230/'2017'!N230-1</f>
        <v>-0.0564398236168139</v>
      </c>
      <c r="U230" s="241">
        <f>O230/'2017'!O230-1</f>
        <v>0.235226910750388</v>
      </c>
      <c r="V230" s="241">
        <f>P230/'2017'!P230-1</f>
        <v>0.0572587757558971</v>
      </c>
      <c r="W230" s="241">
        <f>Q230/'2017'!Q230-1</f>
        <v>0.090284453592459</v>
      </c>
      <c r="X230" s="241">
        <f>R230/'2017'!R230-1</f>
        <v>0.137972693926559</v>
      </c>
      <c r="Y230" s="262">
        <f>S230/'2017'!S230-1</f>
        <v>0.0985108489429471</v>
      </c>
      <c r="Z230" s="263"/>
      <c r="AA230" s="264">
        <f t="shared" si="66"/>
        <v>1482.422172</v>
      </c>
      <c r="AB230" s="265"/>
      <c r="AC230" s="266"/>
      <c r="AD230" s="265">
        <f t="shared" si="62"/>
        <v>15254935.72</v>
      </c>
      <c r="AE230" s="186">
        <f t="shared" si="64"/>
        <v>141910.77</v>
      </c>
      <c r="AF230" s="186">
        <f t="shared" si="70"/>
        <v>104038.07</v>
      </c>
      <c r="AG230" s="266">
        <f t="shared" si="63"/>
        <v>184765.159999998</v>
      </c>
      <c r="AH230" s="281"/>
      <c r="AI230" s="282"/>
      <c r="AJ230" s="282"/>
      <c r="AK230" s="282"/>
      <c r="AL230" s="282"/>
      <c r="AM230" s="282"/>
      <c r="AN230" s="282"/>
      <c r="AO230" s="282"/>
      <c r="AP230" s="282"/>
      <c r="AQ230" s="282"/>
      <c r="AR230" s="282"/>
      <c r="AS230" s="282"/>
      <c r="AT230" s="282"/>
      <c r="AU230" s="282"/>
      <c r="AV230" s="282"/>
      <c r="AW230" s="282"/>
      <c r="AX230" s="282"/>
      <c r="AY230" s="282"/>
      <c r="AZ230" s="282"/>
      <c r="BA230" s="282"/>
      <c r="BB230" s="282"/>
      <c r="BC230" s="282"/>
    </row>
    <row r="231" ht="15" customHeight="1" spans="1:55">
      <c r="A231" s="189">
        <v>42961</v>
      </c>
      <c r="B231" s="184" t="s">
        <v>34</v>
      </c>
      <c r="C231" s="185">
        <v>70186</v>
      </c>
      <c r="D231" s="186">
        <f>48417+10697</f>
        <v>59114</v>
      </c>
      <c r="E231" s="186">
        <v>134462</v>
      </c>
      <c r="F231" s="187">
        <v>6529.2</v>
      </c>
      <c r="G231" s="186">
        <v>4313.4</v>
      </c>
      <c r="H231" s="188"/>
      <c r="I231" s="188"/>
      <c r="J231" s="214">
        <f t="shared" si="60"/>
        <v>75348</v>
      </c>
      <c r="K231" s="186">
        <v>373</v>
      </c>
      <c r="L231" s="186">
        <v>3553</v>
      </c>
      <c r="M231" s="215">
        <f t="shared" si="61"/>
        <v>1236</v>
      </c>
      <c r="N231" s="216">
        <f t="shared" si="71"/>
        <v>1015120</v>
      </c>
      <c r="O231" s="219">
        <f t="shared" si="71"/>
        <v>819159</v>
      </c>
      <c r="P231" s="218">
        <f t="shared" si="71"/>
        <v>1897884</v>
      </c>
      <c r="Q231" s="238">
        <f t="shared" si="72"/>
        <v>14894407.72</v>
      </c>
      <c r="R231" s="217">
        <f t="shared" si="72"/>
        <v>8338712</v>
      </c>
      <c r="S231" s="239">
        <f t="shared" si="72"/>
        <v>23668995.72</v>
      </c>
      <c r="T231" s="240">
        <f>N231/'2017'!N231-1</f>
        <v>-0.058824402030103</v>
      </c>
      <c r="U231" s="241">
        <f>O231/'2017'!O231-1</f>
        <v>0.232553870506152</v>
      </c>
      <c r="V231" s="241">
        <f>P231/'2017'!P231-1</f>
        <v>0.0561267162412502</v>
      </c>
      <c r="W231" s="241">
        <f>Q231/'2017'!Q231-1</f>
        <v>0.0892689443984409</v>
      </c>
      <c r="X231" s="241">
        <f>R231/'2017'!R231-1</f>
        <v>0.138384655699444</v>
      </c>
      <c r="Y231" s="262">
        <f>S231/'2017'!S231-1</f>
        <v>0.0981693606334635</v>
      </c>
      <c r="Z231" s="263"/>
      <c r="AA231" s="264">
        <f t="shared" si="66"/>
        <v>1489.440772</v>
      </c>
      <c r="AB231" s="265"/>
      <c r="AC231" s="266"/>
      <c r="AD231" s="265">
        <f t="shared" si="62"/>
        <v>15330283.72</v>
      </c>
      <c r="AE231" s="186">
        <f t="shared" si="64"/>
        <v>142283.77</v>
      </c>
      <c r="AF231" s="186">
        <f t="shared" ref="AF231:AF246" si="73">AF230+L231</f>
        <v>107591.07</v>
      </c>
      <c r="AG231" s="266">
        <f t="shared" si="63"/>
        <v>186001.159999998</v>
      </c>
      <c r="AH231" s="281"/>
      <c r="AI231" s="282"/>
      <c r="AJ231" s="282"/>
      <c r="AK231" s="282"/>
      <c r="AL231" s="282"/>
      <c r="AM231" s="282"/>
      <c r="AN231" s="282"/>
      <c r="AO231" s="282"/>
      <c r="AP231" s="282"/>
      <c r="AQ231" s="282"/>
      <c r="AR231" s="282"/>
      <c r="AS231" s="282"/>
      <c r="AT231" s="282"/>
      <c r="AU231" s="282"/>
      <c r="AV231" s="282"/>
      <c r="AW231" s="282"/>
      <c r="AX231" s="282"/>
      <c r="AY231" s="282"/>
      <c r="AZ231" s="282"/>
      <c r="BA231" s="282"/>
      <c r="BB231" s="282"/>
      <c r="BC231" s="282"/>
    </row>
    <row r="232" ht="15" customHeight="1" spans="1:55">
      <c r="A232" s="189">
        <v>42962</v>
      </c>
      <c r="B232" s="184" t="s">
        <v>35</v>
      </c>
      <c r="C232" s="185">
        <v>69975</v>
      </c>
      <c r="D232" s="186">
        <f>49666+10694</f>
        <v>60360</v>
      </c>
      <c r="E232" s="186">
        <v>136037</v>
      </c>
      <c r="F232" s="187">
        <v>6600.3</v>
      </c>
      <c r="G232" s="186">
        <v>4407.4</v>
      </c>
      <c r="H232" s="188"/>
      <c r="I232" s="188"/>
      <c r="J232" s="214">
        <f t="shared" si="60"/>
        <v>75677</v>
      </c>
      <c r="K232" s="186">
        <v>1019</v>
      </c>
      <c r="L232" s="186">
        <v>3570</v>
      </c>
      <c r="M232" s="215">
        <f t="shared" si="61"/>
        <v>1113</v>
      </c>
      <c r="N232" s="216">
        <f t="shared" si="71"/>
        <v>1085095</v>
      </c>
      <c r="O232" s="219">
        <f t="shared" si="71"/>
        <v>879519</v>
      </c>
      <c r="P232" s="218">
        <f t="shared" si="71"/>
        <v>2033921</v>
      </c>
      <c r="Q232" s="238">
        <f t="shared" si="72"/>
        <v>14964382.72</v>
      </c>
      <c r="R232" s="217">
        <f t="shared" si="72"/>
        <v>8399072</v>
      </c>
      <c r="S232" s="239">
        <f t="shared" si="72"/>
        <v>23805032.72</v>
      </c>
      <c r="T232" s="240">
        <f>N232/'2017'!N232-1</f>
        <v>-0.0623722756090375</v>
      </c>
      <c r="U232" s="241">
        <f>O232/'2017'!O232-1</f>
        <v>0.23445594582266</v>
      </c>
      <c r="V232" s="241">
        <f>P232/'2017'!P232-1</f>
        <v>0.0562970002908305</v>
      </c>
      <c r="W232" s="241">
        <f>Q232/'2017'!Q232-1</f>
        <v>0.0881227909550839</v>
      </c>
      <c r="X232" s="241">
        <f>R232/'2017'!R232-1</f>
        <v>0.139179897872089</v>
      </c>
      <c r="Y232" s="262">
        <f>S232/'2017'!S232-1</f>
        <v>0.0979353160909053</v>
      </c>
      <c r="Z232" s="263"/>
      <c r="AA232" s="264">
        <f t="shared" si="66"/>
        <v>1496.438272</v>
      </c>
      <c r="AB232" s="265"/>
      <c r="AC232" s="266"/>
      <c r="AD232" s="265">
        <f t="shared" si="62"/>
        <v>15405960.72</v>
      </c>
      <c r="AE232" s="186">
        <f t="shared" si="64"/>
        <v>143302.77</v>
      </c>
      <c r="AF232" s="186">
        <f t="shared" si="73"/>
        <v>111161.07</v>
      </c>
      <c r="AG232" s="266">
        <f t="shared" si="63"/>
        <v>187114.159999998</v>
      </c>
      <c r="AH232" s="281"/>
      <c r="AI232" s="282"/>
      <c r="AJ232" s="282"/>
      <c r="AK232" s="282"/>
      <c r="AL232" s="282"/>
      <c r="AM232" s="282"/>
      <c r="AN232" s="282"/>
      <c r="AO232" s="282"/>
      <c r="AP232" s="282"/>
      <c r="AQ232" s="282"/>
      <c r="AR232" s="282"/>
      <c r="AS232" s="282"/>
      <c r="AT232" s="282"/>
      <c r="AU232" s="282"/>
      <c r="AV232" s="282"/>
      <c r="AW232" s="282"/>
      <c r="AX232" s="282"/>
      <c r="AY232" s="282"/>
      <c r="AZ232" s="282"/>
      <c r="BA232" s="282"/>
      <c r="BB232" s="282"/>
      <c r="BC232" s="282"/>
    </row>
    <row r="233" s="163" customFormat="1" ht="15" customHeight="1" spans="1:55">
      <c r="A233" s="190">
        <v>42963</v>
      </c>
      <c r="B233" s="191" t="s">
        <v>36</v>
      </c>
      <c r="C233" s="192">
        <f>63801+4318</f>
        <v>68119</v>
      </c>
      <c r="D233" s="193">
        <f>45188+13674</f>
        <v>58862</v>
      </c>
      <c r="E233" s="193">
        <f>87029+45188</f>
        <v>132217</v>
      </c>
      <c r="F233" s="194">
        <v>6464</v>
      </c>
      <c r="G233" s="193">
        <v>4404</v>
      </c>
      <c r="H233" s="195"/>
      <c r="I233" s="195"/>
      <c r="J233" s="220">
        <f t="shared" si="60"/>
        <v>73355</v>
      </c>
      <c r="K233" s="193">
        <v>661</v>
      </c>
      <c r="L233" s="193">
        <v>3291</v>
      </c>
      <c r="M233" s="221">
        <f t="shared" si="61"/>
        <v>1284</v>
      </c>
      <c r="N233" s="222">
        <f t="shared" si="71"/>
        <v>1153214</v>
      </c>
      <c r="O233" s="225">
        <f t="shared" si="71"/>
        <v>938381</v>
      </c>
      <c r="P233" s="224">
        <f t="shared" si="71"/>
        <v>2166138</v>
      </c>
      <c r="Q233" s="242">
        <f t="shared" si="72"/>
        <v>15032501.72</v>
      </c>
      <c r="R233" s="223">
        <f t="shared" si="72"/>
        <v>8457934</v>
      </c>
      <c r="S233" s="243">
        <f t="shared" si="72"/>
        <v>23937249.72</v>
      </c>
      <c r="T233" s="244">
        <f>N233/'2017'!N233-1</f>
        <v>-0.0634920634920635</v>
      </c>
      <c r="U233" s="245">
        <f>O233/'2017'!O233-1</f>
        <v>0.234615996916029</v>
      </c>
      <c r="V233" s="245">
        <f>P233/'2017'!P233-1</f>
        <v>0.0569120130451521</v>
      </c>
      <c r="W233" s="245">
        <f>Q233/'2017'!Q233-1</f>
        <v>0.0872162953610147</v>
      </c>
      <c r="X233" s="245">
        <f>R233/'2017'!R233-1</f>
        <v>0.139807250055421</v>
      </c>
      <c r="Y233" s="267">
        <f>S233/'2017'!S233-1</f>
        <v>0.0977563838650037</v>
      </c>
      <c r="Z233" s="268">
        <v>76.53</v>
      </c>
      <c r="AA233" s="269">
        <f t="shared" si="66"/>
        <v>1426.720172</v>
      </c>
      <c r="AB233" s="270">
        <v>4283.88</v>
      </c>
      <c r="AC233" s="221">
        <f t="shared" si="69"/>
        <v>3330.43916262827</v>
      </c>
      <c r="AD233" s="270">
        <f t="shared" si="62"/>
        <v>15479315.72</v>
      </c>
      <c r="AE233" s="193">
        <f t="shared" si="64"/>
        <v>143963.77</v>
      </c>
      <c r="AF233" s="193">
        <f t="shared" si="73"/>
        <v>114452.07</v>
      </c>
      <c r="AG233" s="221">
        <f t="shared" si="63"/>
        <v>188398.159999998</v>
      </c>
      <c r="AH233" s="281"/>
      <c r="AI233" s="282"/>
      <c r="AJ233" s="282"/>
      <c r="AK233" s="282"/>
      <c r="AL233" s="282"/>
      <c r="AM233" s="282"/>
      <c r="AN233" s="282"/>
      <c r="AO233" s="282"/>
      <c r="AP233" s="282"/>
      <c r="AQ233" s="282"/>
      <c r="AR233" s="282"/>
      <c r="AS233" s="282"/>
      <c r="AT233" s="282"/>
      <c r="AU233" s="282"/>
      <c r="AV233" s="282"/>
      <c r="AW233" s="282"/>
      <c r="AX233" s="282"/>
      <c r="AY233" s="282"/>
      <c r="AZ233" s="282"/>
      <c r="BA233" s="282"/>
      <c r="BB233" s="282"/>
      <c r="BC233" s="282"/>
    </row>
    <row r="234" ht="15" customHeight="1" spans="1:55">
      <c r="A234" s="189">
        <v>42964</v>
      </c>
      <c r="B234" s="184" t="s">
        <v>37</v>
      </c>
      <c r="C234" s="185">
        <v>69806</v>
      </c>
      <c r="D234" s="186">
        <f>43871+10571</f>
        <v>54442</v>
      </c>
      <c r="E234" s="186">
        <v>128295</v>
      </c>
      <c r="F234" s="187">
        <v>6305.1</v>
      </c>
      <c r="G234" s="186">
        <v>4216.8</v>
      </c>
      <c r="H234" s="188"/>
      <c r="I234" s="188"/>
      <c r="J234" s="214">
        <f t="shared" si="60"/>
        <v>73853</v>
      </c>
      <c r="K234" s="186">
        <v>567</v>
      </c>
      <c r="L234" s="186">
        <v>2415</v>
      </c>
      <c r="M234" s="215">
        <f t="shared" si="61"/>
        <v>1065</v>
      </c>
      <c r="N234" s="216">
        <f t="shared" si="71"/>
        <v>1223020</v>
      </c>
      <c r="O234" s="219">
        <f t="shared" si="71"/>
        <v>992823</v>
      </c>
      <c r="P234" s="218">
        <f t="shared" si="71"/>
        <v>2294433</v>
      </c>
      <c r="Q234" s="238">
        <f t="shared" si="72"/>
        <v>15102307.72</v>
      </c>
      <c r="R234" s="217">
        <f t="shared" si="72"/>
        <v>8512376</v>
      </c>
      <c r="S234" s="239">
        <f t="shared" si="72"/>
        <v>24065544.72</v>
      </c>
      <c r="T234" s="240">
        <f>N234/'2017'!N234-1</f>
        <v>-0.0618256742586204</v>
      </c>
      <c r="U234" s="241">
        <f>O234/'2017'!O234-1</f>
        <v>0.228438787971774</v>
      </c>
      <c r="V234" s="241">
        <f>P234/'2017'!P234-1</f>
        <v>0.0561864319005696</v>
      </c>
      <c r="W234" s="241">
        <f>Q234/'2017'!Q234-1</f>
        <v>0.0865895028668247</v>
      </c>
      <c r="X234" s="241">
        <f>R234/'2017'!R234-1</f>
        <v>0.13974990075161</v>
      </c>
      <c r="Y234" s="262">
        <f>S234/'2017'!S234-1</f>
        <v>0.0974556285940205</v>
      </c>
      <c r="Z234" s="263"/>
      <c r="AA234" s="264">
        <f t="shared" si="66"/>
        <v>1510.230772</v>
      </c>
      <c r="AB234" s="265"/>
      <c r="AC234" s="266"/>
      <c r="AD234" s="265">
        <f t="shared" si="62"/>
        <v>15553168.72</v>
      </c>
      <c r="AE234" s="186">
        <f t="shared" si="64"/>
        <v>144530.77</v>
      </c>
      <c r="AF234" s="186">
        <f t="shared" si="73"/>
        <v>116867.07</v>
      </c>
      <c r="AG234" s="266">
        <f t="shared" si="63"/>
        <v>189463.159999998</v>
      </c>
      <c r="AH234" s="281"/>
      <c r="AI234" s="282"/>
      <c r="AJ234" s="282"/>
      <c r="AK234" s="282"/>
      <c r="AL234" s="282"/>
      <c r="AM234" s="282"/>
      <c r="AN234" s="282"/>
      <c r="AO234" s="282"/>
      <c r="AP234" s="282"/>
      <c r="AQ234" s="282"/>
      <c r="AR234" s="282"/>
      <c r="AS234" s="282"/>
      <c r="AT234" s="282"/>
      <c r="AU234" s="282"/>
      <c r="AV234" s="282"/>
      <c r="AW234" s="282"/>
      <c r="AX234" s="282"/>
      <c r="AY234" s="282"/>
      <c r="AZ234" s="282"/>
      <c r="BA234" s="282"/>
      <c r="BB234" s="282"/>
      <c r="BC234" s="282"/>
    </row>
    <row r="235" ht="15" customHeight="1" spans="1:55">
      <c r="A235" s="189">
        <v>42965</v>
      </c>
      <c r="B235" s="184" t="s">
        <v>38</v>
      </c>
      <c r="C235" s="185">
        <v>69170</v>
      </c>
      <c r="D235" s="186">
        <f>37003+10552</f>
        <v>47555</v>
      </c>
      <c r="E235" s="186">
        <v>127388</v>
      </c>
      <c r="F235" s="187">
        <v>6229.8</v>
      </c>
      <c r="G235" s="186">
        <v>4201.3</v>
      </c>
      <c r="H235" s="188"/>
      <c r="I235" s="188"/>
      <c r="J235" s="214">
        <f t="shared" si="60"/>
        <v>79833</v>
      </c>
      <c r="K235" s="186">
        <v>277</v>
      </c>
      <c r="L235" s="186">
        <v>1047</v>
      </c>
      <c r="M235" s="215">
        <f t="shared" si="61"/>
        <v>9339</v>
      </c>
      <c r="N235" s="216">
        <f t="shared" ref="N235:P247" si="74">N234+C235</f>
        <v>1292190</v>
      </c>
      <c r="O235" s="219">
        <f t="shared" si="74"/>
        <v>1040378</v>
      </c>
      <c r="P235" s="218">
        <f t="shared" si="74"/>
        <v>2421821</v>
      </c>
      <c r="Q235" s="238">
        <f t="shared" si="72"/>
        <v>15171477.72</v>
      </c>
      <c r="R235" s="217">
        <f t="shared" si="72"/>
        <v>8559931</v>
      </c>
      <c r="S235" s="239">
        <f t="shared" si="72"/>
        <v>24192932.72</v>
      </c>
      <c r="T235" s="240">
        <f>N235/'2017'!N235-1</f>
        <v>-0.0601065152972086</v>
      </c>
      <c r="U235" s="241">
        <f>O235/'2017'!O235-1</f>
        <v>0.215197532176434</v>
      </c>
      <c r="V235" s="241">
        <f>P235/'2017'!P235-1</f>
        <v>0.0558117534222686</v>
      </c>
      <c r="W235" s="241">
        <f>Q235/'2017'!Q235-1</f>
        <v>0.0860021773733186</v>
      </c>
      <c r="X235" s="241">
        <f>R235/'2017'!R235-1</f>
        <v>0.138807369047738</v>
      </c>
      <c r="Y235" s="262">
        <f>S235/'2017'!S235-1</f>
        <v>0.0971893894853495</v>
      </c>
      <c r="Z235" s="263"/>
      <c r="AA235" s="264">
        <f t="shared" si="66"/>
        <v>1517.147772</v>
      </c>
      <c r="AB235" s="265"/>
      <c r="AC235" s="266"/>
      <c r="AD235" s="265">
        <f t="shared" si="62"/>
        <v>15633001.72</v>
      </c>
      <c r="AE235" s="186">
        <f t="shared" si="64"/>
        <v>144807.77</v>
      </c>
      <c r="AF235" s="186">
        <f t="shared" si="73"/>
        <v>117914.07</v>
      </c>
      <c r="AG235" s="266">
        <f t="shared" si="63"/>
        <v>198802.159999998</v>
      </c>
      <c r="AH235" s="281"/>
      <c r="AI235" s="282"/>
      <c r="AJ235" s="282"/>
      <c r="AK235" s="282"/>
      <c r="AL235" s="282"/>
      <c r="AM235" s="282"/>
      <c r="AN235" s="282"/>
      <c r="AO235" s="282"/>
      <c r="AP235" s="282"/>
      <c r="AQ235" s="282"/>
      <c r="AR235" s="282"/>
      <c r="AS235" s="282"/>
      <c r="AT235" s="282"/>
      <c r="AU235" s="282"/>
      <c r="AV235" s="282"/>
      <c r="AW235" s="282"/>
      <c r="AX235" s="282"/>
      <c r="AY235" s="282"/>
      <c r="AZ235" s="282"/>
      <c r="BA235" s="282"/>
      <c r="BB235" s="282"/>
      <c r="BC235" s="282"/>
    </row>
    <row r="236" ht="15" customHeight="1" spans="1:55">
      <c r="A236" s="189">
        <v>42966</v>
      </c>
      <c r="B236" s="184" t="s">
        <v>1</v>
      </c>
      <c r="C236" s="185">
        <v>61319</v>
      </c>
      <c r="D236" s="186">
        <f>45092+10566</f>
        <v>55658</v>
      </c>
      <c r="E236" s="186">
        <v>121408</v>
      </c>
      <c r="F236" s="187">
        <v>5689.8</v>
      </c>
      <c r="G236" s="186">
        <v>4157</v>
      </c>
      <c r="H236" s="188"/>
      <c r="I236" s="188"/>
      <c r="J236" s="214">
        <f t="shared" si="60"/>
        <v>65750</v>
      </c>
      <c r="K236" s="186">
        <v>176</v>
      </c>
      <c r="L236" s="186">
        <v>2964</v>
      </c>
      <c r="M236" s="215">
        <f t="shared" si="61"/>
        <v>1291</v>
      </c>
      <c r="N236" s="216">
        <f t="shared" si="74"/>
        <v>1353509</v>
      </c>
      <c r="O236" s="219">
        <f t="shared" si="74"/>
        <v>1096036</v>
      </c>
      <c r="P236" s="218">
        <f t="shared" si="74"/>
        <v>2543229</v>
      </c>
      <c r="Q236" s="238">
        <f t="shared" si="72"/>
        <v>15232796.72</v>
      </c>
      <c r="R236" s="217">
        <f t="shared" si="72"/>
        <v>8615589</v>
      </c>
      <c r="S236" s="239">
        <f t="shared" si="72"/>
        <v>24314340.72</v>
      </c>
      <c r="T236" s="240">
        <f>N236/'2017'!N236-1</f>
        <v>-0.0665010955693753</v>
      </c>
      <c r="U236" s="241">
        <f>O236/'2017'!O236-1</f>
        <v>0.212468099087249</v>
      </c>
      <c r="V236" s="241">
        <f>P236/'2017'!P236-1</f>
        <v>0.0514233245302302</v>
      </c>
      <c r="W236" s="241">
        <f>Q236/'2017'!Q236-1</f>
        <v>0.0845607387159462</v>
      </c>
      <c r="X236" s="241">
        <f>R236/'2017'!R236-1</f>
        <v>0.138964230771824</v>
      </c>
      <c r="Y236" s="262">
        <f>S236/'2017'!S236-1</f>
        <v>0.0964773723828225</v>
      </c>
      <c r="Z236" s="263"/>
      <c r="AA236" s="264">
        <f t="shared" si="66"/>
        <v>1523.279672</v>
      </c>
      <c r="AB236" s="265"/>
      <c r="AC236" s="266"/>
      <c r="AD236" s="265">
        <f t="shared" si="62"/>
        <v>15698751.72</v>
      </c>
      <c r="AE236" s="186">
        <f t="shared" si="64"/>
        <v>144983.77</v>
      </c>
      <c r="AF236" s="186">
        <f t="shared" si="73"/>
        <v>120878.07</v>
      </c>
      <c r="AG236" s="266">
        <f t="shared" si="63"/>
        <v>200093.159999998</v>
      </c>
      <c r="AH236" s="281"/>
      <c r="AI236" s="282"/>
      <c r="AJ236" s="282"/>
      <c r="AK236" s="282"/>
      <c r="AL236" s="282"/>
      <c r="AM236" s="282"/>
      <c r="AN236" s="282"/>
      <c r="AO236" s="282"/>
      <c r="AP236" s="282"/>
      <c r="AQ236" s="282"/>
      <c r="AR236" s="282"/>
      <c r="AS236" s="282"/>
      <c r="AT236" s="282"/>
      <c r="AU236" s="282"/>
      <c r="AV236" s="282"/>
      <c r="AW236" s="282"/>
      <c r="AX236" s="282"/>
      <c r="AY236" s="282"/>
      <c r="AZ236" s="282"/>
      <c r="BA236" s="282"/>
      <c r="BB236" s="282"/>
      <c r="BC236" s="282"/>
    </row>
    <row r="237" ht="15" customHeight="1" spans="1:55">
      <c r="A237" s="189">
        <v>42967</v>
      </c>
      <c r="B237" s="184" t="s">
        <v>39</v>
      </c>
      <c r="C237" s="185">
        <v>71976</v>
      </c>
      <c r="D237" s="186">
        <f>46017+10718</f>
        <v>56735</v>
      </c>
      <c r="E237" s="186">
        <v>134190</v>
      </c>
      <c r="F237" s="187">
        <v>6678.9</v>
      </c>
      <c r="G237" s="186">
        <v>4142.7</v>
      </c>
      <c r="H237" s="188"/>
      <c r="I237" s="188"/>
      <c r="J237" s="214">
        <f t="shared" si="60"/>
        <v>77455</v>
      </c>
      <c r="K237" s="186">
        <v>592</v>
      </c>
      <c r="L237" s="186">
        <v>3708</v>
      </c>
      <c r="M237" s="215">
        <f t="shared" si="61"/>
        <v>1179</v>
      </c>
      <c r="N237" s="216">
        <f t="shared" si="74"/>
        <v>1425485</v>
      </c>
      <c r="O237" s="219">
        <f t="shared" si="74"/>
        <v>1152771</v>
      </c>
      <c r="P237" s="218">
        <f t="shared" si="74"/>
        <v>2677419</v>
      </c>
      <c r="Q237" s="238">
        <f t="shared" si="72"/>
        <v>15304772.72</v>
      </c>
      <c r="R237" s="217">
        <f t="shared" si="72"/>
        <v>8672324</v>
      </c>
      <c r="S237" s="239">
        <f t="shared" si="72"/>
        <v>24448530.72</v>
      </c>
      <c r="T237" s="240">
        <f>N237/'2017'!N237-1</f>
        <v>-0.0595110461606468</v>
      </c>
      <c r="U237" s="241">
        <f>O237/'2017'!O237-1</f>
        <v>0.212232201726906</v>
      </c>
      <c r="V237" s="241">
        <f>P237/'2017'!P237-1</f>
        <v>0.0568835695521481</v>
      </c>
      <c r="W237" s="241">
        <f>Q237/'2017'!Q237-1</f>
        <v>0.084607638200054</v>
      </c>
      <c r="X237" s="241">
        <f>R237/'2017'!R237-1</f>
        <v>0.139388429306887</v>
      </c>
      <c r="Y237" s="262">
        <f>S237/'2017'!S237-1</f>
        <v>0.0968665765359213</v>
      </c>
      <c r="Z237" s="263"/>
      <c r="AA237" s="264">
        <f t="shared" si="66"/>
        <v>1530.477272</v>
      </c>
      <c r="AB237" s="265"/>
      <c r="AC237" s="266"/>
      <c r="AD237" s="265">
        <f t="shared" si="62"/>
        <v>15776206.72</v>
      </c>
      <c r="AE237" s="186">
        <f t="shared" si="64"/>
        <v>145575.77</v>
      </c>
      <c r="AF237" s="186">
        <f t="shared" si="73"/>
        <v>124586.07</v>
      </c>
      <c r="AG237" s="266">
        <f t="shared" si="63"/>
        <v>201272.159999998</v>
      </c>
      <c r="AH237" s="281"/>
      <c r="AI237" s="282"/>
      <c r="AJ237" s="282"/>
      <c r="AK237" s="282"/>
      <c r="AL237" s="282"/>
      <c r="AM237" s="282"/>
      <c r="AN237" s="282"/>
      <c r="AO237" s="282"/>
      <c r="AP237" s="282"/>
      <c r="AQ237" s="282"/>
      <c r="AR237" s="282"/>
      <c r="AS237" s="282"/>
      <c r="AT237" s="282"/>
      <c r="AU237" s="282"/>
      <c r="AV237" s="282"/>
      <c r="AW237" s="282"/>
      <c r="AX237" s="282"/>
      <c r="AY237" s="282"/>
      <c r="AZ237" s="282"/>
      <c r="BA237" s="282"/>
      <c r="BB237" s="282"/>
      <c r="BC237" s="282"/>
    </row>
    <row r="238" ht="15" customHeight="1" spans="1:55">
      <c r="A238" s="189">
        <v>42968</v>
      </c>
      <c r="B238" s="184" t="s">
        <v>34</v>
      </c>
      <c r="C238" s="185">
        <v>73508</v>
      </c>
      <c r="D238" s="186">
        <f>46238+10766</f>
        <v>57004</v>
      </c>
      <c r="E238" s="186">
        <v>135471</v>
      </c>
      <c r="F238" s="187">
        <v>6622.2</v>
      </c>
      <c r="G238" s="186">
        <v>4445.8</v>
      </c>
      <c r="H238" s="188"/>
      <c r="I238" s="188"/>
      <c r="J238" s="214">
        <f t="shared" si="60"/>
        <v>78467</v>
      </c>
      <c r="K238" s="186">
        <v>527</v>
      </c>
      <c r="L238" s="186">
        <v>3684</v>
      </c>
      <c r="M238" s="215">
        <f t="shared" si="61"/>
        <v>748</v>
      </c>
      <c r="N238" s="216">
        <f t="shared" si="74"/>
        <v>1498993</v>
      </c>
      <c r="O238" s="219">
        <f t="shared" si="74"/>
        <v>1209775</v>
      </c>
      <c r="P238" s="218">
        <f t="shared" si="74"/>
        <v>2812890</v>
      </c>
      <c r="Q238" s="238">
        <f t="shared" si="72"/>
        <v>15378280.72</v>
      </c>
      <c r="R238" s="217">
        <f t="shared" si="72"/>
        <v>8729328</v>
      </c>
      <c r="S238" s="239">
        <f t="shared" si="72"/>
        <v>24584001.72</v>
      </c>
      <c r="T238" s="240">
        <f>N238/'2017'!N238-1</f>
        <v>-0.054600095234191</v>
      </c>
      <c r="U238" s="241">
        <f>O238/'2017'!O238-1</f>
        <v>0.211027202126999</v>
      </c>
      <c r="V238" s="241">
        <f>P238/'2017'!P238-1</f>
        <v>0.0601009943028179</v>
      </c>
      <c r="W238" s="241">
        <f>Q238/'2017'!Q238-1</f>
        <v>0.0844465480264309</v>
      </c>
      <c r="X238" s="241">
        <f>R238/'2017'!R238-1</f>
        <v>0.13968792863986</v>
      </c>
      <c r="Y238" s="262">
        <f>S238/'2017'!S238-1</f>
        <v>0.0970332525036992</v>
      </c>
      <c r="Z238" s="263"/>
      <c r="AA238" s="264">
        <f t="shared" si="66"/>
        <v>1537.828072</v>
      </c>
      <c r="AB238" s="265"/>
      <c r="AC238" s="266"/>
      <c r="AD238" s="265">
        <f t="shared" si="62"/>
        <v>15854673.72</v>
      </c>
      <c r="AE238" s="186">
        <f t="shared" si="64"/>
        <v>146102.77</v>
      </c>
      <c r="AF238" s="186">
        <f t="shared" si="73"/>
        <v>128270.07</v>
      </c>
      <c r="AG238" s="266">
        <f t="shared" si="63"/>
        <v>202020.159999998</v>
      </c>
      <c r="AH238" s="281"/>
      <c r="AI238" s="282"/>
      <c r="AJ238" s="282"/>
      <c r="AK238" s="282"/>
      <c r="AL238" s="282"/>
      <c r="AM238" s="282"/>
      <c r="AN238" s="282"/>
      <c r="AO238" s="282"/>
      <c r="AP238" s="282"/>
      <c r="AQ238" s="282"/>
      <c r="AR238" s="282"/>
      <c r="AS238" s="282"/>
      <c r="AT238" s="282"/>
      <c r="AU238" s="282"/>
      <c r="AV238" s="282"/>
      <c r="AW238" s="282"/>
      <c r="AX238" s="282"/>
      <c r="AY238" s="282"/>
      <c r="AZ238" s="282"/>
      <c r="BA238" s="282"/>
      <c r="BB238" s="282"/>
      <c r="BC238" s="282"/>
    </row>
    <row r="239" ht="15" customHeight="1" spans="1:55">
      <c r="A239" s="189">
        <v>42969</v>
      </c>
      <c r="B239" s="184" t="s">
        <v>35</v>
      </c>
      <c r="C239" s="185">
        <v>72281</v>
      </c>
      <c r="D239" s="186">
        <f>47189+10759</f>
        <v>57948</v>
      </c>
      <c r="E239" s="186">
        <f>134699</f>
        <v>134699</v>
      </c>
      <c r="F239" s="187">
        <v>6551</v>
      </c>
      <c r="G239" s="186">
        <v>4353.4</v>
      </c>
      <c r="H239" s="188"/>
      <c r="I239" s="188"/>
      <c r="J239" s="214">
        <f t="shared" si="60"/>
        <v>76751</v>
      </c>
      <c r="K239" s="186">
        <v>223</v>
      </c>
      <c r="L239" s="186">
        <v>3214</v>
      </c>
      <c r="M239" s="215">
        <f t="shared" si="61"/>
        <v>1033</v>
      </c>
      <c r="N239" s="216">
        <f t="shared" si="74"/>
        <v>1571274</v>
      </c>
      <c r="O239" s="219">
        <f t="shared" si="74"/>
        <v>1267723</v>
      </c>
      <c r="P239" s="218">
        <f t="shared" si="74"/>
        <v>2947589</v>
      </c>
      <c r="Q239" s="238">
        <f t="shared" si="72"/>
        <v>15450561.72</v>
      </c>
      <c r="R239" s="217">
        <f t="shared" si="72"/>
        <v>8787276</v>
      </c>
      <c r="S239" s="239">
        <f t="shared" si="72"/>
        <v>24718700.72</v>
      </c>
      <c r="T239" s="240">
        <f>N239/'2017'!N239-1</f>
        <v>-0.051596010516938</v>
      </c>
      <c r="U239" s="241">
        <f>O239/'2017'!O239-1</f>
        <v>0.210812395773838</v>
      </c>
      <c r="V239" s="241">
        <f>P239/'2017'!P239-1</f>
        <v>0.0618915473102981</v>
      </c>
      <c r="W239" s="241">
        <f>Q239/'2017'!Q239-1</f>
        <v>0.0841012035349418</v>
      </c>
      <c r="X239" s="241">
        <f>R239/'2017'!R239-1</f>
        <v>0.140103365087076</v>
      </c>
      <c r="Y239" s="262">
        <f>S239/'2017'!S239-1</f>
        <v>0.097053253153407</v>
      </c>
      <c r="Z239" s="263"/>
      <c r="AA239" s="264">
        <f t="shared" si="66"/>
        <v>1545.056172</v>
      </c>
      <c r="AB239" s="265"/>
      <c r="AC239" s="266"/>
      <c r="AD239" s="265">
        <f t="shared" si="62"/>
        <v>15931424.72</v>
      </c>
      <c r="AE239" s="186">
        <f t="shared" si="64"/>
        <v>146325.77</v>
      </c>
      <c r="AF239" s="186">
        <f t="shared" si="73"/>
        <v>131484.07</v>
      </c>
      <c r="AG239" s="266">
        <f t="shared" si="63"/>
        <v>203053.159999998</v>
      </c>
      <c r="AH239" s="281"/>
      <c r="AI239" s="282"/>
      <c r="AJ239" s="282"/>
      <c r="AK239" s="282"/>
      <c r="AL239" s="282"/>
      <c r="AM239" s="282"/>
      <c r="AN239" s="282"/>
      <c r="AO239" s="282"/>
      <c r="AP239" s="282"/>
      <c r="AQ239" s="282"/>
      <c r="AR239" s="282"/>
      <c r="AS239" s="282"/>
      <c r="AT239" s="282"/>
      <c r="AU239" s="282"/>
      <c r="AV239" s="282"/>
      <c r="AW239" s="282"/>
      <c r="AX239" s="282"/>
      <c r="AY239" s="282"/>
      <c r="AZ239" s="282"/>
      <c r="BA239" s="282"/>
      <c r="BB239" s="282"/>
      <c r="BC239" s="282"/>
    </row>
    <row r="240" s="163" customFormat="1" ht="15" customHeight="1" spans="1:55">
      <c r="A240" s="190">
        <v>42970</v>
      </c>
      <c r="B240" s="191" t="s">
        <v>36</v>
      </c>
      <c r="C240" s="192">
        <v>68477</v>
      </c>
      <c r="D240" s="193">
        <v>59040</v>
      </c>
      <c r="E240" s="193">
        <v>131620</v>
      </c>
      <c r="F240" s="194">
        <v>6392</v>
      </c>
      <c r="G240" s="193">
        <v>4361</v>
      </c>
      <c r="H240" s="195"/>
      <c r="I240" s="195"/>
      <c r="J240" s="220">
        <f t="shared" si="60"/>
        <v>72580</v>
      </c>
      <c r="K240" s="193">
        <v>545</v>
      </c>
      <c r="L240" s="193">
        <v>2372</v>
      </c>
      <c r="M240" s="221">
        <f t="shared" si="61"/>
        <v>1186</v>
      </c>
      <c r="N240" s="222">
        <f t="shared" si="74"/>
        <v>1639751</v>
      </c>
      <c r="O240" s="225">
        <f t="shared" si="74"/>
        <v>1326763</v>
      </c>
      <c r="P240" s="224">
        <f t="shared" si="74"/>
        <v>3079209</v>
      </c>
      <c r="Q240" s="242">
        <f t="shared" si="72"/>
        <v>15519038.72</v>
      </c>
      <c r="R240" s="223">
        <f t="shared" si="72"/>
        <v>8846316</v>
      </c>
      <c r="S240" s="243">
        <f t="shared" si="72"/>
        <v>24850320.72</v>
      </c>
      <c r="T240" s="244">
        <f>N240/'2017'!N240-1</f>
        <v>-0.0502851893810394</v>
      </c>
      <c r="U240" s="245">
        <f>O240/'2017'!O240-1</f>
        <v>0.21044305385381</v>
      </c>
      <c r="V240" s="245">
        <f>P240/'2017'!P240-1</f>
        <v>0.0627325108845898</v>
      </c>
      <c r="W240" s="245">
        <f>Q240/'2017'!Q240-1</f>
        <v>0.0835977316140804</v>
      </c>
      <c r="X240" s="245">
        <f>R240/'2017'!R240-1</f>
        <v>0.14049872539703</v>
      </c>
      <c r="Y240" s="267">
        <f>S240/'2017'!S240-1</f>
        <v>0.0969719892609613</v>
      </c>
      <c r="Z240" s="268">
        <v>79.53</v>
      </c>
      <c r="AA240" s="269">
        <f t="shared" si="66"/>
        <v>1472.373872</v>
      </c>
      <c r="AB240" s="270">
        <v>4283.88</v>
      </c>
      <c r="AC240" s="221">
        <f t="shared" si="69"/>
        <v>3437.01007497876</v>
      </c>
      <c r="AD240" s="270">
        <f t="shared" si="62"/>
        <v>16004004.72</v>
      </c>
      <c r="AE240" s="193">
        <f t="shared" si="64"/>
        <v>146870.77</v>
      </c>
      <c r="AF240" s="193">
        <f t="shared" si="73"/>
        <v>133856.07</v>
      </c>
      <c r="AG240" s="221">
        <f t="shared" si="63"/>
        <v>204239.159999998</v>
      </c>
      <c r="AH240" s="281"/>
      <c r="AI240" s="282"/>
      <c r="AJ240" s="282"/>
      <c r="AK240" s="282"/>
      <c r="AL240" s="282"/>
      <c r="AM240" s="282"/>
      <c r="AN240" s="282"/>
      <c r="AO240" s="282"/>
      <c r="AP240" s="282"/>
      <c r="AQ240" s="282"/>
      <c r="AR240" s="282"/>
      <c r="AS240" s="282"/>
      <c r="AT240" s="282"/>
      <c r="AU240" s="282"/>
      <c r="AV240" s="282"/>
      <c r="AW240" s="282"/>
      <c r="AX240" s="282"/>
      <c r="AY240" s="282"/>
      <c r="AZ240" s="282"/>
      <c r="BA240" s="282"/>
      <c r="BB240" s="282"/>
      <c r="BC240" s="282"/>
    </row>
    <row r="241" ht="15" customHeight="1" spans="1:55">
      <c r="A241" s="189">
        <v>42971</v>
      </c>
      <c r="B241" s="184" t="s">
        <v>37</v>
      </c>
      <c r="C241" s="185">
        <v>61621</v>
      </c>
      <c r="D241" s="186">
        <f>46906+10717</f>
        <v>57623</v>
      </c>
      <c r="E241" s="186">
        <v>123840</v>
      </c>
      <c r="F241" s="187">
        <v>6024.6</v>
      </c>
      <c r="G241" s="186">
        <v>4223.1</v>
      </c>
      <c r="H241" s="188"/>
      <c r="I241" s="188"/>
      <c r="J241" s="214">
        <f t="shared" si="60"/>
        <v>66217</v>
      </c>
      <c r="K241" s="186">
        <v>297</v>
      </c>
      <c r="L241" s="186">
        <v>3321</v>
      </c>
      <c r="M241" s="215">
        <f t="shared" si="61"/>
        <v>978</v>
      </c>
      <c r="N241" s="216">
        <f t="shared" si="74"/>
        <v>1701372</v>
      </c>
      <c r="O241" s="219">
        <f t="shared" si="74"/>
        <v>1384386</v>
      </c>
      <c r="P241" s="218">
        <f t="shared" si="74"/>
        <v>3203049</v>
      </c>
      <c r="Q241" s="238">
        <f t="shared" si="72"/>
        <v>15580659.72</v>
      </c>
      <c r="R241" s="217">
        <f t="shared" si="72"/>
        <v>8903939</v>
      </c>
      <c r="S241" s="239">
        <f t="shared" si="72"/>
        <v>24974160.72</v>
      </c>
      <c r="T241" s="240">
        <f>N241/'2017'!N241-1</f>
        <v>-0.0549986086355686</v>
      </c>
      <c r="U241" s="241">
        <f>O241/'2017'!O241-1</f>
        <v>0.210182630679017</v>
      </c>
      <c r="V241" s="241">
        <f>P241/'2017'!P241-1</f>
        <v>0.059881214380942</v>
      </c>
      <c r="W241" s="241">
        <f>Q241/'2017'!Q241-1</f>
        <v>0.0823217088340915</v>
      </c>
      <c r="X241" s="241">
        <f>R241/'2017'!R241-1</f>
        <v>0.140889402674189</v>
      </c>
      <c r="Y241" s="262">
        <f>S241/'2017'!S241-1</f>
        <v>0.0964063433381837</v>
      </c>
      <c r="Z241" s="263"/>
      <c r="AA241" s="264">
        <f t="shared" si="66"/>
        <v>1558.065972</v>
      </c>
      <c r="AB241" s="265"/>
      <c r="AC241" s="266"/>
      <c r="AD241" s="265">
        <f t="shared" si="62"/>
        <v>16070221.72</v>
      </c>
      <c r="AE241" s="186">
        <f t="shared" si="64"/>
        <v>147167.77</v>
      </c>
      <c r="AF241" s="186">
        <f t="shared" si="73"/>
        <v>137177.07</v>
      </c>
      <c r="AG241" s="266">
        <f t="shared" si="63"/>
        <v>205217.159999998</v>
      </c>
      <c r="AH241" s="281"/>
      <c r="AI241" s="282"/>
      <c r="AJ241" s="282"/>
      <c r="AK241" s="282"/>
      <c r="AL241" s="282"/>
      <c r="AM241" s="282"/>
      <c r="AN241" s="282"/>
      <c r="AO241" s="282"/>
      <c r="AP241" s="282"/>
      <c r="AQ241" s="282"/>
      <c r="AR241" s="282"/>
      <c r="AS241" s="282"/>
      <c r="AT241" s="282"/>
      <c r="AU241" s="282"/>
      <c r="AV241" s="282"/>
      <c r="AW241" s="282"/>
      <c r="AX241" s="282"/>
      <c r="AY241" s="282"/>
      <c r="AZ241" s="282"/>
      <c r="BA241" s="282"/>
      <c r="BB241" s="282"/>
      <c r="BC241" s="282"/>
    </row>
    <row r="242" ht="15" customHeight="1" spans="1:55">
      <c r="A242" s="189">
        <v>42972</v>
      </c>
      <c r="B242" s="184" t="s">
        <v>38</v>
      </c>
      <c r="C242" s="185">
        <v>55635</v>
      </c>
      <c r="D242" s="186">
        <f>45629+10747</f>
        <v>56376</v>
      </c>
      <c r="E242" s="186">
        <v>116306</v>
      </c>
      <c r="F242" s="187">
        <v>5695.3</v>
      </c>
      <c r="G242" s="186">
        <v>4024.3</v>
      </c>
      <c r="H242" s="188"/>
      <c r="I242" s="188"/>
      <c r="J242" s="214">
        <f t="shared" si="60"/>
        <v>59930</v>
      </c>
      <c r="K242" s="186">
        <v>228</v>
      </c>
      <c r="L242" s="186">
        <v>3355</v>
      </c>
      <c r="M242" s="215">
        <f t="shared" si="61"/>
        <v>712</v>
      </c>
      <c r="N242" s="216">
        <f t="shared" si="74"/>
        <v>1757007</v>
      </c>
      <c r="O242" s="219">
        <f t="shared" si="74"/>
        <v>1440762</v>
      </c>
      <c r="P242" s="218">
        <f t="shared" si="74"/>
        <v>3319355</v>
      </c>
      <c r="Q242" s="238">
        <f t="shared" si="72"/>
        <v>15636294.72</v>
      </c>
      <c r="R242" s="217">
        <f t="shared" si="72"/>
        <v>8960315</v>
      </c>
      <c r="S242" s="239">
        <f t="shared" si="72"/>
        <v>25090466.72</v>
      </c>
      <c r="T242" s="240">
        <f>N242/'2017'!N242-1</f>
        <v>-0.0636841457364226</v>
      </c>
      <c r="U242" s="241">
        <f>O242/'2017'!O242-1</f>
        <v>0.210426340405262</v>
      </c>
      <c r="V242" s="241">
        <f>P242/'2017'!P242-1</f>
        <v>0.0546564345113785</v>
      </c>
      <c r="W242" s="241">
        <f>Q242/'2017'!Q242-1</f>
        <v>0.0804731831092356</v>
      </c>
      <c r="X242" s="241">
        <f>R242/'2017'!R242-1</f>
        <v>0.141335409743477</v>
      </c>
      <c r="Y242" s="262">
        <f>S242/'2017'!S242-1</f>
        <v>0.0954886258595391</v>
      </c>
      <c r="Z242" s="263"/>
      <c r="AA242" s="264">
        <f t="shared" si="66"/>
        <v>1563.629472</v>
      </c>
      <c r="AB242" s="265"/>
      <c r="AC242" s="266"/>
      <c r="AD242" s="265">
        <f t="shared" si="62"/>
        <v>16130151.72</v>
      </c>
      <c r="AE242" s="186">
        <f t="shared" si="64"/>
        <v>147395.77</v>
      </c>
      <c r="AF242" s="186">
        <f t="shared" si="73"/>
        <v>140532.07</v>
      </c>
      <c r="AG242" s="266">
        <f t="shared" si="63"/>
        <v>205929.159999998</v>
      </c>
      <c r="AH242" s="281"/>
      <c r="AI242" s="282"/>
      <c r="AJ242" s="282"/>
      <c r="AK242" s="282"/>
      <c r="AL242" s="282"/>
      <c r="AM242" s="282"/>
      <c r="AN242" s="282"/>
      <c r="AO242" s="282"/>
      <c r="AP242" s="282"/>
      <c r="AQ242" s="282"/>
      <c r="AR242" s="282"/>
      <c r="AS242" s="282"/>
      <c r="AT242" s="282"/>
      <c r="AU242" s="282"/>
      <c r="AV242" s="282"/>
      <c r="AW242" s="282"/>
      <c r="AX242" s="282"/>
      <c r="AY242" s="282"/>
      <c r="AZ242" s="282"/>
      <c r="BA242" s="282"/>
      <c r="BB242" s="282"/>
      <c r="BC242" s="282"/>
    </row>
    <row r="243" ht="15" customHeight="1" spans="1:55">
      <c r="A243" s="189">
        <v>42973</v>
      </c>
      <c r="B243" s="184" t="s">
        <v>1</v>
      </c>
      <c r="C243" s="185">
        <v>51989</v>
      </c>
      <c r="D243" s="186">
        <f>43918+10791</f>
        <v>54709</v>
      </c>
      <c r="E243" s="186">
        <v>111677</v>
      </c>
      <c r="F243" s="187">
        <v>5316.2</v>
      </c>
      <c r="G243" s="186">
        <v>3836.8</v>
      </c>
      <c r="H243" s="188"/>
      <c r="I243" s="188"/>
      <c r="J243" s="214">
        <f t="shared" si="60"/>
        <v>56968</v>
      </c>
      <c r="K243" s="186">
        <v>435</v>
      </c>
      <c r="L243" s="186">
        <v>3879</v>
      </c>
      <c r="M243" s="215">
        <f t="shared" si="61"/>
        <v>665</v>
      </c>
      <c r="N243" s="216">
        <f t="shared" si="74"/>
        <v>1808996</v>
      </c>
      <c r="O243" s="219">
        <f t="shared" si="74"/>
        <v>1495471</v>
      </c>
      <c r="P243" s="218">
        <f t="shared" si="74"/>
        <v>3431032</v>
      </c>
      <c r="Q243" s="238">
        <f t="shared" si="72"/>
        <v>15688283.72</v>
      </c>
      <c r="R243" s="217">
        <f t="shared" si="72"/>
        <v>9015024</v>
      </c>
      <c r="S243" s="239">
        <f t="shared" si="72"/>
        <v>25202143.72</v>
      </c>
      <c r="T243" s="240">
        <f>N243/'2017'!N243-1</f>
        <v>-0.0673773655234066</v>
      </c>
      <c r="U243" s="241">
        <f>O243/'2017'!O243-1</f>
        <v>0.207583171834625</v>
      </c>
      <c r="V243" s="241">
        <f>P243/'2017'!P243-1</f>
        <v>0.0522675525546157</v>
      </c>
      <c r="W243" s="241">
        <f>Q243/'2017'!Q243-1</f>
        <v>0.0793537402969984</v>
      </c>
      <c r="X243" s="241">
        <f>R243/'2017'!R243-1</f>
        <v>0.141310441183992</v>
      </c>
      <c r="Y243" s="262">
        <f>S243/'2017'!S243-1</f>
        <v>0.094949258282222</v>
      </c>
      <c r="Z243" s="263"/>
      <c r="AA243" s="264">
        <f t="shared" si="66"/>
        <v>1568.828372</v>
      </c>
      <c r="AB243" s="265"/>
      <c r="AC243" s="266"/>
      <c r="AD243" s="265">
        <f t="shared" si="62"/>
        <v>16187119.72</v>
      </c>
      <c r="AE243" s="186">
        <f t="shared" si="64"/>
        <v>147830.77</v>
      </c>
      <c r="AF243" s="186">
        <f t="shared" si="73"/>
        <v>144411.07</v>
      </c>
      <c r="AG243" s="266">
        <f t="shared" si="63"/>
        <v>206594.159999998</v>
      </c>
      <c r="AH243" s="281"/>
      <c r="AI243" s="282"/>
      <c r="AJ243" s="282"/>
      <c r="AK243" s="282"/>
      <c r="AL243" s="282"/>
      <c r="AM243" s="282"/>
      <c r="AN243" s="282"/>
      <c r="AO243" s="282"/>
      <c r="AP243" s="282"/>
      <c r="AQ243" s="282"/>
      <c r="AR243" s="282"/>
      <c r="AS243" s="282"/>
      <c r="AT243" s="282"/>
      <c r="AU243" s="282"/>
      <c r="AV243" s="282"/>
      <c r="AW243" s="282"/>
      <c r="AX243" s="282"/>
      <c r="AY243" s="282"/>
      <c r="AZ243" s="282"/>
      <c r="BA243" s="282"/>
      <c r="BB243" s="282"/>
      <c r="BC243" s="282"/>
    </row>
    <row r="244" ht="15" customHeight="1" spans="1:55">
      <c r="A244" s="189">
        <v>42974</v>
      </c>
      <c r="B244" s="184" t="s">
        <v>39</v>
      </c>
      <c r="C244" s="185">
        <v>61880</v>
      </c>
      <c r="D244" s="186">
        <f>44074+10770</f>
        <v>54844</v>
      </c>
      <c r="E244" s="186">
        <v>122300</v>
      </c>
      <c r="F244" s="187">
        <v>6121.9</v>
      </c>
      <c r="G244" s="186">
        <v>3768.2</v>
      </c>
      <c r="H244" s="188"/>
      <c r="I244" s="188"/>
      <c r="J244" s="214">
        <f t="shared" si="60"/>
        <v>67456</v>
      </c>
      <c r="K244" s="186">
        <v>480</v>
      </c>
      <c r="L244" s="186">
        <v>3785</v>
      </c>
      <c r="M244" s="215">
        <f t="shared" si="61"/>
        <v>1311</v>
      </c>
      <c r="N244" s="216">
        <f t="shared" si="74"/>
        <v>1870876</v>
      </c>
      <c r="O244" s="219">
        <f t="shared" si="74"/>
        <v>1550315</v>
      </c>
      <c r="P244" s="218">
        <f t="shared" si="74"/>
        <v>3553332</v>
      </c>
      <c r="Q244" s="238">
        <f t="shared" si="72"/>
        <v>15750163.72</v>
      </c>
      <c r="R244" s="217">
        <f t="shared" si="72"/>
        <v>9069868</v>
      </c>
      <c r="S244" s="239">
        <f t="shared" si="72"/>
        <v>25324443.72</v>
      </c>
      <c r="T244" s="240">
        <f>N244/'2017'!N244-1</f>
        <v>-0.0636106283984528</v>
      </c>
      <c r="U244" s="241">
        <f>O244/'2017'!O244-1</f>
        <v>0.203867278469365</v>
      </c>
      <c r="V244" s="241">
        <f>P244/'2017'!P244-1</f>
        <v>0.0541737731949221</v>
      </c>
      <c r="W244" s="241">
        <f>Q244/'2017'!Q244-1</f>
        <v>0.0792834460744756</v>
      </c>
      <c r="X244" s="241">
        <f>R244/'2017'!R244-1</f>
        <v>0.14112011313232</v>
      </c>
      <c r="Y244" s="262">
        <f>S244/'2017'!S244-1</f>
        <v>0.0950238591564401</v>
      </c>
      <c r="Z244" s="263"/>
      <c r="AA244" s="264">
        <f t="shared" si="66"/>
        <v>1575.016372</v>
      </c>
      <c r="AB244" s="265"/>
      <c r="AC244" s="266"/>
      <c r="AD244" s="265">
        <f t="shared" si="62"/>
        <v>16254575.72</v>
      </c>
      <c r="AE244" s="186">
        <f t="shared" si="64"/>
        <v>148310.77</v>
      </c>
      <c r="AF244" s="186">
        <f t="shared" si="73"/>
        <v>148196.07</v>
      </c>
      <c r="AG244" s="266">
        <f t="shared" si="63"/>
        <v>207905.159999998</v>
      </c>
      <c r="AH244" s="281"/>
      <c r="AI244" s="282"/>
      <c r="AJ244" s="282"/>
      <c r="AK244" s="282"/>
      <c r="AL244" s="282"/>
      <c r="AM244" s="282"/>
      <c r="AN244" s="282"/>
      <c r="AO244" s="282"/>
      <c r="AP244" s="282"/>
      <c r="AQ244" s="282"/>
      <c r="AR244" s="282"/>
      <c r="AS244" s="282"/>
      <c r="AT244" s="282"/>
      <c r="AU244" s="282"/>
      <c r="AV244" s="282"/>
      <c r="AW244" s="282"/>
      <c r="AX244" s="282"/>
      <c r="AY244" s="282"/>
      <c r="AZ244" s="282"/>
      <c r="BA244" s="282"/>
      <c r="BB244" s="282"/>
      <c r="BC244" s="282"/>
    </row>
    <row r="245" ht="15" customHeight="1" spans="1:55">
      <c r="A245" s="189">
        <v>42975</v>
      </c>
      <c r="B245" s="184" t="s">
        <v>34</v>
      </c>
      <c r="C245" s="185">
        <v>63995</v>
      </c>
      <c r="D245" s="186">
        <f>44908+10817</f>
        <v>55725</v>
      </c>
      <c r="E245" s="186">
        <v>125159</v>
      </c>
      <c r="F245" s="187">
        <v>6164.1</v>
      </c>
      <c r="G245" s="186">
        <v>4047.7</v>
      </c>
      <c r="H245" s="188"/>
      <c r="I245" s="188"/>
      <c r="J245" s="214">
        <f t="shared" si="60"/>
        <v>69434</v>
      </c>
      <c r="K245" s="186">
        <v>338</v>
      </c>
      <c r="L245" s="186">
        <v>3675</v>
      </c>
      <c r="M245" s="215">
        <f t="shared" si="61"/>
        <v>1426</v>
      </c>
      <c r="N245" s="216">
        <f t="shared" si="74"/>
        <v>1934871</v>
      </c>
      <c r="O245" s="219">
        <f t="shared" si="74"/>
        <v>1606040</v>
      </c>
      <c r="P245" s="218">
        <f t="shared" si="74"/>
        <v>3678491</v>
      </c>
      <c r="Q245" s="238">
        <f t="shared" si="72"/>
        <v>15814158.72</v>
      </c>
      <c r="R245" s="217">
        <f t="shared" si="72"/>
        <v>9125593</v>
      </c>
      <c r="S245" s="239">
        <f t="shared" si="72"/>
        <v>25449602.72</v>
      </c>
      <c r="T245" s="240">
        <f>N245/'2017'!N245-1</f>
        <v>-0.0652056491432171</v>
      </c>
      <c r="U245" s="241">
        <f>O245/'2017'!O245-1</f>
        <v>0.203486877748711</v>
      </c>
      <c r="V245" s="241">
        <f>P245/'2017'!P245-1</f>
        <v>0.0532715924068052</v>
      </c>
      <c r="W245" s="241">
        <f>Q245/'2017'!Q245-1</f>
        <v>0.0783580515852755</v>
      </c>
      <c r="X245" s="241">
        <f>R245/'2017'!R245-1</f>
        <v>0.141423215352239</v>
      </c>
      <c r="Y245" s="262">
        <f>S245/'2017'!S245-1</f>
        <v>0.0946744644086344</v>
      </c>
      <c r="Z245" s="263"/>
      <c r="AA245" s="264">
        <f t="shared" si="66"/>
        <v>1581.415872</v>
      </c>
      <c r="AB245" s="265"/>
      <c r="AC245" s="266"/>
      <c r="AD245" s="265">
        <f t="shared" si="62"/>
        <v>16324009.72</v>
      </c>
      <c r="AE245" s="186">
        <f t="shared" si="64"/>
        <v>148648.77</v>
      </c>
      <c r="AF245" s="186">
        <f t="shared" si="73"/>
        <v>151871.07</v>
      </c>
      <c r="AG245" s="266">
        <f t="shared" si="63"/>
        <v>209331.159999998</v>
      </c>
      <c r="AH245" s="281"/>
      <c r="AI245" s="282"/>
      <c r="AJ245" s="282"/>
      <c r="AK245" s="282"/>
      <c r="AL245" s="282"/>
      <c r="AM245" s="282"/>
      <c r="AN245" s="282"/>
      <c r="AO245" s="282"/>
      <c r="AP245" s="282"/>
      <c r="AQ245" s="282"/>
      <c r="AR245" s="282"/>
      <c r="AS245" s="282"/>
      <c r="AT245" s="282"/>
      <c r="AU245" s="282"/>
      <c r="AV245" s="282"/>
      <c r="AW245" s="282"/>
      <c r="AX245" s="282"/>
      <c r="AY245" s="282"/>
      <c r="AZ245" s="282"/>
      <c r="BA245" s="282"/>
      <c r="BB245" s="282"/>
      <c r="BC245" s="282"/>
    </row>
    <row r="246" ht="15" customHeight="1" spans="1:55">
      <c r="A246" s="189">
        <v>42976</v>
      </c>
      <c r="B246" s="184" t="s">
        <v>35</v>
      </c>
      <c r="C246" s="185">
        <v>66371</v>
      </c>
      <c r="D246" s="186">
        <f>43938+10766</f>
        <v>54704</v>
      </c>
      <c r="E246" s="186">
        <v>126477</v>
      </c>
      <c r="F246" s="187">
        <v>6253.8</v>
      </c>
      <c r="G246" s="186">
        <v>4081.5</v>
      </c>
      <c r="H246" s="188"/>
      <c r="I246" s="188"/>
      <c r="J246" s="214">
        <f t="shared" si="60"/>
        <v>71773</v>
      </c>
      <c r="K246" s="186">
        <v>434</v>
      </c>
      <c r="L246" s="186">
        <v>3681</v>
      </c>
      <c r="M246" s="215">
        <f t="shared" si="61"/>
        <v>1287</v>
      </c>
      <c r="N246" s="216">
        <f t="shared" si="74"/>
        <v>2001242</v>
      </c>
      <c r="O246" s="219">
        <f t="shared" si="74"/>
        <v>1660744</v>
      </c>
      <c r="P246" s="218">
        <f t="shared" si="74"/>
        <v>3804968</v>
      </c>
      <c r="Q246" s="238">
        <f t="shared" si="72"/>
        <v>15880529.72</v>
      </c>
      <c r="R246" s="217">
        <f t="shared" si="72"/>
        <v>9180297</v>
      </c>
      <c r="S246" s="239">
        <f t="shared" si="72"/>
        <v>25576079.72</v>
      </c>
      <c r="T246" s="240">
        <f>N246/'2017'!N246-1</f>
        <v>-0.0666941510112389</v>
      </c>
      <c r="U246" s="241">
        <f>O246/'2017'!O246-1</f>
        <v>0.203706334457256</v>
      </c>
      <c r="V246" s="241">
        <f>P246/'2017'!P246-1</f>
        <v>0.0524919928335896</v>
      </c>
      <c r="W246" s="241">
        <f>Q246/'2017'!Q246-1</f>
        <v>0.077416699345068</v>
      </c>
      <c r="X246" s="241">
        <f>R246/'2017'!R246-1</f>
        <v>0.141809807008048</v>
      </c>
      <c r="Y246" s="262">
        <f>S246/'2017'!S246-1</f>
        <v>0.0943364064556016</v>
      </c>
      <c r="Z246" s="263"/>
      <c r="AA246" s="264">
        <f t="shared" si="66"/>
        <v>1588.052972</v>
      </c>
      <c r="AB246" s="265"/>
      <c r="AC246" s="266"/>
      <c r="AD246" s="265">
        <f t="shared" si="62"/>
        <v>16395782.72</v>
      </c>
      <c r="AE246" s="186">
        <f t="shared" si="64"/>
        <v>149082.77</v>
      </c>
      <c r="AF246" s="186">
        <f t="shared" si="73"/>
        <v>155552.07</v>
      </c>
      <c r="AG246" s="266">
        <f t="shared" si="63"/>
        <v>210618.159999998</v>
      </c>
      <c r="AH246" s="281"/>
      <c r="AI246" s="282"/>
      <c r="AJ246" s="282"/>
      <c r="AK246" s="282"/>
      <c r="AL246" s="282"/>
      <c r="AM246" s="282"/>
      <c r="AN246" s="282"/>
      <c r="AO246" s="282"/>
      <c r="AP246" s="282"/>
      <c r="AQ246" s="282"/>
      <c r="AR246" s="282"/>
      <c r="AS246" s="282"/>
      <c r="AT246" s="282"/>
      <c r="AU246" s="282"/>
      <c r="AV246" s="282"/>
      <c r="AW246" s="282"/>
      <c r="AX246" s="282"/>
      <c r="AY246" s="282"/>
      <c r="AZ246" s="282"/>
      <c r="BA246" s="282"/>
      <c r="BB246" s="282"/>
      <c r="BC246" s="282"/>
    </row>
    <row r="247" s="163" customFormat="1" ht="15" customHeight="1" spans="1:55">
      <c r="A247" s="190">
        <v>42977</v>
      </c>
      <c r="B247" s="191" t="s">
        <v>36</v>
      </c>
      <c r="C247" s="192">
        <f>64593+5302</f>
        <v>69895</v>
      </c>
      <c r="D247" s="193">
        <f>38175+13713</f>
        <v>51888</v>
      </c>
      <c r="E247" s="193">
        <f>89526+38175</f>
        <v>127701</v>
      </c>
      <c r="F247" s="194">
        <v>6248</v>
      </c>
      <c r="G247" s="193">
        <v>4145</v>
      </c>
      <c r="H247" s="195"/>
      <c r="I247" s="195"/>
      <c r="J247" s="220">
        <f t="shared" si="60"/>
        <v>75813</v>
      </c>
      <c r="K247" s="193">
        <v>737</v>
      </c>
      <c r="L247" s="193">
        <v>3833</v>
      </c>
      <c r="M247" s="221">
        <f t="shared" si="61"/>
        <v>1348</v>
      </c>
      <c r="N247" s="222">
        <f t="shared" si="74"/>
        <v>2071137</v>
      </c>
      <c r="O247" s="225">
        <f t="shared" si="74"/>
        <v>1712632</v>
      </c>
      <c r="P247" s="224">
        <f t="shared" si="74"/>
        <v>3932669</v>
      </c>
      <c r="Q247" s="242">
        <f>Q$217+N247</f>
        <v>15950424.72</v>
      </c>
      <c r="R247" s="223">
        <f t="shared" si="72"/>
        <v>9232185</v>
      </c>
      <c r="S247" s="243">
        <f t="shared" si="72"/>
        <v>25703780.72</v>
      </c>
      <c r="T247" s="244">
        <f>N247/'2017'!N247-1</f>
        <v>-0.0638040220766717</v>
      </c>
      <c r="U247" s="245">
        <f>O247/'2017'!O247-1</f>
        <v>0.205080862609557</v>
      </c>
      <c r="V247" s="245">
        <f>P247/'2017'!P247-1</f>
        <v>0.0551985311301717</v>
      </c>
      <c r="W247" s="245">
        <f>Q247/'2017'!Q247-1</f>
        <v>0.0771863189764257</v>
      </c>
      <c r="X247" s="245">
        <f>R247/'2017'!R247-1</f>
        <v>0.142369245145647</v>
      </c>
      <c r="Y247" s="267">
        <f>S247/'2017'!S247-1</f>
        <v>0.0945668319113357</v>
      </c>
      <c r="Z247" s="268">
        <v>82.63</v>
      </c>
      <c r="AA247" s="269">
        <f t="shared" si="66"/>
        <v>1512.412472</v>
      </c>
      <c r="AB247" s="270">
        <v>4283.88</v>
      </c>
      <c r="AC247" s="221">
        <f t="shared" si="69"/>
        <v>3530.47347731496</v>
      </c>
      <c r="AD247" s="270">
        <f t="shared" si="62"/>
        <v>16471595.72</v>
      </c>
      <c r="AE247" s="193">
        <f t="shared" si="64"/>
        <v>149819.77</v>
      </c>
      <c r="AF247" s="193">
        <f t="shared" ref="AF247:AF262" si="75">AF246+L247</f>
        <v>159385.07</v>
      </c>
      <c r="AG247" s="221">
        <f t="shared" si="63"/>
        <v>211966.159999998</v>
      </c>
      <c r="AH247" s="281"/>
      <c r="AI247" s="282"/>
      <c r="AJ247" s="282"/>
      <c r="AK247" s="282"/>
      <c r="AL247" s="282"/>
      <c r="AM247" s="282"/>
      <c r="AN247" s="282"/>
      <c r="AO247" s="282"/>
      <c r="AP247" s="282"/>
      <c r="AQ247" s="282"/>
      <c r="AR247" s="282"/>
      <c r="AS247" s="282"/>
      <c r="AT247" s="282"/>
      <c r="AU247" s="282"/>
      <c r="AV247" s="282"/>
      <c r="AW247" s="282"/>
      <c r="AX247" s="282"/>
      <c r="AY247" s="282"/>
      <c r="AZ247" s="282"/>
      <c r="BA247" s="282"/>
      <c r="BB247" s="282"/>
      <c r="BC247" s="282"/>
    </row>
    <row r="248" s="163" customFormat="1" ht="15" customHeight="1" spans="1:55">
      <c r="A248" s="307">
        <v>42978</v>
      </c>
      <c r="B248" s="308" t="s">
        <v>37</v>
      </c>
      <c r="C248" s="309">
        <v>71732</v>
      </c>
      <c r="D248" s="310">
        <f>41157+10766</f>
        <v>51923</v>
      </c>
      <c r="E248" s="310">
        <v>127412</v>
      </c>
      <c r="F248" s="311">
        <v>6239.4</v>
      </c>
      <c r="G248" s="310">
        <v>4156</v>
      </c>
      <c r="H248" s="312"/>
      <c r="I248" s="312"/>
      <c r="J248" s="313">
        <f t="shared" si="60"/>
        <v>75489</v>
      </c>
      <c r="K248" s="310">
        <v>1174</v>
      </c>
      <c r="L248" s="310">
        <v>1335</v>
      </c>
      <c r="M248" s="227">
        <f t="shared" si="61"/>
        <v>1248</v>
      </c>
      <c r="N248" s="314">
        <f>[7]表2、统调口径电量!$D$10</f>
        <v>2142873.35</v>
      </c>
      <c r="O248" s="315">
        <f>[7]表2、统调口径电量!$D$14</f>
        <v>1772476.8</v>
      </c>
      <c r="P248" s="316">
        <f>[7]表2、统调口径电量!$D$3</f>
        <v>4060084.02</v>
      </c>
      <c r="Q248" s="317">
        <f>[7]表2、统调口径电量!$I$10</f>
        <v>16022161.07</v>
      </c>
      <c r="R248" s="318">
        <f>[7]表2、统调口径电量!$I$14</f>
        <v>9292029.8</v>
      </c>
      <c r="S248" s="319">
        <f>[7]表2、统调口径电量!$I$3</f>
        <v>25831195.74</v>
      </c>
      <c r="T248" s="248">
        <f>N248/'2017'!N248-1</f>
        <v>-0.0556838588192574</v>
      </c>
      <c r="U248" s="249">
        <f>O248/'2017'!O248-1</f>
        <v>0.211504280818407</v>
      </c>
      <c r="V248" s="249">
        <f>P248/'2017'!P248-1</f>
        <v>0.0608330816302003</v>
      </c>
      <c r="W248" s="249">
        <f>Q248/'2017'!Q248-1</f>
        <v>0.0778858353631553</v>
      </c>
      <c r="X248" s="249">
        <f>R248/'2017'!R248-1</f>
        <v>0.141806422407056</v>
      </c>
      <c r="Y248" s="272">
        <f>S248/'2017'!S248-1</f>
        <v>0.0953137616469486</v>
      </c>
      <c r="Z248" s="273">
        <f>[7]表2、统调口径电量!$I$12/10000</f>
        <v>83.221087</v>
      </c>
      <c r="AA248" s="274">
        <f t="shared" si="66"/>
        <v>1518.99502</v>
      </c>
      <c r="AB248" s="275">
        <v>4283.88</v>
      </c>
      <c r="AC248" s="276">
        <f t="shared" si="69"/>
        <v>3545.83933256767</v>
      </c>
      <c r="AD248" s="275">
        <f>[7]表2、统调口径电量!$I$4</f>
        <v>16539165.94</v>
      </c>
      <c r="AE248" s="199">
        <f>[7]表2、统调口径电量!$I$13</f>
        <v>151020.45</v>
      </c>
      <c r="AF248" s="199">
        <f>[7]表2、统调口径电量!$I$17</f>
        <v>160719.97</v>
      </c>
      <c r="AG248" s="276">
        <f t="shared" si="63"/>
        <v>205264.449999999</v>
      </c>
      <c r="AH248" s="283">
        <f>AG248/'2017'!AG248-1</f>
        <v>0.63826400201293</v>
      </c>
      <c r="AI248" s="282"/>
      <c r="AJ248" s="282"/>
      <c r="AK248" s="282"/>
      <c r="AL248" s="282"/>
      <c r="AM248" s="282"/>
      <c r="AN248" s="282"/>
      <c r="AO248" s="282"/>
      <c r="AP248" s="282"/>
      <c r="AQ248" s="282"/>
      <c r="AR248" s="282"/>
      <c r="AS248" s="282"/>
      <c r="AT248" s="282"/>
      <c r="AU248" s="282"/>
      <c r="AV248" s="282"/>
      <c r="AW248" s="282"/>
      <c r="AX248" s="282"/>
      <c r="AY248" s="282"/>
      <c r="AZ248" s="282"/>
      <c r="BA248" s="282"/>
      <c r="BB248" s="282"/>
      <c r="BC248" s="282"/>
    </row>
    <row r="249" ht="15" customHeight="1" spans="1:55">
      <c r="A249" s="189">
        <v>42979</v>
      </c>
      <c r="B249" s="184" t="s">
        <v>38</v>
      </c>
      <c r="C249" s="185">
        <v>64920</v>
      </c>
      <c r="D249" s="186">
        <f>42897+10781</f>
        <v>53678</v>
      </c>
      <c r="E249" s="186">
        <v>121606</v>
      </c>
      <c r="F249" s="187">
        <v>5795.4</v>
      </c>
      <c r="G249" s="186">
        <v>4083.7</v>
      </c>
      <c r="H249" s="188"/>
      <c r="I249" s="188"/>
      <c r="J249" s="214">
        <f t="shared" si="60"/>
        <v>67928</v>
      </c>
      <c r="K249" s="186">
        <v>528</v>
      </c>
      <c r="L249" s="186">
        <v>1603</v>
      </c>
      <c r="M249" s="215">
        <f t="shared" si="61"/>
        <v>877</v>
      </c>
      <c r="N249" s="216">
        <f>C249</f>
        <v>64920</v>
      </c>
      <c r="O249" s="219">
        <f>D249</f>
        <v>53678</v>
      </c>
      <c r="P249" s="218">
        <f>E249</f>
        <v>121606</v>
      </c>
      <c r="Q249" s="238">
        <f>Q$248+N249</f>
        <v>16087081.07</v>
      </c>
      <c r="R249" s="217">
        <f t="shared" ref="Q249:S264" si="76">R$248+O249</f>
        <v>9345707.8</v>
      </c>
      <c r="S249" s="239">
        <f t="shared" si="76"/>
        <v>25952801.74</v>
      </c>
      <c r="T249" s="240">
        <f>N249/'2017'!N249-1</f>
        <v>0.229801663225293</v>
      </c>
      <c r="U249" s="241">
        <f>O249/'2017'!O249-1</f>
        <v>0.291609518997088</v>
      </c>
      <c r="V249" s="241">
        <f>P249/'2017'!P249-1</f>
        <v>0.265345195359243</v>
      </c>
      <c r="W249" s="241">
        <f>Q249/'2017'!Q249-1</f>
        <v>0.0784234344544492</v>
      </c>
      <c r="X249" s="241">
        <f>R249/'2017'!R249-1</f>
        <v>0.142567546668424</v>
      </c>
      <c r="Y249" s="262">
        <f>S249/'2017'!S249-1</f>
        <v>0.0960038473492679</v>
      </c>
      <c r="Z249" s="263"/>
      <c r="AA249" s="264">
        <f t="shared" si="66"/>
        <v>1608.708107</v>
      </c>
      <c r="AB249" s="265"/>
      <c r="AC249" s="266"/>
      <c r="AD249" s="265">
        <f t="shared" si="62"/>
        <v>16607093.94</v>
      </c>
      <c r="AE249" s="186">
        <f t="shared" si="64"/>
        <v>151548.45</v>
      </c>
      <c r="AF249" s="186">
        <f t="shared" si="75"/>
        <v>162322.97</v>
      </c>
      <c r="AG249" s="266">
        <f t="shared" si="63"/>
        <v>206141.449999997</v>
      </c>
      <c r="AH249" s="281"/>
      <c r="AI249" s="282"/>
      <c r="AJ249" s="282"/>
      <c r="AK249" s="282"/>
      <c r="AL249" s="282"/>
      <c r="AM249" s="282"/>
      <c r="AN249" s="282"/>
      <c r="AO249" s="282"/>
      <c r="AP249" s="282"/>
      <c r="AQ249" s="282"/>
      <c r="AR249" s="282"/>
      <c r="AS249" s="282"/>
      <c r="AT249" s="282"/>
      <c r="AU249" s="282"/>
      <c r="AV249" s="282"/>
      <c r="AW249" s="282"/>
      <c r="AX249" s="282"/>
      <c r="AY249" s="282"/>
      <c r="AZ249" s="282"/>
      <c r="BA249" s="282"/>
      <c r="BB249" s="282"/>
      <c r="BC249" s="282"/>
    </row>
    <row r="250" ht="15" customHeight="1" spans="1:55">
      <c r="A250" s="189">
        <v>42980</v>
      </c>
      <c r="B250" s="184" t="s">
        <v>1</v>
      </c>
      <c r="C250" s="185">
        <v>65391</v>
      </c>
      <c r="D250" s="186">
        <f>42123+10748</f>
        <v>52871</v>
      </c>
      <c r="E250" s="186">
        <v>121486</v>
      </c>
      <c r="F250" s="187">
        <v>5761.9</v>
      </c>
      <c r="G250" s="186">
        <v>4018.1</v>
      </c>
      <c r="H250" s="188"/>
      <c r="I250" s="188"/>
      <c r="J250" s="214">
        <f t="shared" si="60"/>
        <v>68615</v>
      </c>
      <c r="K250" s="186">
        <v>669</v>
      </c>
      <c r="L250" s="186">
        <v>1588</v>
      </c>
      <c r="M250" s="215">
        <f t="shared" si="61"/>
        <v>967</v>
      </c>
      <c r="N250" s="216">
        <f t="shared" ref="N250:P265" si="77">C250+N249</f>
        <v>130311</v>
      </c>
      <c r="O250" s="219">
        <f t="shared" si="77"/>
        <v>106549</v>
      </c>
      <c r="P250" s="218">
        <f t="shared" si="77"/>
        <v>243092</v>
      </c>
      <c r="Q250" s="238">
        <f>Q$248+N250</f>
        <v>16152472.07</v>
      </c>
      <c r="R250" s="217">
        <f t="shared" si="76"/>
        <v>9398578.8</v>
      </c>
      <c r="S250" s="239">
        <f t="shared" si="76"/>
        <v>26074287.74</v>
      </c>
      <c r="T250" s="240">
        <f>N250/'2017'!N250-1</f>
        <v>0.218714051905541</v>
      </c>
      <c r="U250" s="241">
        <f>O250/'2017'!O250-1</f>
        <v>0.281854164410919</v>
      </c>
      <c r="V250" s="241">
        <f>P250/'2017'!P250-1</f>
        <v>0.253251808278642</v>
      </c>
      <c r="W250" s="241">
        <f>Q250/'2017'!Q250-1</f>
        <v>0.0788916264021255</v>
      </c>
      <c r="X250" s="241">
        <f>R250/'2017'!R250-1</f>
        <v>0.143222396826519</v>
      </c>
      <c r="Y250" s="262">
        <f>S250/'2017'!S250-1</f>
        <v>0.0966021765478133</v>
      </c>
      <c r="Z250" s="263"/>
      <c r="AA250" s="264">
        <f t="shared" si="66"/>
        <v>1615.247207</v>
      </c>
      <c r="AB250" s="265"/>
      <c r="AC250" s="266"/>
      <c r="AD250" s="265">
        <f t="shared" si="62"/>
        <v>16675708.94</v>
      </c>
      <c r="AE250" s="186">
        <f t="shared" si="64"/>
        <v>152217.45</v>
      </c>
      <c r="AF250" s="186">
        <f t="shared" si="75"/>
        <v>163910.97</v>
      </c>
      <c r="AG250" s="266">
        <f t="shared" si="63"/>
        <v>207108.449999997</v>
      </c>
      <c r="AH250" s="281"/>
      <c r="AI250" s="282"/>
      <c r="AJ250" s="282"/>
      <c r="AK250" s="282"/>
      <c r="AL250" s="282"/>
      <c r="AM250" s="282"/>
      <c r="AN250" s="282"/>
      <c r="AO250" s="282"/>
      <c r="AP250" s="282"/>
      <c r="AQ250" s="282"/>
      <c r="AR250" s="282"/>
      <c r="AS250" s="282"/>
      <c r="AT250" s="282"/>
      <c r="AU250" s="282"/>
      <c r="AV250" s="282"/>
      <c r="AW250" s="282"/>
      <c r="AX250" s="282"/>
      <c r="AY250" s="282"/>
      <c r="AZ250" s="282"/>
      <c r="BA250" s="282"/>
      <c r="BB250" s="282"/>
      <c r="BC250" s="282"/>
    </row>
    <row r="251" ht="15" customHeight="1" spans="1:55">
      <c r="A251" s="189">
        <v>42981</v>
      </c>
      <c r="B251" s="184" t="s">
        <v>39</v>
      </c>
      <c r="C251" s="185">
        <v>71503</v>
      </c>
      <c r="D251" s="186">
        <f>10752+46648</f>
        <v>57400</v>
      </c>
      <c r="E251" s="186">
        <v>132500</v>
      </c>
      <c r="F251" s="187">
        <v>6505</v>
      </c>
      <c r="G251" s="186">
        <v>4164</v>
      </c>
      <c r="H251" s="188"/>
      <c r="I251" s="188"/>
      <c r="J251" s="214">
        <f t="shared" si="60"/>
        <v>75100</v>
      </c>
      <c r="K251" s="186">
        <v>651</v>
      </c>
      <c r="L251" s="186">
        <v>2046</v>
      </c>
      <c r="M251" s="215">
        <f t="shared" si="61"/>
        <v>900</v>
      </c>
      <c r="N251" s="216">
        <f t="shared" si="77"/>
        <v>201814</v>
      </c>
      <c r="O251" s="219">
        <f t="shared" si="77"/>
        <v>163949</v>
      </c>
      <c r="P251" s="218">
        <f t="shared" si="77"/>
        <v>375592</v>
      </c>
      <c r="Q251" s="238">
        <f t="shared" si="76"/>
        <v>16223975.07</v>
      </c>
      <c r="R251" s="217">
        <f t="shared" si="76"/>
        <v>9455978.8</v>
      </c>
      <c r="S251" s="239">
        <f t="shared" si="76"/>
        <v>26206787.74</v>
      </c>
      <c r="T251" s="240">
        <f>N251/'2017'!N251-1</f>
        <v>0.258223397092197</v>
      </c>
      <c r="U251" s="241">
        <f>O251/'2017'!O251-1</f>
        <v>0.320178440577516</v>
      </c>
      <c r="V251" s="241">
        <f>P251/'2017'!P251-1</f>
        <v>0.292106150363628</v>
      </c>
      <c r="W251" s="241">
        <f>Q251/'2017'!Q251-1</f>
        <v>0.0798110103399692</v>
      </c>
      <c r="X251" s="241">
        <f>R251/'2017'!R251-1</f>
        <v>0.144487487889114</v>
      </c>
      <c r="Y251" s="262">
        <f>S251/'2017'!S251-1</f>
        <v>0.0977098355073627</v>
      </c>
      <c r="Z251" s="263"/>
      <c r="AA251" s="264">
        <f t="shared" si="66"/>
        <v>1622.397507</v>
      </c>
      <c r="AB251" s="265"/>
      <c r="AC251" s="266"/>
      <c r="AD251" s="265">
        <f t="shared" si="62"/>
        <v>16750808.94</v>
      </c>
      <c r="AE251" s="186">
        <f t="shared" si="64"/>
        <v>152868.45</v>
      </c>
      <c r="AF251" s="186">
        <f t="shared" si="75"/>
        <v>165956.97</v>
      </c>
      <c r="AG251" s="266">
        <f t="shared" si="63"/>
        <v>208008.449999997</v>
      </c>
      <c r="AH251" s="281"/>
      <c r="AI251" s="282"/>
      <c r="AJ251" s="282"/>
      <c r="AK251" s="282"/>
      <c r="AL251" s="282"/>
      <c r="AM251" s="282"/>
      <c r="AN251" s="282"/>
      <c r="AO251" s="282"/>
      <c r="AP251" s="282"/>
      <c r="AQ251" s="282"/>
      <c r="AR251" s="282"/>
      <c r="AS251" s="282"/>
      <c r="AT251" s="282"/>
      <c r="AU251" s="282"/>
      <c r="AV251" s="282"/>
      <c r="AW251" s="282"/>
      <c r="AX251" s="282"/>
      <c r="AY251" s="282"/>
      <c r="AZ251" s="282"/>
      <c r="BA251" s="282"/>
      <c r="BB251" s="282"/>
      <c r="BC251" s="282"/>
    </row>
    <row r="252" ht="15" customHeight="1" spans="1:55">
      <c r="A252" s="189">
        <v>42982</v>
      </c>
      <c r="B252" s="184" t="s">
        <v>34</v>
      </c>
      <c r="C252" s="185">
        <v>66999</v>
      </c>
      <c r="D252" s="186">
        <f>10790+49734</f>
        <v>60524</v>
      </c>
      <c r="E252" s="186">
        <v>131334</v>
      </c>
      <c r="F252" s="187">
        <v>6319</v>
      </c>
      <c r="G252" s="186">
        <v>4381</v>
      </c>
      <c r="H252" s="188"/>
      <c r="I252" s="188"/>
      <c r="J252" s="214">
        <f t="shared" si="60"/>
        <v>70810</v>
      </c>
      <c r="K252" s="186">
        <v>686</v>
      </c>
      <c r="L252" s="186">
        <v>2050</v>
      </c>
      <c r="M252" s="215">
        <f t="shared" si="61"/>
        <v>1075</v>
      </c>
      <c r="N252" s="216">
        <f t="shared" si="77"/>
        <v>268813</v>
      </c>
      <c r="O252" s="219">
        <f t="shared" si="77"/>
        <v>224473</v>
      </c>
      <c r="P252" s="218">
        <f t="shared" si="77"/>
        <v>506926</v>
      </c>
      <c r="Q252" s="238">
        <f t="shared" si="76"/>
        <v>16290974.07</v>
      </c>
      <c r="R252" s="217">
        <f t="shared" si="76"/>
        <v>9516502.8</v>
      </c>
      <c r="S252" s="239">
        <f t="shared" si="76"/>
        <v>26338121.74</v>
      </c>
      <c r="T252" s="240">
        <f>N252/'2017'!N252-1</f>
        <v>0.198132465680157</v>
      </c>
      <c r="U252" s="241">
        <f>O252/'2017'!O252-1</f>
        <v>0.360022053789435</v>
      </c>
      <c r="V252" s="241">
        <f>P252/'2017'!P252-1</f>
        <v>0.272708100576192</v>
      </c>
      <c r="W252" s="241">
        <f>Q252/'2017'!Q252-1</f>
        <v>0.0796738203370357</v>
      </c>
      <c r="X252" s="241">
        <f>R252/'2017'!R252-1</f>
        <v>0.1461441861367</v>
      </c>
      <c r="Y252" s="262">
        <f>S252/'2017'!S252-1</f>
        <v>0.0982600544283758</v>
      </c>
      <c r="Z252" s="263"/>
      <c r="AA252" s="264">
        <f t="shared" si="66"/>
        <v>1629.097407</v>
      </c>
      <c r="AB252" s="265"/>
      <c r="AC252" s="266"/>
      <c r="AD252" s="265">
        <f t="shared" si="62"/>
        <v>16821618.94</v>
      </c>
      <c r="AE252" s="186">
        <f t="shared" si="64"/>
        <v>153554.45</v>
      </c>
      <c r="AF252" s="186">
        <f t="shared" si="75"/>
        <v>168006.97</v>
      </c>
      <c r="AG252" s="266">
        <f t="shared" si="63"/>
        <v>209083.449999997</v>
      </c>
      <c r="AH252" s="281"/>
      <c r="AI252" s="282"/>
      <c r="AJ252" s="282"/>
      <c r="AK252" s="282"/>
      <c r="AL252" s="282"/>
      <c r="AM252" s="282"/>
      <c r="AN252" s="282"/>
      <c r="AO252" s="282"/>
      <c r="AP252" s="282"/>
      <c r="AQ252" s="282"/>
      <c r="AR252" s="282"/>
      <c r="AS252" s="282"/>
      <c r="AT252" s="282"/>
      <c r="AU252" s="282"/>
      <c r="AV252" s="282"/>
      <c r="AW252" s="282"/>
      <c r="AX252" s="282"/>
      <c r="AY252" s="282"/>
      <c r="AZ252" s="282"/>
      <c r="BA252" s="282"/>
      <c r="BB252" s="282"/>
      <c r="BC252" s="282"/>
    </row>
    <row r="253" ht="15" customHeight="1" spans="1:55">
      <c r="A253" s="189">
        <v>42983</v>
      </c>
      <c r="B253" s="184" t="s">
        <v>35</v>
      </c>
      <c r="C253" s="185">
        <v>62697</v>
      </c>
      <c r="D253" s="186">
        <f>10727+49935</f>
        <v>60662</v>
      </c>
      <c r="E253" s="186">
        <v>127723</v>
      </c>
      <c r="F253" s="187">
        <v>6221</v>
      </c>
      <c r="G253" s="186">
        <v>4195</v>
      </c>
      <c r="H253" s="188"/>
      <c r="I253" s="188"/>
      <c r="J253" s="214">
        <f t="shared" si="60"/>
        <v>67061</v>
      </c>
      <c r="K253" s="186">
        <v>1256</v>
      </c>
      <c r="L253" s="186">
        <v>2050</v>
      </c>
      <c r="M253" s="215">
        <f t="shared" si="61"/>
        <v>1058</v>
      </c>
      <c r="N253" s="216">
        <f t="shared" si="77"/>
        <v>331510</v>
      </c>
      <c r="O253" s="219">
        <f t="shared" si="77"/>
        <v>285135</v>
      </c>
      <c r="P253" s="218">
        <f t="shared" si="77"/>
        <v>634649</v>
      </c>
      <c r="Q253" s="238">
        <f t="shared" si="76"/>
        <v>16353671.07</v>
      </c>
      <c r="R253" s="217">
        <f t="shared" si="76"/>
        <v>9577164.8</v>
      </c>
      <c r="S253" s="239">
        <f t="shared" si="76"/>
        <v>26465844.74</v>
      </c>
      <c r="T253" s="240">
        <f>N253/'2017'!N253-1</f>
        <v>0.116740496201849</v>
      </c>
      <c r="U253" s="241">
        <f>O253/'2017'!O253-1</f>
        <v>0.384594093253178</v>
      </c>
      <c r="V253" s="241">
        <f>P253/'2017'!P253-1</f>
        <v>0.231534234241227</v>
      </c>
      <c r="W253" s="241">
        <f>Q253/'2017'!Q253-1</f>
        <v>0.0786466019184358</v>
      </c>
      <c r="X253" s="241">
        <f>R253/'2017'!R253-1</f>
        <v>0.147798582492544</v>
      </c>
      <c r="Y253" s="262">
        <f>S253/'2017'!S253-1</f>
        <v>0.0982267298449173</v>
      </c>
      <c r="Z253" s="263"/>
      <c r="AA253" s="264">
        <f t="shared" si="66"/>
        <v>1635.367107</v>
      </c>
      <c r="AB253" s="265"/>
      <c r="AC253" s="266"/>
      <c r="AD253" s="265">
        <f t="shared" si="62"/>
        <v>16888679.94</v>
      </c>
      <c r="AE253" s="186">
        <f t="shared" si="64"/>
        <v>154810.45</v>
      </c>
      <c r="AF253" s="186">
        <f t="shared" si="75"/>
        <v>170056.97</v>
      </c>
      <c r="AG253" s="266">
        <f t="shared" si="63"/>
        <v>210141.449999997</v>
      </c>
      <c r="AH253" s="281"/>
      <c r="AI253" s="282"/>
      <c r="AJ253" s="282"/>
      <c r="AK253" s="282"/>
      <c r="AL253" s="282"/>
      <c r="AM253" s="282"/>
      <c r="AN253" s="282"/>
      <c r="AO253" s="282"/>
      <c r="AP253" s="282"/>
      <c r="AQ253" s="282"/>
      <c r="AR253" s="282"/>
      <c r="AS253" s="282"/>
      <c r="AT253" s="282"/>
      <c r="AU253" s="282"/>
      <c r="AV253" s="282"/>
      <c r="AW253" s="282"/>
      <c r="AX253" s="282"/>
      <c r="AY253" s="282"/>
      <c r="AZ253" s="282"/>
      <c r="BA253" s="282"/>
      <c r="BB253" s="282"/>
      <c r="BC253" s="282"/>
    </row>
    <row r="254" s="163" customFormat="1" ht="15" customHeight="1" spans="1:55">
      <c r="A254" s="190">
        <v>42984</v>
      </c>
      <c r="B254" s="191" t="s">
        <v>36</v>
      </c>
      <c r="C254" s="192">
        <f>68958+3029</f>
        <v>71987</v>
      </c>
      <c r="D254" s="193">
        <f>42749+13672</f>
        <v>56421</v>
      </c>
      <c r="E254" s="193">
        <f>89917+42749</f>
        <v>132666</v>
      </c>
      <c r="F254" s="194">
        <v>6478</v>
      </c>
      <c r="G254" s="193">
        <v>4258</v>
      </c>
      <c r="H254" s="195"/>
      <c r="I254" s="195"/>
      <c r="J254" s="220">
        <f t="shared" si="60"/>
        <v>76245</v>
      </c>
      <c r="K254" s="193">
        <v>1137</v>
      </c>
      <c r="L254" s="193">
        <v>2095</v>
      </c>
      <c r="M254" s="221">
        <f t="shared" si="61"/>
        <v>1026</v>
      </c>
      <c r="N254" s="222">
        <f t="shared" si="77"/>
        <v>403497</v>
      </c>
      <c r="O254" s="225">
        <f t="shared" si="77"/>
        <v>341556</v>
      </c>
      <c r="P254" s="224">
        <f t="shared" si="77"/>
        <v>767315</v>
      </c>
      <c r="Q254" s="242">
        <f t="shared" si="76"/>
        <v>16425658.07</v>
      </c>
      <c r="R254" s="223">
        <f t="shared" si="76"/>
        <v>9633585.8</v>
      </c>
      <c r="S254" s="243">
        <f t="shared" si="76"/>
        <v>26598510.74</v>
      </c>
      <c r="T254" s="244">
        <f>N254/'2017'!N254-1</f>
        <v>0.0816251035392324</v>
      </c>
      <c r="U254" s="245">
        <f>O254/'2017'!O254-1</f>
        <v>0.383344268669048</v>
      </c>
      <c r="V254" s="245">
        <f>P254/'2017'!P254-1</f>
        <v>0.20686292551192</v>
      </c>
      <c r="W254" s="245">
        <f>Q254/'2017'!Q254-1</f>
        <v>0.0779773808703981</v>
      </c>
      <c r="X254" s="245">
        <f>R254/'2017'!R254-1</f>
        <v>0.148918855935791</v>
      </c>
      <c r="Y254" s="267">
        <f>S254/'2017'!S254-1</f>
        <v>0.0982421106329088</v>
      </c>
      <c r="Z254" s="268">
        <v>84.95</v>
      </c>
      <c r="AA254" s="269">
        <f t="shared" si="66"/>
        <v>1557.615807</v>
      </c>
      <c r="AB254" s="270">
        <v>4283.88</v>
      </c>
      <c r="AC254" s="221">
        <f t="shared" si="69"/>
        <v>3635.99308804168</v>
      </c>
      <c r="AD254" s="270">
        <f t="shared" si="62"/>
        <v>16964924.94</v>
      </c>
      <c r="AE254" s="193">
        <f t="shared" si="64"/>
        <v>155947.45</v>
      </c>
      <c r="AF254" s="193">
        <f t="shared" si="75"/>
        <v>172151.97</v>
      </c>
      <c r="AG254" s="221">
        <f t="shared" si="63"/>
        <v>211167.449999997</v>
      </c>
      <c r="AH254" s="281"/>
      <c r="AI254" s="282"/>
      <c r="AJ254" s="282"/>
      <c r="AK254" s="282"/>
      <c r="AL254" s="282"/>
      <c r="AM254" s="282"/>
      <c r="AN254" s="282"/>
      <c r="AO254" s="282"/>
      <c r="AP254" s="282"/>
      <c r="AQ254" s="282"/>
      <c r="AR254" s="282"/>
      <c r="AS254" s="282"/>
      <c r="AT254" s="282"/>
      <c r="AU254" s="282"/>
      <c r="AV254" s="282"/>
      <c r="AW254" s="282"/>
      <c r="AX254" s="282"/>
      <c r="AY254" s="282"/>
      <c r="AZ254" s="282"/>
      <c r="BA254" s="282"/>
      <c r="BB254" s="282"/>
      <c r="BC254" s="282"/>
    </row>
    <row r="255" ht="15" customHeight="1" spans="1:55">
      <c r="A255" s="189">
        <v>42985</v>
      </c>
      <c r="B255" s="184" t="s">
        <v>37</v>
      </c>
      <c r="C255" s="185">
        <v>61745</v>
      </c>
      <c r="D255" s="186">
        <f>43137+10696</f>
        <v>53833</v>
      </c>
      <c r="E255" s="186">
        <v>119092</v>
      </c>
      <c r="F255" s="187">
        <v>6020.6</v>
      </c>
      <c r="G255" s="186">
        <v>4080.5</v>
      </c>
      <c r="H255" s="188"/>
      <c r="I255" s="188"/>
      <c r="J255" s="214">
        <f t="shared" si="60"/>
        <v>65259</v>
      </c>
      <c r="K255" s="186">
        <v>954</v>
      </c>
      <c r="L255" s="186">
        <v>2142</v>
      </c>
      <c r="M255" s="215">
        <f t="shared" si="61"/>
        <v>418</v>
      </c>
      <c r="N255" s="216">
        <f t="shared" si="77"/>
        <v>465242</v>
      </c>
      <c r="O255" s="219">
        <f t="shared" si="77"/>
        <v>395389</v>
      </c>
      <c r="P255" s="218">
        <f t="shared" si="77"/>
        <v>886407</v>
      </c>
      <c r="Q255" s="238">
        <f t="shared" si="76"/>
        <v>16487403.07</v>
      </c>
      <c r="R255" s="217">
        <f t="shared" si="76"/>
        <v>9687418.8</v>
      </c>
      <c r="S255" s="239">
        <f t="shared" si="76"/>
        <v>26717602.74</v>
      </c>
      <c r="T255" s="240">
        <f>N255/'2017'!N255-1</f>
        <v>0.0617818157751198</v>
      </c>
      <c r="U255" s="241">
        <f>O255/'2017'!O255-1</f>
        <v>0.358972596383534</v>
      </c>
      <c r="V255" s="241">
        <f>P255/'2017'!P255-1</f>
        <v>0.187802341817441</v>
      </c>
      <c r="W255" s="241">
        <f>Q255/'2017'!Q255-1</f>
        <v>0.0774247168063888</v>
      </c>
      <c r="X255" s="241">
        <f>R255/'2017'!R255-1</f>
        <v>0.149302469879125</v>
      </c>
      <c r="Y255" s="262">
        <f>S255/'2017'!S255-1</f>
        <v>0.0981506454347039</v>
      </c>
      <c r="Z255" s="263"/>
      <c r="AA255" s="264">
        <f t="shared" si="66"/>
        <v>1648.740307</v>
      </c>
      <c r="AB255" s="265"/>
      <c r="AC255" s="266"/>
      <c r="AD255" s="265">
        <f t="shared" si="62"/>
        <v>17030183.94</v>
      </c>
      <c r="AE255" s="186">
        <f t="shared" si="64"/>
        <v>156901.45</v>
      </c>
      <c r="AF255" s="186">
        <f t="shared" si="75"/>
        <v>174293.97</v>
      </c>
      <c r="AG255" s="266">
        <f t="shared" si="63"/>
        <v>211585.449999997</v>
      </c>
      <c r="AH255" s="281"/>
      <c r="AI255" s="282"/>
      <c r="AJ255" s="282"/>
      <c r="AK255" s="282"/>
      <c r="AL255" s="282"/>
      <c r="AM255" s="282"/>
      <c r="AN255" s="282"/>
      <c r="AO255" s="282"/>
      <c r="AP255" s="282"/>
      <c r="AQ255" s="282"/>
      <c r="AR255" s="282"/>
      <c r="AS255" s="282"/>
      <c r="AT255" s="282"/>
      <c r="AU255" s="282"/>
      <c r="AV255" s="282"/>
      <c r="AW255" s="282"/>
      <c r="AX255" s="282"/>
      <c r="AY255" s="282"/>
      <c r="AZ255" s="282"/>
      <c r="BA255" s="282"/>
      <c r="BB255" s="282"/>
      <c r="BC255" s="282"/>
    </row>
    <row r="256" ht="15" customHeight="1" spans="1:55">
      <c r="A256" s="189">
        <v>42986</v>
      </c>
      <c r="B256" s="184" t="s">
        <v>38</v>
      </c>
      <c r="C256" s="185">
        <v>48124</v>
      </c>
      <c r="D256" s="186">
        <f>42598+10607</f>
        <v>53205</v>
      </c>
      <c r="E256" s="186">
        <v>104682</v>
      </c>
      <c r="F256" s="187">
        <v>5300.9</v>
      </c>
      <c r="G256" s="186">
        <v>3662.4</v>
      </c>
      <c r="H256" s="188"/>
      <c r="I256" s="188"/>
      <c r="J256" s="214">
        <f t="shared" si="60"/>
        <v>51477</v>
      </c>
      <c r="K256" s="186">
        <v>835</v>
      </c>
      <c r="L256" s="186">
        <v>2060</v>
      </c>
      <c r="M256" s="215">
        <f t="shared" si="61"/>
        <v>458</v>
      </c>
      <c r="N256" s="216">
        <f t="shared" si="77"/>
        <v>513366</v>
      </c>
      <c r="O256" s="219">
        <f t="shared" si="77"/>
        <v>448594</v>
      </c>
      <c r="P256" s="218">
        <f t="shared" si="77"/>
        <v>991089</v>
      </c>
      <c r="Q256" s="238">
        <f t="shared" si="76"/>
        <v>16535527.07</v>
      </c>
      <c r="R256" s="217">
        <f t="shared" si="76"/>
        <v>9740623.8</v>
      </c>
      <c r="S256" s="239">
        <f t="shared" si="76"/>
        <v>26822284.74</v>
      </c>
      <c r="T256" s="240">
        <f>N256/'2017'!N256-1</f>
        <v>0.0340968376779422</v>
      </c>
      <c r="U256" s="241">
        <f>O256/'2017'!O256-1</f>
        <v>0.336576994240664</v>
      </c>
      <c r="V256" s="241">
        <f>P256/'2017'!P256-1</f>
        <v>0.164723676200639</v>
      </c>
      <c r="W256" s="241">
        <f>Q256/'2017'!Q256-1</f>
        <v>0.0764706444055145</v>
      </c>
      <c r="X256" s="241">
        <f>R256/'2017'!R256-1</f>
        <v>0.149521014412112</v>
      </c>
      <c r="Y256" s="262">
        <f>S256/'2017'!S256-1</f>
        <v>0.0977309550732182</v>
      </c>
      <c r="Z256" s="263"/>
      <c r="AA256" s="264">
        <f t="shared" si="66"/>
        <v>1653.552707</v>
      </c>
      <c r="AB256" s="265"/>
      <c r="AC256" s="266"/>
      <c r="AD256" s="265">
        <f t="shared" si="62"/>
        <v>17081660.94</v>
      </c>
      <c r="AE256" s="186">
        <f t="shared" si="64"/>
        <v>157736.45</v>
      </c>
      <c r="AF256" s="186">
        <f t="shared" si="75"/>
        <v>176353.97</v>
      </c>
      <c r="AG256" s="266">
        <f t="shared" si="63"/>
        <v>212043.449999997</v>
      </c>
      <c r="AH256" s="281"/>
      <c r="AI256" s="282"/>
      <c r="AJ256" s="282"/>
      <c r="AK256" s="282"/>
      <c r="AL256" s="282"/>
      <c r="AM256" s="282"/>
      <c r="AN256" s="282"/>
      <c r="AO256" s="282"/>
      <c r="AP256" s="282"/>
      <c r="AQ256" s="282"/>
      <c r="AR256" s="282"/>
      <c r="AS256" s="282"/>
      <c r="AT256" s="282"/>
      <c r="AU256" s="282"/>
      <c r="AV256" s="282"/>
      <c r="AW256" s="282"/>
      <c r="AX256" s="282"/>
      <c r="AY256" s="282"/>
      <c r="AZ256" s="282"/>
      <c r="BA256" s="282"/>
      <c r="BB256" s="282"/>
      <c r="BC256" s="282"/>
    </row>
    <row r="257" ht="15" customHeight="1" spans="1:55">
      <c r="A257" s="189">
        <v>42987</v>
      </c>
      <c r="B257" s="184" t="s">
        <v>1</v>
      </c>
      <c r="C257" s="185">
        <v>41741</v>
      </c>
      <c r="D257" s="186">
        <f>41231+10805</f>
        <v>52036</v>
      </c>
      <c r="E257" s="186">
        <v>96195</v>
      </c>
      <c r="F257" s="187">
        <v>4594.1</v>
      </c>
      <c r="G257" s="186">
        <v>3415.5</v>
      </c>
      <c r="H257" s="188"/>
      <c r="I257" s="188"/>
      <c r="J257" s="214">
        <f t="shared" si="60"/>
        <v>44159</v>
      </c>
      <c r="K257" s="186">
        <v>195</v>
      </c>
      <c r="L257" s="186">
        <v>1016</v>
      </c>
      <c r="M257" s="215">
        <f t="shared" si="61"/>
        <v>1207</v>
      </c>
      <c r="N257" s="216">
        <f t="shared" si="77"/>
        <v>555107</v>
      </c>
      <c r="O257" s="219">
        <f t="shared" si="77"/>
        <v>500630</v>
      </c>
      <c r="P257" s="218">
        <f t="shared" si="77"/>
        <v>1087284</v>
      </c>
      <c r="Q257" s="238">
        <f t="shared" si="76"/>
        <v>16577268.07</v>
      </c>
      <c r="R257" s="217">
        <f t="shared" si="76"/>
        <v>9792659.8</v>
      </c>
      <c r="S257" s="239">
        <f t="shared" si="76"/>
        <v>26918479.74</v>
      </c>
      <c r="T257" s="240">
        <f>N257/'2017'!N257-1</f>
        <v>0.00239625844198055</v>
      </c>
      <c r="U257" s="241">
        <f>O257/'2017'!O257-1</f>
        <v>0.315608977980769</v>
      </c>
      <c r="V257" s="241">
        <f>P257/'2017'!P257-1</f>
        <v>0.138848795775105</v>
      </c>
      <c r="W257" s="241">
        <f>Q257/'2017'!Q257-1</f>
        <v>0.0751744563144343</v>
      </c>
      <c r="X257" s="241">
        <f>R257/'2017'!R257-1</f>
        <v>0.149570342989567</v>
      </c>
      <c r="Y257" s="262">
        <f>S257/'2017'!S257-1</f>
        <v>0.0970076115812946</v>
      </c>
      <c r="Z257" s="263"/>
      <c r="AA257" s="264">
        <f t="shared" si="66"/>
        <v>1657.726807</v>
      </c>
      <c r="AB257" s="265"/>
      <c r="AC257" s="266"/>
      <c r="AD257" s="265">
        <f t="shared" si="62"/>
        <v>17125819.94</v>
      </c>
      <c r="AE257" s="186">
        <f t="shared" si="64"/>
        <v>157931.45</v>
      </c>
      <c r="AF257" s="186">
        <f t="shared" si="75"/>
        <v>177369.97</v>
      </c>
      <c r="AG257" s="266">
        <f t="shared" si="63"/>
        <v>213250.449999997</v>
      </c>
      <c r="AH257" s="281"/>
      <c r="AI257" s="282"/>
      <c r="AJ257" s="282"/>
      <c r="AK257" s="282"/>
      <c r="AL257" s="282"/>
      <c r="AM257" s="282"/>
      <c r="AN257" s="282"/>
      <c r="AO257" s="282"/>
      <c r="AP257" s="282"/>
      <c r="AQ257" s="282"/>
      <c r="AR257" s="282"/>
      <c r="AS257" s="282"/>
      <c r="AT257" s="282"/>
      <c r="AU257" s="282"/>
      <c r="AV257" s="282"/>
      <c r="AW257" s="282"/>
      <c r="AX257" s="282"/>
      <c r="AY257" s="282"/>
      <c r="AZ257" s="282"/>
      <c r="BA257" s="282"/>
      <c r="BB257" s="282"/>
      <c r="BC257" s="282"/>
    </row>
    <row r="258" ht="15" customHeight="1" spans="1:55">
      <c r="A258" s="189">
        <v>42988</v>
      </c>
      <c r="B258" s="184" t="s">
        <v>39</v>
      </c>
      <c r="C258" s="185">
        <v>47844</v>
      </c>
      <c r="D258" s="186">
        <f>42691+10883</f>
        <v>53574</v>
      </c>
      <c r="E258" s="186">
        <v>103734</v>
      </c>
      <c r="F258" s="187">
        <v>5168.6</v>
      </c>
      <c r="G258" s="186">
        <v>3324.4</v>
      </c>
      <c r="H258" s="188"/>
      <c r="I258" s="188"/>
      <c r="J258" s="214">
        <f t="shared" si="60"/>
        <v>50160</v>
      </c>
      <c r="K258" s="186">
        <v>511</v>
      </c>
      <c r="L258" s="186">
        <v>791</v>
      </c>
      <c r="M258" s="215">
        <f t="shared" si="61"/>
        <v>1014</v>
      </c>
      <c r="N258" s="216">
        <f t="shared" si="77"/>
        <v>602951</v>
      </c>
      <c r="O258" s="219">
        <f t="shared" si="77"/>
        <v>554204</v>
      </c>
      <c r="P258" s="218">
        <f t="shared" si="77"/>
        <v>1191018</v>
      </c>
      <c r="Q258" s="238">
        <f t="shared" si="76"/>
        <v>16625112.07</v>
      </c>
      <c r="R258" s="217">
        <f t="shared" si="76"/>
        <v>9846233.8</v>
      </c>
      <c r="S258" s="239">
        <f t="shared" si="76"/>
        <v>27022213.74</v>
      </c>
      <c r="T258" s="240">
        <f>N258/'2017'!N258-1</f>
        <v>-0.0129941773382726</v>
      </c>
      <c r="U258" s="241">
        <f>O258/'2017'!O258-1</f>
        <v>0.299645660335767</v>
      </c>
      <c r="V258" s="241">
        <f>P258/'2017'!P258-1</f>
        <v>0.123567967759464</v>
      </c>
      <c r="W258" s="241">
        <f>Q258/'2017'!Q258-1</f>
        <v>0.0742983428090807</v>
      </c>
      <c r="X258" s="241">
        <f>R258/'2017'!R258-1</f>
        <v>0.14966530775235</v>
      </c>
      <c r="Y258" s="262">
        <f>S258/'2017'!S258-1</f>
        <v>0.0965291115373459</v>
      </c>
      <c r="Z258" s="263"/>
      <c r="AA258" s="264">
        <f t="shared" si="66"/>
        <v>1662.511207</v>
      </c>
      <c r="AB258" s="265"/>
      <c r="AC258" s="266"/>
      <c r="AD258" s="265">
        <f t="shared" si="62"/>
        <v>17175979.94</v>
      </c>
      <c r="AE258" s="186">
        <f t="shared" si="64"/>
        <v>158442.45</v>
      </c>
      <c r="AF258" s="186">
        <f t="shared" si="75"/>
        <v>178160.97</v>
      </c>
      <c r="AG258" s="266">
        <f t="shared" si="63"/>
        <v>214264.449999997</v>
      </c>
      <c r="AH258" s="281"/>
      <c r="AI258" s="282"/>
      <c r="AJ258" s="282"/>
      <c r="AK258" s="282"/>
      <c r="AL258" s="282"/>
      <c r="AM258" s="282"/>
      <c r="AN258" s="282"/>
      <c r="AO258" s="282"/>
      <c r="AP258" s="282"/>
      <c r="AQ258" s="282"/>
      <c r="AR258" s="282"/>
      <c r="AS258" s="282"/>
      <c r="AT258" s="282"/>
      <c r="AU258" s="282"/>
      <c r="AV258" s="282"/>
      <c r="AW258" s="282"/>
      <c r="AX258" s="282"/>
      <c r="AY258" s="282"/>
      <c r="AZ258" s="282"/>
      <c r="BA258" s="282"/>
      <c r="BB258" s="282"/>
      <c r="BC258" s="282"/>
    </row>
    <row r="259" ht="15" customHeight="1" spans="1:55">
      <c r="A259" s="189">
        <v>42989</v>
      </c>
      <c r="B259" s="184" t="s">
        <v>34</v>
      </c>
      <c r="C259" s="185">
        <v>50160</v>
      </c>
      <c r="D259" s="186">
        <f>43327+10772</f>
        <v>54099</v>
      </c>
      <c r="E259" s="186">
        <v>106112</v>
      </c>
      <c r="F259" s="187">
        <v>5345.4</v>
      </c>
      <c r="G259" s="186">
        <v>3519.3</v>
      </c>
      <c r="H259" s="188"/>
      <c r="I259" s="188"/>
      <c r="J259" s="214">
        <f t="shared" si="60"/>
        <v>52013</v>
      </c>
      <c r="K259" s="186">
        <v>525</v>
      </c>
      <c r="L259" s="186">
        <v>792</v>
      </c>
      <c r="M259" s="215">
        <f t="shared" si="61"/>
        <v>536</v>
      </c>
      <c r="N259" s="216">
        <f t="shared" si="77"/>
        <v>653111</v>
      </c>
      <c r="O259" s="219">
        <f t="shared" si="77"/>
        <v>608303</v>
      </c>
      <c r="P259" s="218">
        <f t="shared" si="77"/>
        <v>1297130</v>
      </c>
      <c r="Q259" s="238">
        <f t="shared" si="76"/>
        <v>16675272.07</v>
      </c>
      <c r="R259" s="217">
        <f t="shared" si="76"/>
        <v>9900332.8</v>
      </c>
      <c r="S259" s="239">
        <f t="shared" si="76"/>
        <v>27128325.74</v>
      </c>
      <c r="T259" s="240">
        <f>N259/'2017'!N259-1</f>
        <v>-0.0274790973323505</v>
      </c>
      <c r="U259" s="241">
        <f>O259/'2017'!O259-1</f>
        <v>0.287879846462953</v>
      </c>
      <c r="V259" s="241">
        <f>P259/'2017'!P259-1</f>
        <v>0.109625485465962</v>
      </c>
      <c r="W259" s="241">
        <f>Q259/'2017'!Q259-1</f>
        <v>0.0733312902330865</v>
      </c>
      <c r="X259" s="241">
        <f>R259/'2017'!R259-1</f>
        <v>0.14981943215463</v>
      </c>
      <c r="Y259" s="262">
        <f>S259/'2017'!S259-1</f>
        <v>0.0959896617205616</v>
      </c>
      <c r="Z259" s="263"/>
      <c r="AA259" s="264">
        <f t="shared" si="66"/>
        <v>1667.527207</v>
      </c>
      <c r="AB259" s="265"/>
      <c r="AC259" s="266"/>
      <c r="AD259" s="265">
        <f t="shared" si="62"/>
        <v>17227992.94</v>
      </c>
      <c r="AE259" s="186">
        <f t="shared" si="64"/>
        <v>158967.45</v>
      </c>
      <c r="AF259" s="186">
        <f t="shared" si="75"/>
        <v>178952.97</v>
      </c>
      <c r="AG259" s="266">
        <f t="shared" si="63"/>
        <v>214800.449999997</v>
      </c>
      <c r="AH259" s="281"/>
      <c r="AI259" s="282"/>
      <c r="AJ259" s="282"/>
      <c r="AK259" s="282"/>
      <c r="AL259" s="282"/>
      <c r="AM259" s="282"/>
      <c r="AN259" s="282"/>
      <c r="AO259" s="282"/>
      <c r="AP259" s="282"/>
      <c r="AQ259" s="282"/>
      <c r="AR259" s="282"/>
      <c r="AS259" s="282"/>
      <c r="AT259" s="282"/>
      <c r="AU259" s="282"/>
      <c r="AV259" s="282"/>
      <c r="AW259" s="282"/>
      <c r="AX259" s="282"/>
      <c r="AY259" s="282"/>
      <c r="AZ259" s="282"/>
      <c r="BA259" s="282"/>
      <c r="BB259" s="282"/>
      <c r="BC259" s="282"/>
    </row>
    <row r="260" ht="15" customHeight="1" spans="1:55">
      <c r="A260" s="189">
        <v>42990</v>
      </c>
      <c r="B260" s="184" t="s">
        <v>35</v>
      </c>
      <c r="C260" s="185">
        <v>48796</v>
      </c>
      <c r="D260" s="186">
        <f>44694+10850</f>
        <v>55544</v>
      </c>
      <c r="E260" s="186">
        <v>106632</v>
      </c>
      <c r="F260" s="187">
        <v>5290.7</v>
      </c>
      <c r="G260" s="186">
        <v>3501.8</v>
      </c>
      <c r="H260" s="188"/>
      <c r="I260" s="188"/>
      <c r="J260" s="214">
        <f t="shared" si="60"/>
        <v>51088</v>
      </c>
      <c r="K260" s="186">
        <v>940</v>
      </c>
      <c r="L260" s="186">
        <v>834</v>
      </c>
      <c r="M260" s="215">
        <f t="shared" si="61"/>
        <v>518</v>
      </c>
      <c r="N260" s="216">
        <f t="shared" si="77"/>
        <v>701907</v>
      </c>
      <c r="O260" s="219">
        <f t="shared" si="77"/>
        <v>663847</v>
      </c>
      <c r="P260" s="218">
        <f t="shared" si="77"/>
        <v>1403762</v>
      </c>
      <c r="Q260" s="238">
        <f t="shared" si="76"/>
        <v>16724068.07</v>
      </c>
      <c r="R260" s="217">
        <f t="shared" si="76"/>
        <v>9955876.8</v>
      </c>
      <c r="S260" s="239">
        <f t="shared" si="76"/>
        <v>27234957.74</v>
      </c>
      <c r="T260" s="240">
        <f>N260/'2017'!N260-1</f>
        <v>-0.031120074207815</v>
      </c>
      <c r="U260" s="241">
        <f>O260/'2017'!O260-1</f>
        <v>0.281580181895052</v>
      </c>
      <c r="V260" s="241">
        <f>P260/'2017'!P260-1</f>
        <v>0.104912894646325</v>
      </c>
      <c r="W260" s="241">
        <f>Q260/'2017'!Q260-1</f>
        <v>0.0728200752049457</v>
      </c>
      <c r="X260" s="241">
        <f>R260/'2017'!R260-1</f>
        <v>0.150170742857064</v>
      </c>
      <c r="Y260" s="262">
        <f>S260/'2017'!S260-1</f>
        <v>0.0958044477994449</v>
      </c>
      <c r="Z260" s="263"/>
      <c r="AA260" s="264">
        <f t="shared" si="66"/>
        <v>1672.406807</v>
      </c>
      <c r="AB260" s="265"/>
      <c r="AC260" s="266"/>
      <c r="AD260" s="265">
        <f t="shared" si="62"/>
        <v>17279080.94</v>
      </c>
      <c r="AE260" s="186">
        <f t="shared" si="64"/>
        <v>159907.45</v>
      </c>
      <c r="AF260" s="186">
        <f t="shared" si="75"/>
        <v>179786.97</v>
      </c>
      <c r="AG260" s="266">
        <f t="shared" si="63"/>
        <v>215318.449999997</v>
      </c>
      <c r="AH260" s="281"/>
      <c r="AI260" s="282"/>
      <c r="AJ260" s="282"/>
      <c r="AK260" s="282"/>
      <c r="AL260" s="282"/>
      <c r="AM260" s="282"/>
      <c r="AN260" s="282"/>
      <c r="AO260" s="282"/>
      <c r="AP260" s="282"/>
      <c r="AQ260" s="282"/>
      <c r="AR260" s="282"/>
      <c r="AS260" s="282"/>
      <c r="AT260" s="282"/>
      <c r="AU260" s="282"/>
      <c r="AV260" s="282"/>
      <c r="AW260" s="282"/>
      <c r="AX260" s="282"/>
      <c r="AY260" s="282"/>
      <c r="AZ260" s="282"/>
      <c r="BA260" s="282"/>
      <c r="BB260" s="282"/>
      <c r="BC260" s="282"/>
    </row>
    <row r="261" s="163" customFormat="1" ht="15" customHeight="1" spans="1:55">
      <c r="A261" s="190">
        <v>42991</v>
      </c>
      <c r="B261" s="191" t="s">
        <v>36</v>
      </c>
      <c r="C261" s="192">
        <f>45262+5069</f>
        <v>50331</v>
      </c>
      <c r="D261" s="193">
        <f>13830+42018</f>
        <v>55848</v>
      </c>
      <c r="E261" s="193">
        <f>69370+42018</f>
        <v>111388</v>
      </c>
      <c r="F261" s="194">
        <v>5491</v>
      </c>
      <c r="G261" s="193">
        <v>3595</v>
      </c>
      <c r="H261" s="195"/>
      <c r="I261" s="195"/>
      <c r="J261" s="220">
        <f t="shared" ref="J261:J324" si="78">E261-D261</f>
        <v>55540</v>
      </c>
      <c r="K261" s="193">
        <v>1273</v>
      </c>
      <c r="L261" s="193">
        <v>3259</v>
      </c>
      <c r="M261" s="221">
        <f t="shared" si="61"/>
        <v>677</v>
      </c>
      <c r="N261" s="222">
        <f t="shared" si="77"/>
        <v>752238</v>
      </c>
      <c r="O261" s="225">
        <f t="shared" si="77"/>
        <v>719695</v>
      </c>
      <c r="P261" s="224">
        <f t="shared" si="77"/>
        <v>1515150</v>
      </c>
      <c r="Q261" s="242">
        <f t="shared" si="76"/>
        <v>16774399.07</v>
      </c>
      <c r="R261" s="223">
        <f t="shared" si="76"/>
        <v>10011724.8</v>
      </c>
      <c r="S261" s="243">
        <f t="shared" si="76"/>
        <v>27346345.74</v>
      </c>
      <c r="T261" s="244">
        <f>N261/'2017'!N261-1</f>
        <v>-0.0284827946046194</v>
      </c>
      <c r="U261" s="245">
        <f>O261/'2017'!O261-1</f>
        <v>0.275570971298124</v>
      </c>
      <c r="V261" s="245">
        <f>P261/'2017'!P261-1</f>
        <v>0.106003801648549</v>
      </c>
      <c r="W261" s="245">
        <f>Q261/'2017'!Q261-1</f>
        <v>0.0726193969091984</v>
      </c>
      <c r="X261" s="245">
        <f>R261/'2017'!R261-1</f>
        <v>0.150479130502531</v>
      </c>
      <c r="Y261" s="267">
        <f>S261/'2017'!S261-1</f>
        <v>0.0959006428800186</v>
      </c>
      <c r="Z261" s="268">
        <v>87.69</v>
      </c>
      <c r="AA261" s="269">
        <f t="shared" si="66"/>
        <v>1589.749907</v>
      </c>
      <c r="AB261" s="270">
        <v>4283.88</v>
      </c>
      <c r="AC261" s="221">
        <f t="shared" si="69"/>
        <v>3711.00475970382</v>
      </c>
      <c r="AD261" s="270">
        <f t="shared" si="62"/>
        <v>17334620.94</v>
      </c>
      <c r="AE261" s="193">
        <f t="shared" si="64"/>
        <v>161180.45</v>
      </c>
      <c r="AF261" s="193">
        <f t="shared" si="75"/>
        <v>183045.97</v>
      </c>
      <c r="AG261" s="221">
        <f t="shared" si="63"/>
        <v>215995.449999997</v>
      </c>
      <c r="AH261" s="281"/>
      <c r="AI261" s="282"/>
      <c r="AJ261" s="282"/>
      <c r="AK261" s="282"/>
      <c r="AL261" s="282"/>
      <c r="AM261" s="282"/>
      <c r="AN261" s="282"/>
      <c r="AO261" s="282"/>
      <c r="AP261" s="282"/>
      <c r="AQ261" s="282"/>
      <c r="AR261" s="282"/>
      <c r="AS261" s="282"/>
      <c r="AT261" s="282"/>
      <c r="AU261" s="282"/>
      <c r="AV261" s="282"/>
      <c r="AW261" s="282"/>
      <c r="AX261" s="282"/>
      <c r="AY261" s="282"/>
      <c r="AZ261" s="282"/>
      <c r="BA261" s="282"/>
      <c r="BB261" s="282"/>
      <c r="BC261" s="282"/>
    </row>
    <row r="262" ht="15" customHeight="1" spans="1:55">
      <c r="A262" s="189">
        <v>42992</v>
      </c>
      <c r="B262" s="184" t="s">
        <v>37</v>
      </c>
      <c r="C262" s="185">
        <v>53821</v>
      </c>
      <c r="D262" s="186">
        <f>44372+10864</f>
        <v>55236</v>
      </c>
      <c r="E262" s="186">
        <v>116853</v>
      </c>
      <c r="F262" s="187">
        <v>5839.3</v>
      </c>
      <c r="G262" s="186">
        <v>3727.1</v>
      </c>
      <c r="H262" s="188"/>
      <c r="I262" s="188"/>
      <c r="J262" s="214">
        <f t="shared" si="78"/>
        <v>61617</v>
      </c>
      <c r="K262" s="186">
        <v>1294</v>
      </c>
      <c r="L262" s="186">
        <v>5549</v>
      </c>
      <c r="M262" s="215">
        <f t="shared" ref="M262:M325" si="79">J262-K262-L262-C262</f>
        <v>953</v>
      </c>
      <c r="N262" s="216">
        <f t="shared" si="77"/>
        <v>806059</v>
      </c>
      <c r="O262" s="219">
        <f t="shared" si="77"/>
        <v>774931</v>
      </c>
      <c r="P262" s="218">
        <f t="shared" si="77"/>
        <v>1632003</v>
      </c>
      <c r="Q262" s="238">
        <f t="shared" si="76"/>
        <v>16828220.07</v>
      </c>
      <c r="R262" s="217">
        <f t="shared" si="76"/>
        <v>10066960.8</v>
      </c>
      <c r="S262" s="239">
        <f t="shared" si="76"/>
        <v>27463198.74</v>
      </c>
      <c r="T262" s="240">
        <f>N262/'2017'!N262-1</f>
        <v>-0.0199711848848307</v>
      </c>
      <c r="U262" s="241">
        <f>O262/'2017'!O262-1</f>
        <v>0.268569417388315</v>
      </c>
      <c r="V262" s="241">
        <f>P262/'2017'!P262-1</f>
        <v>0.111833786604608</v>
      </c>
      <c r="W262" s="241">
        <f>Q262/'2017'!Q262-1</f>
        <v>0.0727550675039128</v>
      </c>
      <c r="X262" s="241">
        <f>R262/'2017'!R262-1</f>
        <v>0.150657352862847</v>
      </c>
      <c r="Y262" s="262">
        <f>S262/'2017'!S262-1</f>
        <v>0.0962817337536326</v>
      </c>
      <c r="Z262" s="263"/>
      <c r="AA262" s="264">
        <f t="shared" si="66"/>
        <v>1682.822007</v>
      </c>
      <c r="AB262" s="265"/>
      <c r="AC262" s="266"/>
      <c r="AD262" s="265">
        <f t="shared" ref="AD262:AD325" si="80">S262-R262</f>
        <v>17396237.94</v>
      </c>
      <c r="AE262" s="186">
        <f t="shared" si="64"/>
        <v>162474.45</v>
      </c>
      <c r="AF262" s="186">
        <f t="shared" si="75"/>
        <v>188594.97</v>
      </c>
      <c r="AG262" s="266">
        <f t="shared" ref="AG262:AG325" si="81">AD262-Q262-AE262-AF262</f>
        <v>216948.449999997</v>
      </c>
      <c r="AH262" s="281"/>
      <c r="AI262" s="282"/>
      <c r="AJ262" s="282"/>
      <c r="AK262" s="282"/>
      <c r="AL262" s="282"/>
      <c r="AM262" s="282"/>
      <c r="AN262" s="282"/>
      <c r="AO262" s="282"/>
      <c r="AP262" s="282"/>
      <c r="AQ262" s="282"/>
      <c r="AR262" s="282"/>
      <c r="AS262" s="282"/>
      <c r="AT262" s="282"/>
      <c r="AU262" s="282"/>
      <c r="AV262" s="282"/>
      <c r="AW262" s="282"/>
      <c r="AX262" s="282"/>
      <c r="AY262" s="282"/>
      <c r="AZ262" s="282"/>
      <c r="BA262" s="282"/>
      <c r="BB262" s="282"/>
      <c r="BC262" s="282"/>
    </row>
    <row r="263" ht="15" customHeight="1" spans="1:55">
      <c r="A263" s="189">
        <v>42993</v>
      </c>
      <c r="B263" s="184" t="s">
        <v>38</v>
      </c>
      <c r="C263" s="185">
        <v>53101</v>
      </c>
      <c r="D263" s="186">
        <f>45845+10818</f>
        <v>56663</v>
      </c>
      <c r="E263" s="186">
        <v>117965</v>
      </c>
      <c r="F263" s="187">
        <v>5817.9</v>
      </c>
      <c r="G263" s="186">
        <v>3876.5</v>
      </c>
      <c r="H263" s="188"/>
      <c r="I263" s="188"/>
      <c r="J263" s="214">
        <f t="shared" si="78"/>
        <v>61302</v>
      </c>
      <c r="K263" s="186">
        <v>1360</v>
      </c>
      <c r="L263" s="186">
        <v>5773</v>
      </c>
      <c r="M263" s="215">
        <f t="shared" si="79"/>
        <v>1068</v>
      </c>
      <c r="N263" s="216">
        <f t="shared" si="77"/>
        <v>859160</v>
      </c>
      <c r="O263" s="219">
        <f t="shared" si="77"/>
        <v>831594</v>
      </c>
      <c r="P263" s="218">
        <f t="shared" si="77"/>
        <v>1749968</v>
      </c>
      <c r="Q263" s="238">
        <f t="shared" si="76"/>
        <v>16881321.07</v>
      </c>
      <c r="R263" s="217">
        <f t="shared" si="76"/>
        <v>10123623.8</v>
      </c>
      <c r="S263" s="239">
        <f t="shared" si="76"/>
        <v>27581163.74</v>
      </c>
      <c r="T263" s="240">
        <f>N263/'2017'!N263-1</f>
        <v>-0.0242184980079139</v>
      </c>
      <c r="U263" s="241">
        <f>O263/'2017'!O263-1</f>
        <v>0.280094206746865</v>
      </c>
      <c r="V263" s="241">
        <f>P263/'2017'!P263-1</f>
        <v>0.116351467040237</v>
      </c>
      <c r="W263" s="241">
        <f>Q263/'2017'!Q263-1</f>
        <v>0.0721759776590849</v>
      </c>
      <c r="X263" s="241">
        <f>R263/'2017'!R263-1</f>
        <v>0.152029480487544</v>
      </c>
      <c r="Y263" s="262">
        <f>S263/'2017'!S263-1</f>
        <v>0.0966249741277998</v>
      </c>
      <c r="Z263" s="263"/>
      <c r="AA263" s="264">
        <f t="shared" si="66"/>
        <v>1688.132107</v>
      </c>
      <c r="AB263" s="265"/>
      <c r="AC263" s="266"/>
      <c r="AD263" s="265">
        <f t="shared" si="80"/>
        <v>17457539.94</v>
      </c>
      <c r="AE263" s="186">
        <f t="shared" ref="AE263:AE326" si="82">AE262+K263</f>
        <v>163834.45</v>
      </c>
      <c r="AF263" s="186">
        <f t="shared" ref="AF263:AF278" si="83">AF262+L263</f>
        <v>194367.97</v>
      </c>
      <c r="AG263" s="266">
        <f t="shared" si="81"/>
        <v>218016.449999997</v>
      </c>
      <c r="AH263" s="281"/>
      <c r="AI263" s="282"/>
      <c r="AJ263" s="282"/>
      <c r="AK263" s="282"/>
      <c r="AL263" s="282"/>
      <c r="AM263" s="282"/>
      <c r="AN263" s="282"/>
      <c r="AO263" s="282"/>
      <c r="AP263" s="282"/>
      <c r="AQ263" s="282"/>
      <c r="AR263" s="282"/>
      <c r="AS263" s="282"/>
      <c r="AT263" s="282"/>
      <c r="AU263" s="282"/>
      <c r="AV263" s="282"/>
      <c r="AW263" s="282"/>
      <c r="AX263" s="282"/>
      <c r="AY263" s="282"/>
      <c r="AZ263" s="282"/>
      <c r="BA263" s="282"/>
      <c r="BB263" s="282"/>
      <c r="BC263" s="282"/>
    </row>
    <row r="264" ht="15" customHeight="1" spans="1:55">
      <c r="A264" s="189">
        <v>42994</v>
      </c>
      <c r="B264" s="184" t="s">
        <v>1</v>
      </c>
      <c r="C264" s="185">
        <v>50635</v>
      </c>
      <c r="D264" s="186">
        <f>43732+10769</f>
        <v>54501</v>
      </c>
      <c r="E264" s="186">
        <v>113574</v>
      </c>
      <c r="F264" s="187">
        <v>5425.2</v>
      </c>
      <c r="G264" s="186">
        <v>3887.2</v>
      </c>
      <c r="H264" s="188"/>
      <c r="I264" s="188"/>
      <c r="J264" s="214">
        <f t="shared" si="78"/>
        <v>59073</v>
      </c>
      <c r="K264" s="186">
        <v>1736</v>
      </c>
      <c r="L264" s="186">
        <v>5723</v>
      </c>
      <c r="M264" s="215">
        <f t="shared" si="79"/>
        <v>979</v>
      </c>
      <c r="N264" s="216">
        <f t="shared" si="77"/>
        <v>909795</v>
      </c>
      <c r="O264" s="219">
        <f t="shared" si="77"/>
        <v>886095</v>
      </c>
      <c r="P264" s="218">
        <f t="shared" si="77"/>
        <v>1863542</v>
      </c>
      <c r="Q264" s="238">
        <f t="shared" si="76"/>
        <v>16931956.07</v>
      </c>
      <c r="R264" s="217">
        <f t="shared" si="76"/>
        <v>10178124.8</v>
      </c>
      <c r="S264" s="239">
        <f t="shared" si="76"/>
        <v>27694737.74</v>
      </c>
      <c r="T264" s="240">
        <f>N264/'2017'!N264-1</f>
        <v>-0.0244301280965238</v>
      </c>
      <c r="U264" s="241">
        <f>O264/'2017'!O264-1</f>
        <v>0.279138420852052</v>
      </c>
      <c r="V264" s="241">
        <f>P264/'2017'!P264-1</f>
        <v>0.118861410808312</v>
      </c>
      <c r="W264" s="241">
        <f>Q264/'2017'!Q264-1</f>
        <v>0.0718456027800511</v>
      </c>
      <c r="X264" s="241">
        <f>R264/'2017'!R264-1</f>
        <v>0.152579445246693</v>
      </c>
      <c r="Y264" s="262">
        <f>S264/'2017'!S264-1</f>
        <v>0.0968671040628235</v>
      </c>
      <c r="Z264" s="263"/>
      <c r="AA264" s="264">
        <f t="shared" si="66"/>
        <v>1693.195607</v>
      </c>
      <c r="AB264" s="265"/>
      <c r="AC264" s="266"/>
      <c r="AD264" s="265">
        <f t="shared" si="80"/>
        <v>17516612.94</v>
      </c>
      <c r="AE264" s="186">
        <f t="shared" si="82"/>
        <v>165570.45</v>
      </c>
      <c r="AF264" s="186">
        <f t="shared" si="83"/>
        <v>200090.97</v>
      </c>
      <c r="AG264" s="266">
        <f t="shared" si="81"/>
        <v>218995.449999997</v>
      </c>
      <c r="AH264" s="281"/>
      <c r="AI264" s="282"/>
      <c r="AJ264" s="282"/>
      <c r="AK264" s="282"/>
      <c r="AL264" s="282"/>
      <c r="AM264" s="282"/>
      <c r="AN264" s="282"/>
      <c r="AO264" s="282"/>
      <c r="AP264" s="282"/>
      <c r="AQ264" s="282"/>
      <c r="AR264" s="282"/>
      <c r="AS264" s="282"/>
      <c r="AT264" s="282"/>
      <c r="AU264" s="282"/>
      <c r="AV264" s="282"/>
      <c r="AW264" s="282"/>
      <c r="AX264" s="282"/>
      <c r="AY264" s="282"/>
      <c r="AZ264" s="282"/>
      <c r="BA264" s="282"/>
      <c r="BB264" s="282"/>
      <c r="BC264" s="282"/>
    </row>
    <row r="265" ht="15" customHeight="1" spans="1:55">
      <c r="A265" s="189">
        <v>42995</v>
      </c>
      <c r="B265" s="184" t="s">
        <v>39</v>
      </c>
      <c r="C265" s="185">
        <v>51298</v>
      </c>
      <c r="D265" s="186">
        <f>44348+10890</f>
        <v>55238</v>
      </c>
      <c r="E265" s="186">
        <v>114557</v>
      </c>
      <c r="F265" s="187">
        <v>5885</v>
      </c>
      <c r="G265" s="186">
        <v>3726.9</v>
      </c>
      <c r="H265" s="188"/>
      <c r="I265" s="188"/>
      <c r="J265" s="214">
        <f t="shared" si="78"/>
        <v>59319</v>
      </c>
      <c r="K265" s="186">
        <v>1683</v>
      </c>
      <c r="L265" s="186">
        <v>5751</v>
      </c>
      <c r="M265" s="215">
        <f t="shared" si="79"/>
        <v>587</v>
      </c>
      <c r="N265" s="216">
        <f t="shared" si="77"/>
        <v>961093</v>
      </c>
      <c r="O265" s="219">
        <f t="shared" si="77"/>
        <v>941333</v>
      </c>
      <c r="P265" s="218">
        <f t="shared" si="77"/>
        <v>1978099</v>
      </c>
      <c r="Q265" s="238">
        <f t="shared" ref="Q265:S277" si="84">Q$248+N265</f>
        <v>16983254.07</v>
      </c>
      <c r="R265" s="217">
        <f t="shared" si="84"/>
        <v>10233362.8</v>
      </c>
      <c r="S265" s="239">
        <f t="shared" si="84"/>
        <v>27809294.74</v>
      </c>
      <c r="T265" s="240">
        <f>N265/'2017'!N265-1</f>
        <v>-0.0225225225225225</v>
      </c>
      <c r="U265" s="241">
        <f>O265/'2017'!O265-1</f>
        <v>0.280995311936531</v>
      </c>
      <c r="V265" s="241">
        <f>P265/'2017'!P265-1</f>
        <v>0.123529204617485</v>
      </c>
      <c r="W265" s="241">
        <f>Q265/'2017'!Q265-1</f>
        <v>0.0716561933481006</v>
      </c>
      <c r="X265" s="241">
        <f>R265/'2017'!R265-1</f>
        <v>0.153333972736841</v>
      </c>
      <c r="Y265" s="262">
        <f>S265/'2017'!S265-1</f>
        <v>0.097273849713736</v>
      </c>
      <c r="Z265" s="263">
        <v>89.24</v>
      </c>
      <c r="AA265" s="264">
        <f t="shared" ref="AA265:AA328" si="85">Q265/10000-Z265</f>
        <v>1609.085407</v>
      </c>
      <c r="AB265" s="265"/>
      <c r="AC265" s="266"/>
      <c r="AD265" s="265">
        <f t="shared" si="80"/>
        <v>17575931.94</v>
      </c>
      <c r="AE265" s="186">
        <f t="shared" si="82"/>
        <v>167253.45</v>
      </c>
      <c r="AF265" s="186">
        <f t="shared" si="83"/>
        <v>205841.97</v>
      </c>
      <c r="AG265" s="266">
        <f t="shared" si="81"/>
        <v>219582.449999997</v>
      </c>
      <c r="AH265" s="281"/>
      <c r="AI265" s="282"/>
      <c r="AJ265" s="282"/>
      <c r="AK265" s="282"/>
      <c r="AL265" s="282"/>
      <c r="AM265" s="282"/>
      <c r="AN265" s="282"/>
      <c r="AO265" s="282"/>
      <c r="AP265" s="282"/>
      <c r="AQ265" s="282"/>
      <c r="AR265" s="282"/>
      <c r="AS265" s="282"/>
      <c r="AT265" s="282"/>
      <c r="AU265" s="282"/>
      <c r="AV265" s="282"/>
      <c r="AW265" s="282"/>
      <c r="AX265" s="282"/>
      <c r="AY265" s="282"/>
      <c r="AZ265" s="282"/>
      <c r="BA265" s="282"/>
      <c r="BB265" s="282"/>
      <c r="BC265" s="282"/>
    </row>
    <row r="266" ht="15" customHeight="1" spans="1:55">
      <c r="A266" s="189">
        <v>42996</v>
      </c>
      <c r="B266" s="184" t="s">
        <v>34</v>
      </c>
      <c r="C266" s="185">
        <v>54276</v>
      </c>
      <c r="D266" s="186">
        <f>10907+46503</f>
        <v>57410</v>
      </c>
      <c r="E266" s="186">
        <v>119542</v>
      </c>
      <c r="F266" s="187">
        <v>6007</v>
      </c>
      <c r="G266" s="186">
        <v>3732</v>
      </c>
      <c r="H266" s="188"/>
      <c r="I266" s="188"/>
      <c r="J266" s="214">
        <f t="shared" si="78"/>
        <v>62132</v>
      </c>
      <c r="K266" s="186">
        <v>1020</v>
      </c>
      <c r="L266" s="186">
        <v>5834</v>
      </c>
      <c r="M266" s="215">
        <f t="shared" si="79"/>
        <v>1002</v>
      </c>
      <c r="N266" s="216">
        <f t="shared" ref="N266:P277" si="86">C266+N265</f>
        <v>1015369</v>
      </c>
      <c r="O266" s="219">
        <f t="shared" si="86"/>
        <v>998743</v>
      </c>
      <c r="P266" s="218">
        <f t="shared" si="86"/>
        <v>2097641</v>
      </c>
      <c r="Q266" s="238">
        <f t="shared" si="84"/>
        <v>17037530.07</v>
      </c>
      <c r="R266" s="217">
        <f t="shared" si="84"/>
        <v>10290772.8</v>
      </c>
      <c r="S266" s="239">
        <f t="shared" si="84"/>
        <v>27928836.74</v>
      </c>
      <c r="T266" s="240">
        <f>N266/'2017'!N266-1</f>
        <v>-0.0279122356212016</v>
      </c>
      <c r="U266" s="241">
        <f>O266/'2017'!O266-1</f>
        <v>0.28874388043986</v>
      </c>
      <c r="V266" s="241">
        <f>P266/'2017'!P266-1</f>
        <v>0.125387354017966</v>
      </c>
      <c r="W266" s="241">
        <f>Q266/'2017'!Q266-1</f>
        <v>0.0709395202224812</v>
      </c>
      <c r="X266" s="241">
        <f>R266/'2017'!R266-1</f>
        <v>0.154582473071302</v>
      </c>
      <c r="Y266" s="262">
        <f>S266/'2017'!S266-1</f>
        <v>0.0975165494929497</v>
      </c>
      <c r="Z266" s="263"/>
      <c r="AA266" s="264">
        <f t="shared" si="85"/>
        <v>1703.753007</v>
      </c>
      <c r="AB266" s="265"/>
      <c r="AC266" s="266"/>
      <c r="AD266" s="265">
        <f t="shared" si="80"/>
        <v>17638063.94</v>
      </c>
      <c r="AE266" s="186">
        <f t="shared" si="82"/>
        <v>168273.45</v>
      </c>
      <c r="AF266" s="186">
        <f t="shared" si="83"/>
        <v>211675.97</v>
      </c>
      <c r="AG266" s="266">
        <f t="shared" si="81"/>
        <v>220584.449999997</v>
      </c>
      <c r="AH266" s="281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  <c r="AS266" s="282"/>
      <c r="AT266" s="282"/>
      <c r="AU266" s="282"/>
      <c r="AV266" s="282"/>
      <c r="AW266" s="282"/>
      <c r="AX266" s="282"/>
      <c r="AY266" s="282"/>
      <c r="AZ266" s="282"/>
      <c r="BA266" s="282"/>
      <c r="BB266" s="282"/>
      <c r="BC266" s="282"/>
    </row>
    <row r="267" ht="15" customHeight="1" spans="1:55">
      <c r="A267" s="189">
        <v>42997</v>
      </c>
      <c r="B267" s="184" t="s">
        <v>35</v>
      </c>
      <c r="C267" s="185">
        <v>62856</v>
      </c>
      <c r="D267" s="186">
        <f>44893+10884</f>
        <v>55777</v>
      </c>
      <c r="E267" s="186">
        <v>125452</v>
      </c>
      <c r="F267" s="187">
        <v>6194.2</v>
      </c>
      <c r="G267" s="186">
        <v>3987.8</v>
      </c>
      <c r="H267" s="188"/>
      <c r="I267" s="188"/>
      <c r="J267" s="214">
        <f t="shared" si="78"/>
        <v>69675</v>
      </c>
      <c r="K267" s="186">
        <v>1307</v>
      </c>
      <c r="L267" s="186">
        <v>4382</v>
      </c>
      <c r="M267" s="215">
        <f t="shared" si="79"/>
        <v>1130</v>
      </c>
      <c r="N267" s="216">
        <f t="shared" si="86"/>
        <v>1078225</v>
      </c>
      <c r="O267" s="219">
        <f t="shared" si="86"/>
        <v>1054520</v>
      </c>
      <c r="P267" s="218">
        <f t="shared" si="86"/>
        <v>2223093</v>
      </c>
      <c r="Q267" s="238">
        <f t="shared" si="84"/>
        <v>17100386.07</v>
      </c>
      <c r="R267" s="217">
        <f t="shared" si="84"/>
        <v>10346549.8</v>
      </c>
      <c r="S267" s="239">
        <f t="shared" si="84"/>
        <v>28054288.74</v>
      </c>
      <c r="T267" s="240">
        <f>N267/'2017'!N267-1</f>
        <v>-0.0279307901327617</v>
      </c>
      <c r="U267" s="241">
        <f>O267/'2017'!O267-1</f>
        <v>0.292338764035305</v>
      </c>
      <c r="V267" s="241">
        <f>P267/'2017'!P267-1</f>
        <v>0.127480048038886</v>
      </c>
      <c r="W267" s="241">
        <f>Q267/'2017'!Q267-1</f>
        <v>0.0705379517187692</v>
      </c>
      <c r="X267" s="241">
        <f>R267/'2017'!R267-1</f>
        <v>0.155524455812194</v>
      </c>
      <c r="Y267" s="262">
        <f>S267/'2017'!S267-1</f>
        <v>0.0977955909610346</v>
      </c>
      <c r="Z267" s="263"/>
      <c r="AA267" s="264">
        <f t="shared" si="85"/>
        <v>1710.038607</v>
      </c>
      <c r="AB267" s="265"/>
      <c r="AC267" s="266"/>
      <c r="AD267" s="265">
        <f t="shared" si="80"/>
        <v>17707738.94</v>
      </c>
      <c r="AE267" s="186">
        <f t="shared" si="82"/>
        <v>169580.45</v>
      </c>
      <c r="AF267" s="186">
        <f t="shared" si="83"/>
        <v>216057.97</v>
      </c>
      <c r="AG267" s="266">
        <f t="shared" si="81"/>
        <v>221714.449999997</v>
      </c>
      <c r="AH267" s="281"/>
      <c r="AI267" s="282"/>
      <c r="AJ267" s="282"/>
      <c r="AK267" s="282"/>
      <c r="AL267" s="282"/>
      <c r="AM267" s="282"/>
      <c r="AN267" s="282"/>
      <c r="AO267" s="282"/>
      <c r="AP267" s="282"/>
      <c r="AQ267" s="282"/>
      <c r="AR267" s="282"/>
      <c r="AS267" s="282"/>
      <c r="AT267" s="282"/>
      <c r="AU267" s="282"/>
      <c r="AV267" s="282"/>
      <c r="AW267" s="282"/>
      <c r="AX267" s="282"/>
      <c r="AY267" s="282"/>
      <c r="AZ267" s="282"/>
      <c r="BA267" s="282"/>
      <c r="BB267" s="282"/>
      <c r="BC267" s="282"/>
    </row>
    <row r="268" s="163" customFormat="1" ht="15" customHeight="1" spans="1:55">
      <c r="A268" s="190">
        <v>42998</v>
      </c>
      <c r="B268" s="191" t="s">
        <v>36</v>
      </c>
      <c r="C268" s="192">
        <f>56627+5742</f>
        <v>62369</v>
      </c>
      <c r="D268" s="193">
        <f>43506+13925</f>
        <v>57431</v>
      </c>
      <c r="E268" s="193">
        <f>83144+43506</f>
        <v>126650</v>
      </c>
      <c r="F268" s="194">
        <v>6326</v>
      </c>
      <c r="G268" s="193">
        <v>4127</v>
      </c>
      <c r="H268" s="195"/>
      <c r="I268" s="195"/>
      <c r="J268" s="220">
        <f t="shared" si="78"/>
        <v>69219</v>
      </c>
      <c r="K268" s="193">
        <v>1197</v>
      </c>
      <c r="L268" s="193">
        <v>4679</v>
      </c>
      <c r="M268" s="221">
        <f t="shared" si="79"/>
        <v>974</v>
      </c>
      <c r="N268" s="222">
        <f t="shared" si="86"/>
        <v>1140594</v>
      </c>
      <c r="O268" s="225">
        <f t="shared" si="86"/>
        <v>1111951</v>
      </c>
      <c r="P268" s="224">
        <f t="shared" si="86"/>
        <v>2349743</v>
      </c>
      <c r="Q268" s="242">
        <f t="shared" si="84"/>
        <v>17162755.07</v>
      </c>
      <c r="R268" s="223">
        <f t="shared" si="84"/>
        <v>10403980.8</v>
      </c>
      <c r="S268" s="243">
        <f t="shared" si="84"/>
        <v>28180938.74</v>
      </c>
      <c r="T268" s="244">
        <f>N268/'2017'!N268-1</f>
        <v>-0.0274624361145359</v>
      </c>
      <c r="U268" s="245">
        <f>O268/'2017'!O268-1</f>
        <v>0.297123106140142</v>
      </c>
      <c r="V268" s="245">
        <f>P268/'2017'!P268-1</f>
        <v>0.130632670196872</v>
      </c>
      <c r="W268" s="245">
        <f>Q268/'2017'!Q268-1</f>
        <v>0.0701817224926826</v>
      </c>
      <c r="X268" s="245">
        <f>R268/'2017'!R268-1</f>
        <v>0.156608041664647</v>
      </c>
      <c r="Y268" s="267">
        <f>S268/'2017'!S268-1</f>
        <v>0.0981741293178782</v>
      </c>
      <c r="Z268" s="268">
        <v>90.65</v>
      </c>
      <c r="AA268" s="269">
        <f t="shared" si="85"/>
        <v>1625.625507</v>
      </c>
      <c r="AB268" s="270">
        <v>4283.88</v>
      </c>
      <c r="AC268" s="221">
        <f t="shared" ref="AC268:AC324" si="87">AA268*10000/AB268</f>
        <v>3794.75033614387</v>
      </c>
      <c r="AD268" s="270">
        <f t="shared" si="80"/>
        <v>17776957.94</v>
      </c>
      <c r="AE268" s="193">
        <f t="shared" si="82"/>
        <v>170777.45</v>
      </c>
      <c r="AF268" s="193">
        <f t="shared" si="83"/>
        <v>220736.97</v>
      </c>
      <c r="AG268" s="221">
        <f t="shared" si="81"/>
        <v>222688.449999997</v>
      </c>
      <c r="AH268" s="281"/>
      <c r="AI268" s="282"/>
      <c r="AJ268" s="282"/>
      <c r="AK268" s="282"/>
      <c r="AL268" s="282"/>
      <c r="AM268" s="282"/>
      <c r="AN268" s="282"/>
      <c r="AO268" s="282"/>
      <c r="AP268" s="282"/>
      <c r="AQ268" s="282"/>
      <c r="AR268" s="282"/>
      <c r="AS268" s="282"/>
      <c r="AT268" s="282"/>
      <c r="AU268" s="282"/>
      <c r="AV268" s="282"/>
      <c r="AW268" s="282"/>
      <c r="AX268" s="282"/>
      <c r="AY268" s="282"/>
      <c r="AZ268" s="282"/>
      <c r="BA268" s="282"/>
      <c r="BB268" s="282"/>
      <c r="BC268" s="282"/>
    </row>
    <row r="269" ht="15" customHeight="1" spans="1:55">
      <c r="A269" s="189">
        <v>42999</v>
      </c>
      <c r="B269" s="184" t="s">
        <v>37</v>
      </c>
      <c r="C269" s="185">
        <f>50420+3759</f>
        <v>54179</v>
      </c>
      <c r="D269" s="186">
        <f>43089+13955</f>
        <v>57044</v>
      </c>
      <c r="E269" s="186">
        <f>75946+43089</f>
        <v>119035</v>
      </c>
      <c r="F269" s="187">
        <v>5992</v>
      </c>
      <c r="G269" s="186">
        <v>4064</v>
      </c>
      <c r="H269" s="188"/>
      <c r="I269" s="188"/>
      <c r="J269" s="214">
        <f t="shared" si="78"/>
        <v>61991</v>
      </c>
      <c r="K269" s="186">
        <v>1115</v>
      </c>
      <c r="L269" s="186">
        <v>6204</v>
      </c>
      <c r="M269" s="215">
        <f t="shared" si="79"/>
        <v>493</v>
      </c>
      <c r="N269" s="216">
        <f t="shared" si="86"/>
        <v>1194773</v>
      </c>
      <c r="O269" s="219">
        <f t="shared" si="86"/>
        <v>1168995</v>
      </c>
      <c r="P269" s="218">
        <f t="shared" si="86"/>
        <v>2468778</v>
      </c>
      <c r="Q269" s="238">
        <f t="shared" si="84"/>
        <v>17216934.07</v>
      </c>
      <c r="R269" s="217">
        <f t="shared" si="84"/>
        <v>10461024.8</v>
      </c>
      <c r="S269" s="239">
        <f t="shared" si="84"/>
        <v>28299973.74</v>
      </c>
      <c r="T269" s="240">
        <f>N269/'2017'!N269-1</f>
        <v>-0.0328301205589766</v>
      </c>
      <c r="U269" s="241">
        <f>O269/'2017'!O269-1</f>
        <v>0.301903750033411</v>
      </c>
      <c r="V269" s="241">
        <f>P269/'2017'!P269-1</f>
        <v>0.130935022421463</v>
      </c>
      <c r="W269" s="241">
        <f>Q269/'2017'!Q269-1</f>
        <v>0.0693906391782575</v>
      </c>
      <c r="X269" s="241">
        <f>R269/'2017'!R269-1</f>
        <v>0.157715517622998</v>
      </c>
      <c r="Y269" s="262">
        <f>S269/'2017'!S269-1</f>
        <v>0.0983316358484425</v>
      </c>
      <c r="Z269" s="263"/>
      <c r="AA269" s="264">
        <f t="shared" si="85"/>
        <v>1721.693407</v>
      </c>
      <c r="AB269" s="265"/>
      <c r="AC269" s="266"/>
      <c r="AD269" s="265">
        <f t="shared" si="80"/>
        <v>17838948.94</v>
      </c>
      <c r="AE269" s="186">
        <f t="shared" si="82"/>
        <v>171892.45</v>
      </c>
      <c r="AF269" s="186">
        <f t="shared" si="83"/>
        <v>226940.97</v>
      </c>
      <c r="AG269" s="266">
        <f t="shared" si="81"/>
        <v>223181.449999997</v>
      </c>
      <c r="AH269" s="281"/>
      <c r="AI269" s="282"/>
      <c r="AJ269" s="282"/>
      <c r="AK269" s="282"/>
      <c r="AL269" s="282"/>
      <c r="AM269" s="282"/>
      <c r="AN269" s="282"/>
      <c r="AO269" s="282"/>
      <c r="AP269" s="282"/>
      <c r="AQ269" s="282"/>
      <c r="AR269" s="282"/>
      <c r="AS269" s="282"/>
      <c r="AT269" s="282"/>
      <c r="AU269" s="282"/>
      <c r="AV269" s="282"/>
      <c r="AW269" s="282"/>
      <c r="AX269" s="282"/>
      <c r="AY269" s="282"/>
      <c r="AZ269" s="282"/>
      <c r="BA269" s="282"/>
      <c r="BB269" s="282"/>
      <c r="BC269" s="282"/>
    </row>
    <row r="270" ht="15" customHeight="1" spans="1:55">
      <c r="A270" s="189">
        <v>43000</v>
      </c>
      <c r="B270" s="184" t="s">
        <v>38</v>
      </c>
      <c r="C270" s="185">
        <f>50082+3354</f>
        <v>53436</v>
      </c>
      <c r="D270" s="186">
        <f>36245+13849</f>
        <v>50094</v>
      </c>
      <c r="E270" s="186">
        <f>74974+36245</f>
        <v>111219</v>
      </c>
      <c r="F270" s="187">
        <v>5572</v>
      </c>
      <c r="G270" s="186">
        <v>3772</v>
      </c>
      <c r="H270" s="188"/>
      <c r="I270" s="188"/>
      <c r="J270" s="214">
        <f t="shared" si="78"/>
        <v>61125</v>
      </c>
      <c r="K270" s="186">
        <v>1092</v>
      </c>
      <c r="L270" s="186">
        <v>6237</v>
      </c>
      <c r="M270" s="215">
        <f t="shared" si="79"/>
        <v>360</v>
      </c>
      <c r="N270" s="216">
        <f t="shared" si="86"/>
        <v>1248209</v>
      </c>
      <c r="O270" s="219">
        <f t="shared" si="86"/>
        <v>1219089</v>
      </c>
      <c r="P270" s="218">
        <f t="shared" si="86"/>
        <v>2579997</v>
      </c>
      <c r="Q270" s="238">
        <f t="shared" si="84"/>
        <v>17270370.07</v>
      </c>
      <c r="R270" s="217">
        <f t="shared" si="84"/>
        <v>10511118.8</v>
      </c>
      <c r="S270" s="239">
        <f t="shared" si="84"/>
        <v>28411192.74</v>
      </c>
      <c r="T270" s="240">
        <f>N270/'2017'!N270-1</f>
        <v>-0.0391836583884543</v>
      </c>
      <c r="U270" s="241">
        <f>O270/'2017'!O270-1</f>
        <v>0.298725552131129</v>
      </c>
      <c r="V270" s="241">
        <f>P270/'2017'!P270-1</f>
        <v>0.127157493356098</v>
      </c>
      <c r="W270" s="241">
        <f>Q270/'2017'!Q270-1</f>
        <v>0.0684766062592057</v>
      </c>
      <c r="X270" s="241">
        <f>R270/'2017'!R270-1</f>
        <v>0.15803447710944</v>
      </c>
      <c r="Y270" s="262">
        <f>S270/'2017'!S270-1</f>
        <v>0.0981309977100406</v>
      </c>
      <c r="Z270" s="263"/>
      <c r="AA270" s="264">
        <f t="shared" si="85"/>
        <v>1727.037007</v>
      </c>
      <c r="AB270" s="265"/>
      <c r="AC270" s="266"/>
      <c r="AD270" s="265">
        <f t="shared" si="80"/>
        <v>17900073.94</v>
      </c>
      <c r="AE270" s="186">
        <f t="shared" si="82"/>
        <v>172984.45</v>
      </c>
      <c r="AF270" s="186">
        <f t="shared" si="83"/>
        <v>233177.97</v>
      </c>
      <c r="AG270" s="266">
        <f t="shared" si="81"/>
        <v>223541.449999997</v>
      </c>
      <c r="AH270" s="281"/>
      <c r="AI270" s="282"/>
      <c r="AJ270" s="282"/>
      <c r="AK270" s="282"/>
      <c r="AL270" s="282"/>
      <c r="AM270" s="282"/>
      <c r="AN270" s="282"/>
      <c r="AO270" s="282"/>
      <c r="AP270" s="282"/>
      <c r="AQ270" s="282"/>
      <c r="AR270" s="282"/>
      <c r="AS270" s="282"/>
      <c r="AT270" s="282"/>
      <c r="AU270" s="282"/>
      <c r="AV270" s="282"/>
      <c r="AW270" s="282"/>
      <c r="AX270" s="282"/>
      <c r="AY270" s="282"/>
      <c r="AZ270" s="282"/>
      <c r="BA270" s="282"/>
      <c r="BB270" s="282"/>
      <c r="BC270" s="282"/>
    </row>
    <row r="271" ht="15" customHeight="1" spans="1:55">
      <c r="A271" s="189">
        <v>43001</v>
      </c>
      <c r="B271" s="184" t="s">
        <v>1</v>
      </c>
      <c r="C271" s="185">
        <f>42331+3171</f>
        <v>45502</v>
      </c>
      <c r="D271" s="186">
        <f>33993+13928</f>
        <v>47921</v>
      </c>
      <c r="E271" s="186">
        <f>66590+33993</f>
        <v>100583</v>
      </c>
      <c r="F271" s="187">
        <v>4965</v>
      </c>
      <c r="G271" s="186">
        <v>3560</v>
      </c>
      <c r="H271" s="188"/>
      <c r="I271" s="188"/>
      <c r="J271" s="214">
        <f t="shared" si="78"/>
        <v>52662</v>
      </c>
      <c r="K271" s="186">
        <v>348</v>
      </c>
      <c r="L271" s="186">
        <v>6254</v>
      </c>
      <c r="M271" s="215">
        <f t="shared" si="79"/>
        <v>558</v>
      </c>
      <c r="N271" s="216">
        <f t="shared" si="86"/>
        <v>1293711</v>
      </c>
      <c r="O271" s="219">
        <f t="shared" si="86"/>
        <v>1267010</v>
      </c>
      <c r="P271" s="218">
        <f t="shared" si="86"/>
        <v>2680580</v>
      </c>
      <c r="Q271" s="238">
        <f t="shared" si="84"/>
        <v>17315872.07</v>
      </c>
      <c r="R271" s="217">
        <f t="shared" si="84"/>
        <v>10559039.8</v>
      </c>
      <c r="S271" s="239">
        <f t="shared" si="84"/>
        <v>28511775.74</v>
      </c>
      <c r="T271" s="240">
        <f>N271/'2017'!N271-1</f>
        <v>-0.0477203117167608</v>
      </c>
      <c r="U271" s="241">
        <f>O271/'2017'!O271-1</f>
        <v>0.291490196678032</v>
      </c>
      <c r="V271" s="241">
        <f>P271/'2017'!P271-1</f>
        <v>0.120414296402493</v>
      </c>
      <c r="W271" s="241">
        <f>Q271/'2017'!Q271-1</f>
        <v>0.0673673504292402</v>
      </c>
      <c r="X271" s="241">
        <f>R271/'2017'!R271-1</f>
        <v>0.157909686455381</v>
      </c>
      <c r="Y271" s="262">
        <f>S271/'2017'!S271-1</f>
        <v>0.0976256298839779</v>
      </c>
      <c r="Z271" s="263"/>
      <c r="AA271" s="264">
        <f t="shared" si="85"/>
        <v>1731.587207</v>
      </c>
      <c r="AB271" s="265"/>
      <c r="AC271" s="266"/>
      <c r="AD271" s="265">
        <f t="shared" si="80"/>
        <v>17952735.94</v>
      </c>
      <c r="AE271" s="186">
        <f t="shared" si="82"/>
        <v>173332.45</v>
      </c>
      <c r="AF271" s="186">
        <f t="shared" si="83"/>
        <v>239431.97</v>
      </c>
      <c r="AG271" s="266">
        <f t="shared" si="81"/>
        <v>224099.449999997</v>
      </c>
      <c r="AH271" s="281"/>
      <c r="AI271" s="282"/>
      <c r="AJ271" s="282"/>
      <c r="AK271" s="282"/>
      <c r="AL271" s="282"/>
      <c r="AM271" s="282"/>
      <c r="AN271" s="282"/>
      <c r="AO271" s="282"/>
      <c r="AP271" s="282"/>
      <c r="AQ271" s="282"/>
      <c r="AR271" s="282"/>
      <c r="AS271" s="282"/>
      <c r="AT271" s="282"/>
      <c r="AU271" s="282"/>
      <c r="AV271" s="282"/>
      <c r="AW271" s="282"/>
      <c r="AX271" s="282"/>
      <c r="AY271" s="282"/>
      <c r="AZ271" s="282"/>
      <c r="BA271" s="282"/>
      <c r="BB271" s="282"/>
      <c r="BC271" s="282"/>
    </row>
    <row r="272" ht="15" customHeight="1" spans="1:55">
      <c r="A272" s="189">
        <v>43002</v>
      </c>
      <c r="B272" s="184" t="s">
        <v>39</v>
      </c>
      <c r="C272" s="185">
        <f>24701</f>
        <v>24701</v>
      </c>
      <c r="D272" s="186">
        <f>29040+13861</f>
        <v>42901</v>
      </c>
      <c r="E272" s="186">
        <f>46516+29040</f>
        <v>75556</v>
      </c>
      <c r="F272" s="187">
        <v>3481</v>
      </c>
      <c r="G272" s="186">
        <v>2917</v>
      </c>
      <c r="H272" s="188"/>
      <c r="I272" s="188"/>
      <c r="J272" s="214">
        <f t="shared" si="78"/>
        <v>32655</v>
      </c>
      <c r="K272" s="186">
        <v>1155</v>
      </c>
      <c r="L272" s="186">
        <v>5479</v>
      </c>
      <c r="M272" s="215">
        <f t="shared" si="79"/>
        <v>1320</v>
      </c>
      <c r="N272" s="216">
        <f t="shared" si="86"/>
        <v>1318412</v>
      </c>
      <c r="O272" s="219">
        <f t="shared" si="86"/>
        <v>1309911</v>
      </c>
      <c r="P272" s="218">
        <f t="shared" si="86"/>
        <v>2756136</v>
      </c>
      <c r="Q272" s="238">
        <f t="shared" si="84"/>
        <v>17340573.07</v>
      </c>
      <c r="R272" s="217">
        <f t="shared" si="84"/>
        <v>10601940.8</v>
      </c>
      <c r="S272" s="239">
        <f t="shared" si="84"/>
        <v>28587331.74</v>
      </c>
      <c r="T272" s="240">
        <f>N272/'2017'!N272-1</f>
        <v>-0.069152763039262</v>
      </c>
      <c r="U272" s="241">
        <f>O272/'2017'!O272-1</f>
        <v>0.280758377804416</v>
      </c>
      <c r="V272" s="241">
        <f>P272/'2017'!P272-1</f>
        <v>0.105053485798598</v>
      </c>
      <c r="W272" s="241">
        <f>Q272/'2017'!Q272-1</f>
        <v>0.0650941246071057</v>
      </c>
      <c r="X272" s="241">
        <f>R272/'2017'!R272-1</f>
        <v>0.157319832284841</v>
      </c>
      <c r="Y272" s="262">
        <f>S272/'2017'!S272-1</f>
        <v>0.096245294385346</v>
      </c>
      <c r="Z272" s="263"/>
      <c r="AA272" s="264">
        <f t="shared" si="85"/>
        <v>1734.057307</v>
      </c>
      <c r="AB272" s="265"/>
      <c r="AC272" s="266"/>
      <c r="AD272" s="265">
        <f t="shared" si="80"/>
        <v>17985390.94</v>
      </c>
      <c r="AE272" s="186">
        <f t="shared" si="82"/>
        <v>174487.45</v>
      </c>
      <c r="AF272" s="186">
        <f t="shared" si="83"/>
        <v>244910.97</v>
      </c>
      <c r="AG272" s="266">
        <f t="shared" si="81"/>
        <v>225419.449999997</v>
      </c>
      <c r="AH272" s="281"/>
      <c r="AI272" s="282"/>
      <c r="AJ272" s="282"/>
      <c r="AK272" s="282"/>
      <c r="AL272" s="282"/>
      <c r="AM272" s="282"/>
      <c r="AN272" s="282"/>
      <c r="AO272" s="282"/>
      <c r="AP272" s="282"/>
      <c r="AQ272" s="282"/>
      <c r="AR272" s="282"/>
      <c r="AS272" s="282"/>
      <c r="AT272" s="282"/>
      <c r="AU272" s="282"/>
      <c r="AV272" s="282"/>
      <c r="AW272" s="282"/>
      <c r="AX272" s="282"/>
      <c r="AY272" s="282"/>
      <c r="AZ272" s="282"/>
      <c r="BA272" s="282"/>
      <c r="BB272" s="282"/>
      <c r="BC272" s="282"/>
    </row>
    <row r="273" ht="15" customHeight="1" spans="1:55">
      <c r="A273" s="189">
        <v>43003</v>
      </c>
      <c r="B273" s="184" t="s">
        <v>34</v>
      </c>
      <c r="C273" s="185">
        <v>33553</v>
      </c>
      <c r="D273" s="186">
        <f>10864+40232</f>
        <v>51096</v>
      </c>
      <c r="E273" s="186">
        <v>92665</v>
      </c>
      <c r="F273" s="187">
        <v>4815</v>
      </c>
      <c r="G273" s="186">
        <v>2638</v>
      </c>
      <c r="H273" s="188"/>
      <c r="I273" s="188"/>
      <c r="J273" s="214">
        <f t="shared" si="78"/>
        <v>41569</v>
      </c>
      <c r="K273" s="186">
        <v>723</v>
      </c>
      <c r="L273" s="186">
        <v>6034</v>
      </c>
      <c r="M273" s="215">
        <f t="shared" si="79"/>
        <v>1259</v>
      </c>
      <c r="N273" s="216">
        <f t="shared" si="86"/>
        <v>1351965</v>
      </c>
      <c r="O273" s="219">
        <f t="shared" si="86"/>
        <v>1361007</v>
      </c>
      <c r="P273" s="218">
        <f t="shared" si="86"/>
        <v>2848801</v>
      </c>
      <c r="Q273" s="238">
        <f t="shared" si="84"/>
        <v>17374126.07</v>
      </c>
      <c r="R273" s="217">
        <f t="shared" si="84"/>
        <v>10653036.8</v>
      </c>
      <c r="S273" s="239">
        <f t="shared" si="84"/>
        <v>28679996.74</v>
      </c>
      <c r="T273" s="240">
        <f>N273/'2017'!N273-1</f>
        <v>-0.0868056892397663</v>
      </c>
      <c r="U273" s="241">
        <f>O273/'2017'!O273-1</f>
        <v>0.275356601365496</v>
      </c>
      <c r="V273" s="241">
        <f>P273/'2017'!P273-1</f>
        <v>0.0934292936697958</v>
      </c>
      <c r="W273" s="241">
        <f>Q273/'2017'!Q273-1</f>
        <v>0.0629685110301736</v>
      </c>
      <c r="X273" s="241">
        <f>R273/'2017'!R273-1</f>
        <v>0.157288939710593</v>
      </c>
      <c r="Y273" s="262">
        <f>S273/'2017'!S273-1</f>
        <v>0.0951262858208903</v>
      </c>
      <c r="Z273" s="263"/>
      <c r="AA273" s="264">
        <f t="shared" si="85"/>
        <v>1737.412607</v>
      </c>
      <c r="AB273" s="265"/>
      <c r="AC273" s="266"/>
      <c r="AD273" s="265">
        <f t="shared" si="80"/>
        <v>18026959.94</v>
      </c>
      <c r="AE273" s="186">
        <f t="shared" si="82"/>
        <v>175210.45</v>
      </c>
      <c r="AF273" s="186">
        <f t="shared" si="83"/>
        <v>250944.97</v>
      </c>
      <c r="AG273" s="266">
        <f t="shared" si="81"/>
        <v>226678.449999997</v>
      </c>
      <c r="AH273" s="281"/>
      <c r="AI273" s="282"/>
      <c r="AJ273" s="282"/>
      <c r="AK273" s="282"/>
      <c r="AL273" s="282"/>
      <c r="AM273" s="282"/>
      <c r="AN273" s="282"/>
      <c r="AO273" s="282"/>
      <c r="AP273" s="282"/>
      <c r="AQ273" s="282"/>
      <c r="AR273" s="282"/>
      <c r="AS273" s="282"/>
      <c r="AT273" s="282"/>
      <c r="AU273" s="282"/>
      <c r="AV273" s="282"/>
      <c r="AW273" s="282"/>
      <c r="AX273" s="282"/>
      <c r="AY273" s="282"/>
      <c r="AZ273" s="282"/>
      <c r="BA273" s="282"/>
      <c r="BB273" s="282"/>
      <c r="BC273" s="282"/>
    </row>
    <row r="274" ht="15" customHeight="1" spans="1:55">
      <c r="A274" s="189">
        <v>43004</v>
      </c>
      <c r="B274" s="184" t="s">
        <v>35</v>
      </c>
      <c r="C274" s="185">
        <f>36135+2913</f>
        <v>39048</v>
      </c>
      <c r="D274" s="186">
        <f>38859+13722</f>
        <v>52581</v>
      </c>
      <c r="E274" s="186">
        <f>61064+38859</f>
        <v>99923</v>
      </c>
      <c r="F274" s="187">
        <v>4915</v>
      </c>
      <c r="G274" s="186">
        <v>3309</v>
      </c>
      <c r="H274" s="188"/>
      <c r="I274" s="188"/>
      <c r="J274" s="214">
        <f t="shared" si="78"/>
        <v>47342</v>
      </c>
      <c r="K274" s="186">
        <v>805</v>
      </c>
      <c r="L274" s="186">
        <v>6347</v>
      </c>
      <c r="M274" s="215">
        <f t="shared" si="79"/>
        <v>1142</v>
      </c>
      <c r="N274" s="216">
        <f t="shared" si="86"/>
        <v>1391013</v>
      </c>
      <c r="O274" s="219">
        <f t="shared" si="86"/>
        <v>1413588</v>
      </c>
      <c r="P274" s="218">
        <f t="shared" si="86"/>
        <v>2948724</v>
      </c>
      <c r="Q274" s="238">
        <f t="shared" si="84"/>
        <v>17413174.07</v>
      </c>
      <c r="R274" s="217">
        <f t="shared" si="84"/>
        <v>10705617.8</v>
      </c>
      <c r="S274" s="239">
        <f t="shared" si="84"/>
        <v>28779919.74</v>
      </c>
      <c r="T274" s="240">
        <f>N274/'2017'!N274-1</f>
        <v>-0.103618422112515</v>
      </c>
      <c r="U274" s="241">
        <f>O274/'2017'!O274-1</f>
        <v>0.271472927902484</v>
      </c>
      <c r="V274" s="241">
        <f>P274/'2017'!P274-1</f>
        <v>0.0824020341812637</v>
      </c>
      <c r="W274" s="241">
        <f>Q274/'2017'!Q274-1</f>
        <v>0.0607284401680221</v>
      </c>
      <c r="X274" s="241">
        <f>R274/'2017'!R274-1</f>
        <v>0.157391613638379</v>
      </c>
      <c r="Y274" s="262">
        <f>S274/'2017'!S274-1</f>
        <v>0.0939767094160044</v>
      </c>
      <c r="Z274" s="263">
        <v>92.16</v>
      </c>
      <c r="AA274" s="264">
        <f t="shared" si="85"/>
        <v>1649.157407</v>
      </c>
      <c r="AB274" s="265">
        <v>4283.88</v>
      </c>
      <c r="AC274" s="266">
        <f t="shared" si="87"/>
        <v>3849.6816133972</v>
      </c>
      <c r="AD274" s="265">
        <f t="shared" si="80"/>
        <v>18074301.94</v>
      </c>
      <c r="AE274" s="186">
        <f t="shared" si="82"/>
        <v>176015.45</v>
      </c>
      <c r="AF274" s="186">
        <f t="shared" si="83"/>
        <v>257291.97</v>
      </c>
      <c r="AG274" s="266">
        <f t="shared" si="81"/>
        <v>227820.449999997</v>
      </c>
      <c r="AH274" s="281"/>
      <c r="AI274" s="282"/>
      <c r="AJ274" s="282"/>
      <c r="AK274" s="282"/>
      <c r="AL274" s="282"/>
      <c r="AM274" s="282"/>
      <c r="AN274" s="282"/>
      <c r="AO274" s="282"/>
      <c r="AP274" s="282"/>
      <c r="AQ274" s="282"/>
      <c r="AR274" s="282"/>
      <c r="AS274" s="282"/>
      <c r="AT274" s="282"/>
      <c r="AU274" s="282"/>
      <c r="AV274" s="282"/>
      <c r="AW274" s="282"/>
      <c r="AX274" s="282"/>
      <c r="AY274" s="282"/>
      <c r="AZ274" s="282"/>
      <c r="BA274" s="282"/>
      <c r="BB274" s="282"/>
      <c r="BC274" s="282"/>
    </row>
    <row r="275" s="163" customFormat="1" ht="15" customHeight="1" spans="1:55">
      <c r="A275" s="190">
        <v>43005</v>
      </c>
      <c r="B275" s="191" t="s">
        <v>36</v>
      </c>
      <c r="C275" s="192">
        <f>35926+2910</f>
        <v>38836</v>
      </c>
      <c r="D275" s="193">
        <f>13927+40881</f>
        <v>54808</v>
      </c>
      <c r="E275" s="193">
        <f>60959+40881</f>
        <v>101840</v>
      </c>
      <c r="F275" s="194">
        <v>5008</v>
      </c>
      <c r="G275" s="193">
        <v>3400</v>
      </c>
      <c r="H275" s="195"/>
      <c r="I275" s="195"/>
      <c r="J275" s="193">
        <f t="shared" si="78"/>
        <v>47032</v>
      </c>
      <c r="K275" s="193">
        <v>693</v>
      </c>
      <c r="L275" s="193">
        <v>6351</v>
      </c>
      <c r="M275" s="221">
        <f t="shared" si="79"/>
        <v>1152</v>
      </c>
      <c r="N275" s="222">
        <f t="shared" si="86"/>
        <v>1429849</v>
      </c>
      <c r="O275" s="225">
        <f t="shared" si="86"/>
        <v>1468396</v>
      </c>
      <c r="P275" s="224">
        <f t="shared" si="86"/>
        <v>3050564</v>
      </c>
      <c r="Q275" s="242">
        <f t="shared" si="84"/>
        <v>17452010.07</v>
      </c>
      <c r="R275" s="223">
        <f t="shared" si="84"/>
        <v>10760425.8</v>
      </c>
      <c r="S275" s="243">
        <f t="shared" si="84"/>
        <v>28881759.74</v>
      </c>
      <c r="T275" s="244">
        <f>N275/'2017'!N275-1</f>
        <v>-0.118215943969348</v>
      </c>
      <c r="U275" s="245">
        <f>O275/'2017'!O275-1</f>
        <v>0.270083839254901</v>
      </c>
      <c r="V275" s="245">
        <f>P275/'2017'!P275-1</f>
        <v>0.0738904186553435</v>
      </c>
      <c r="W275" s="245">
        <f>Q275/'2017'!Q275-1</f>
        <v>0.0585974943715395</v>
      </c>
      <c r="X275" s="245">
        <f>R275/'2017'!R275-1</f>
        <v>0.157763427291729</v>
      </c>
      <c r="Y275" s="267">
        <f>S275/'2017'!S275-1</f>
        <v>0.0930106861683484</v>
      </c>
      <c r="Z275" s="268">
        <v>92.5</v>
      </c>
      <c r="AA275" s="269">
        <f t="shared" si="85"/>
        <v>1652.701007</v>
      </c>
      <c r="AB275" s="270">
        <v>4283.88</v>
      </c>
      <c r="AC275" s="221">
        <f t="shared" si="87"/>
        <v>3857.95355378769</v>
      </c>
      <c r="AD275" s="270">
        <f t="shared" si="80"/>
        <v>18121333.94</v>
      </c>
      <c r="AE275" s="193">
        <f t="shared" si="82"/>
        <v>176708.45</v>
      </c>
      <c r="AF275" s="193">
        <f t="shared" si="83"/>
        <v>263642.97</v>
      </c>
      <c r="AG275" s="221">
        <f t="shared" si="81"/>
        <v>228972.449999997</v>
      </c>
      <c r="AH275" s="281"/>
      <c r="AI275" s="282"/>
      <c r="AJ275" s="282"/>
      <c r="AK275" s="282"/>
      <c r="AL275" s="282"/>
      <c r="AM275" s="282"/>
      <c r="AN275" s="282"/>
      <c r="AO275" s="282"/>
      <c r="AP275" s="282"/>
      <c r="AQ275" s="282"/>
      <c r="AR275" s="282"/>
      <c r="AS275" s="282"/>
      <c r="AT275" s="282"/>
      <c r="AU275" s="282"/>
      <c r="AV275" s="282"/>
      <c r="AW275" s="282"/>
      <c r="AX275" s="282"/>
      <c r="AY275" s="282"/>
      <c r="AZ275" s="282"/>
      <c r="BA275" s="282"/>
      <c r="BB275" s="282"/>
      <c r="BC275" s="282"/>
    </row>
    <row r="276" ht="15" customHeight="1" spans="1:55">
      <c r="A276" s="189">
        <v>43006</v>
      </c>
      <c r="B276" s="184" t="s">
        <v>37</v>
      </c>
      <c r="C276" s="185">
        <v>39755</v>
      </c>
      <c r="D276" s="186">
        <f>11019+42495</f>
        <v>53514</v>
      </c>
      <c r="E276" s="186">
        <v>101753</v>
      </c>
      <c r="F276" s="187">
        <v>5026</v>
      </c>
      <c r="G276" s="186">
        <v>3418</v>
      </c>
      <c r="H276" s="188"/>
      <c r="I276" s="188"/>
      <c r="J276" s="214">
        <f t="shared" si="78"/>
        <v>48239</v>
      </c>
      <c r="K276" s="186">
        <v>658</v>
      </c>
      <c r="L276" s="186">
        <v>6407</v>
      </c>
      <c r="M276" s="215">
        <f t="shared" si="79"/>
        <v>1419</v>
      </c>
      <c r="N276" s="216">
        <f t="shared" si="86"/>
        <v>1469604</v>
      </c>
      <c r="O276" s="219">
        <f t="shared" si="86"/>
        <v>1521910</v>
      </c>
      <c r="P276" s="218">
        <f t="shared" si="86"/>
        <v>3152317</v>
      </c>
      <c r="Q276" s="238">
        <f t="shared" si="84"/>
        <v>17491765.07</v>
      </c>
      <c r="R276" s="217">
        <f t="shared" si="84"/>
        <v>10813939.8</v>
      </c>
      <c r="S276" s="239">
        <f t="shared" si="84"/>
        <v>28983512.74</v>
      </c>
      <c r="T276" s="240">
        <f>N276/'2017'!N276-1</f>
        <v>-0.127285036031462</v>
      </c>
      <c r="U276" s="241">
        <f>O276/'2017'!O276-1</f>
        <v>0.271009008662915</v>
      </c>
      <c r="V276" s="241">
        <f>P276/'2017'!P276-1</f>
        <v>0.0701898581190452</v>
      </c>
      <c r="W276" s="241">
        <f>Q276/'2017'!Q276-1</f>
        <v>0.0570078691473686</v>
      </c>
      <c r="X276" s="241">
        <f>R276/'2017'!R276-1</f>
        <v>0.158378543804874</v>
      </c>
      <c r="Y276" s="262">
        <f>S276/'2017'!S276-1</f>
        <v>0.0925241983820353</v>
      </c>
      <c r="Z276" s="263"/>
      <c r="AA276" s="264">
        <f t="shared" si="85"/>
        <v>1749.176507</v>
      </c>
      <c r="AB276" s="265"/>
      <c r="AC276" s="266"/>
      <c r="AD276" s="265">
        <f t="shared" si="80"/>
        <v>18169572.94</v>
      </c>
      <c r="AE276" s="186">
        <f t="shared" si="82"/>
        <v>177366.45</v>
      </c>
      <c r="AF276" s="186">
        <f t="shared" si="83"/>
        <v>270049.97</v>
      </c>
      <c r="AG276" s="266">
        <f t="shared" si="81"/>
        <v>230391.449999997</v>
      </c>
      <c r="AH276" s="281"/>
      <c r="AI276" s="282"/>
      <c r="AJ276" s="282"/>
      <c r="AK276" s="282"/>
      <c r="AL276" s="282"/>
      <c r="AM276" s="282"/>
      <c r="AN276" s="282"/>
      <c r="AO276" s="282"/>
      <c r="AP276" s="282"/>
      <c r="AQ276" s="282"/>
      <c r="AR276" s="282"/>
      <c r="AS276" s="282"/>
      <c r="AT276" s="282"/>
      <c r="AU276" s="282"/>
      <c r="AV276" s="282"/>
      <c r="AW276" s="282"/>
      <c r="AX276" s="282"/>
      <c r="AY276" s="282"/>
      <c r="AZ276" s="282"/>
      <c r="BA276" s="282"/>
      <c r="BB276" s="282"/>
      <c r="BC276" s="282"/>
    </row>
    <row r="277" ht="15" customHeight="1" spans="1:55">
      <c r="A277" s="189">
        <v>43007</v>
      </c>
      <c r="B277" s="184" t="s">
        <v>38</v>
      </c>
      <c r="C277" s="185">
        <f>36998+3960</f>
        <v>40958</v>
      </c>
      <c r="D277" s="186">
        <f>13949+34694</f>
        <v>48643</v>
      </c>
      <c r="E277" s="186">
        <f>63719+34649</f>
        <v>98368</v>
      </c>
      <c r="F277" s="187">
        <v>4868</v>
      </c>
      <c r="G277" s="186">
        <v>3394</v>
      </c>
      <c r="H277" s="188"/>
      <c r="I277" s="188"/>
      <c r="J277" s="214">
        <f t="shared" si="78"/>
        <v>49725</v>
      </c>
      <c r="K277" s="186">
        <v>524</v>
      </c>
      <c r="L277" s="186">
        <v>6638</v>
      </c>
      <c r="M277" s="215">
        <f t="shared" si="79"/>
        <v>1605</v>
      </c>
      <c r="N277" s="216">
        <f t="shared" si="86"/>
        <v>1510562</v>
      </c>
      <c r="O277" s="219">
        <f t="shared" si="86"/>
        <v>1570553</v>
      </c>
      <c r="P277" s="218">
        <f t="shared" si="86"/>
        <v>3250685</v>
      </c>
      <c r="Q277" s="238">
        <f t="shared" si="84"/>
        <v>17532723.07</v>
      </c>
      <c r="R277" s="217">
        <f t="shared" si="84"/>
        <v>10862582.8</v>
      </c>
      <c r="S277" s="239">
        <f t="shared" si="84"/>
        <v>29081880.74</v>
      </c>
      <c r="T277" s="240">
        <f>N277/'2017'!N277-1</f>
        <v>-0.134280952555615</v>
      </c>
      <c r="U277" s="241">
        <f>O277/'2017'!O277-1</f>
        <v>0.270144721252876</v>
      </c>
      <c r="V277" s="241">
        <f>P277/'2017'!P277-1</f>
        <v>0.0668718786214719</v>
      </c>
      <c r="W277" s="241">
        <f>Q277/'2017'!Q277-1</f>
        <v>0.0555969808170693</v>
      </c>
      <c r="X277" s="241">
        <f>R277/'2017'!R277-1</f>
        <v>0.158734455075741</v>
      </c>
      <c r="Y277" s="262">
        <f>S277/'2017'!S277-1</f>
        <v>0.0920595574543432</v>
      </c>
      <c r="Z277" s="263">
        <v>93.09</v>
      </c>
      <c r="AA277" s="264">
        <f t="shared" si="85"/>
        <v>1660.182307</v>
      </c>
      <c r="AB277" s="265"/>
      <c r="AC277" s="266"/>
      <c r="AD277" s="265">
        <f t="shared" si="80"/>
        <v>18219297.94</v>
      </c>
      <c r="AE277" s="186">
        <f t="shared" si="82"/>
        <v>177890.45</v>
      </c>
      <c r="AF277" s="186">
        <f t="shared" si="83"/>
        <v>276687.97</v>
      </c>
      <c r="AG277" s="266">
        <f t="shared" si="81"/>
        <v>231996.449999997</v>
      </c>
      <c r="AH277" s="281"/>
      <c r="AI277" s="282"/>
      <c r="AJ277" s="282"/>
      <c r="AK277" s="282"/>
      <c r="AL277" s="282"/>
      <c r="AM277" s="282"/>
      <c r="AN277" s="282"/>
      <c r="AO277" s="282"/>
      <c r="AP277" s="282"/>
      <c r="AQ277" s="282"/>
      <c r="AR277" s="282"/>
      <c r="AS277" s="282"/>
      <c r="AT277" s="282"/>
      <c r="AU277" s="282"/>
      <c r="AV277" s="282"/>
      <c r="AW277" s="282"/>
      <c r="AX277" s="282"/>
      <c r="AY277" s="282"/>
      <c r="AZ277" s="282"/>
      <c r="BA277" s="282"/>
      <c r="BB277" s="282"/>
      <c r="BC277" s="282"/>
    </row>
    <row r="278" ht="15" customHeight="1" spans="1:55">
      <c r="A278" s="322">
        <v>43008</v>
      </c>
      <c r="B278" s="197" t="s">
        <v>1</v>
      </c>
      <c r="C278" s="198">
        <f>33193+2717</f>
        <v>35910</v>
      </c>
      <c r="D278" s="199">
        <f>36188+13870</f>
        <v>50058</v>
      </c>
      <c r="E278" s="199">
        <f>58776+36188</f>
        <v>94964</v>
      </c>
      <c r="F278" s="200">
        <v>4588</v>
      </c>
      <c r="G278" s="199">
        <v>3338</v>
      </c>
      <c r="H278" s="201"/>
      <c r="I278" s="201"/>
      <c r="J278" s="226">
        <f t="shared" si="78"/>
        <v>44906</v>
      </c>
      <c r="K278" s="199">
        <v>813</v>
      </c>
      <c r="L278" s="199">
        <v>6705</v>
      </c>
      <c r="M278" s="227">
        <f t="shared" si="79"/>
        <v>1478</v>
      </c>
      <c r="N278" s="228">
        <f>[8]表2、统调口径电量!$D$10</f>
        <v>1546472.23</v>
      </c>
      <c r="O278" s="232">
        <f>[8]表2、统调口径电量!$D$14</f>
        <v>1622410</v>
      </c>
      <c r="P278" s="230">
        <f>[8]表2、统调口径电量!$D$3</f>
        <v>3347475.69</v>
      </c>
      <c r="Q278" s="246">
        <f>[8]表2、统调口径电量!$I$10</f>
        <v>17568633.3</v>
      </c>
      <c r="R278" s="229">
        <f>[8]表2、统调口径电量!$I$14</f>
        <v>10914439.8</v>
      </c>
      <c r="S278" s="247">
        <f>[8]表2、统调口径电量!$I$3</f>
        <v>29178671.43</v>
      </c>
      <c r="T278" s="248">
        <f>N278/'2017'!N278-1</f>
        <v>-0.143272823062302</v>
      </c>
      <c r="U278" s="249">
        <f>O278/'2017'!O278-1</f>
        <v>0.274135306932466</v>
      </c>
      <c r="V278" s="249">
        <f>P278/'2017'!P278-1</f>
        <v>0.0641896824193315</v>
      </c>
      <c r="W278" s="249">
        <f>Q278/'2017'!Q278-1</f>
        <v>0.0539372262653761</v>
      </c>
      <c r="X278" s="249">
        <f>R278/'2017'!R278-1</f>
        <v>0.159710328486349</v>
      </c>
      <c r="Y278" s="287">
        <f>S278/'2017'!S278-1</f>
        <v>0.0916509617943411</v>
      </c>
      <c r="Z278" s="273">
        <f>[8]表2、统调口径电量!$I$12/10000</f>
        <v>93.607533</v>
      </c>
      <c r="AA278" s="274">
        <f t="shared" si="85"/>
        <v>1663.255797</v>
      </c>
      <c r="AB278" s="275">
        <v>4283.88</v>
      </c>
      <c r="AC278" s="276">
        <f t="shared" si="87"/>
        <v>3882.59194235133</v>
      </c>
      <c r="AD278" s="275">
        <f t="shared" si="80"/>
        <v>18264231.63</v>
      </c>
      <c r="AE278" s="199">
        <f t="shared" si="82"/>
        <v>178703.45</v>
      </c>
      <c r="AF278" s="199">
        <f t="shared" si="83"/>
        <v>283392.97</v>
      </c>
      <c r="AG278" s="276">
        <f t="shared" si="81"/>
        <v>233501.909999998</v>
      </c>
      <c r="AH278" s="281"/>
      <c r="AI278" s="282"/>
      <c r="AJ278" s="282"/>
      <c r="AK278" s="282"/>
      <c r="AL278" s="282"/>
      <c r="AM278" s="282"/>
      <c r="AN278" s="282"/>
      <c r="AO278" s="282"/>
      <c r="AP278" s="282"/>
      <c r="AQ278" s="282"/>
      <c r="AR278" s="282"/>
      <c r="AS278" s="282"/>
      <c r="AT278" s="282"/>
      <c r="AU278" s="282"/>
      <c r="AV278" s="282"/>
      <c r="AW278" s="282"/>
      <c r="AX278" s="282"/>
      <c r="AY278" s="282"/>
      <c r="AZ278" s="282"/>
      <c r="BA278" s="282"/>
      <c r="BB278" s="282"/>
      <c r="BC278" s="282"/>
    </row>
    <row r="279" ht="15" customHeight="1" spans="1:55">
      <c r="A279" s="322">
        <v>43009</v>
      </c>
      <c r="B279" s="184" t="s">
        <v>39</v>
      </c>
      <c r="C279" s="185">
        <f>28934+359</f>
        <v>29293</v>
      </c>
      <c r="D279" s="186">
        <f>19061+9730</f>
        <v>28791</v>
      </c>
      <c r="E279" s="186">
        <f>46429+19061</f>
        <v>65490</v>
      </c>
      <c r="F279" s="187">
        <v>3385</v>
      </c>
      <c r="G279" s="186">
        <v>2266</v>
      </c>
      <c r="H279" s="188"/>
      <c r="I279" s="188"/>
      <c r="J279" s="214">
        <f t="shared" si="78"/>
        <v>36699</v>
      </c>
      <c r="K279" s="186">
        <v>746</v>
      </c>
      <c r="L279" s="186">
        <v>5341</v>
      </c>
      <c r="M279" s="215">
        <f t="shared" si="79"/>
        <v>1319</v>
      </c>
      <c r="N279" s="216">
        <f>C279</f>
        <v>29293</v>
      </c>
      <c r="O279" s="219">
        <f>D279</f>
        <v>28791</v>
      </c>
      <c r="P279" s="218">
        <f>E279</f>
        <v>65490</v>
      </c>
      <c r="Q279" s="238">
        <f>Q$278+N279</f>
        <v>17597926.3</v>
      </c>
      <c r="R279" s="217">
        <f>R$278+O279</f>
        <v>10943230.8</v>
      </c>
      <c r="S279" s="239">
        <f>S$278+P279</f>
        <v>29244161.43</v>
      </c>
      <c r="T279" s="240">
        <f>N279/'2017'!N279-1</f>
        <v>-0.452180580490724</v>
      </c>
      <c r="U279" s="241">
        <f>O279/'2017'!O279-1</f>
        <v>0.301994301994302</v>
      </c>
      <c r="V279" s="241">
        <f>P279/'2017'!P279-1</f>
        <v>-0.152890958478851</v>
      </c>
      <c r="W279" s="241">
        <f>Q279/'2017'!Q279-1</f>
        <v>0.0523189080409194</v>
      </c>
      <c r="X279" s="241">
        <f>R279/'2017'!R279-1</f>
        <v>0.160043856640981</v>
      </c>
      <c r="Y279" s="262">
        <f>S279/'2017'!S279-1</f>
        <v>0.0909456957870265</v>
      </c>
      <c r="Z279" s="263"/>
      <c r="AA279" s="264">
        <f t="shared" si="85"/>
        <v>1759.79263</v>
      </c>
      <c r="AB279" s="265"/>
      <c r="AC279" s="266"/>
      <c r="AD279" s="265">
        <f t="shared" si="80"/>
        <v>18300930.63</v>
      </c>
      <c r="AE279" s="186">
        <f t="shared" si="82"/>
        <v>179449.45</v>
      </c>
      <c r="AF279" s="186">
        <f t="shared" ref="AF279:AF294" si="88">AF278+L279</f>
        <v>288733.97</v>
      </c>
      <c r="AG279" s="266">
        <f t="shared" si="81"/>
        <v>234820.909999998</v>
      </c>
      <c r="AH279" s="281"/>
      <c r="AI279" s="282"/>
      <c r="AJ279" s="282"/>
      <c r="AK279" s="282"/>
      <c r="AL279" s="282"/>
      <c r="AM279" s="282"/>
      <c r="AN279" s="282"/>
      <c r="AO279" s="282"/>
      <c r="AP279" s="282"/>
      <c r="AQ279" s="282"/>
      <c r="AR279" s="282"/>
      <c r="AS279" s="282"/>
      <c r="AT279" s="282"/>
      <c r="AU279" s="282"/>
      <c r="AV279" s="282"/>
      <c r="AW279" s="282"/>
      <c r="AX279" s="282"/>
      <c r="AY279" s="282"/>
      <c r="AZ279" s="282"/>
      <c r="BA279" s="282"/>
      <c r="BB279" s="282"/>
      <c r="BC279" s="282"/>
    </row>
    <row r="280" ht="15" customHeight="1" spans="1:55">
      <c r="A280" s="322">
        <v>43010</v>
      </c>
      <c r="B280" s="184" t="s">
        <v>34</v>
      </c>
      <c r="C280" s="185">
        <f>30035+1243</f>
        <v>31278</v>
      </c>
      <c r="D280" s="186">
        <f>18805+9451</f>
        <v>28256</v>
      </c>
      <c r="E280" s="186">
        <f>47980+18805</f>
        <v>66785</v>
      </c>
      <c r="F280" s="187">
        <v>3229</v>
      </c>
      <c r="G280" s="186">
        <v>2248</v>
      </c>
      <c r="H280" s="188"/>
      <c r="I280" s="188"/>
      <c r="J280" s="214">
        <f t="shared" si="78"/>
        <v>38529</v>
      </c>
      <c r="K280" s="186">
        <v>842</v>
      </c>
      <c r="L280" s="186">
        <v>5257</v>
      </c>
      <c r="M280" s="215">
        <f t="shared" si="79"/>
        <v>1152</v>
      </c>
      <c r="N280" s="216">
        <f t="shared" ref="N280:P295" si="89">C280+N279</f>
        <v>60571</v>
      </c>
      <c r="O280" s="219">
        <f t="shared" si="89"/>
        <v>57047</v>
      </c>
      <c r="P280" s="218">
        <f t="shared" si="89"/>
        <v>132275</v>
      </c>
      <c r="Q280" s="238">
        <f t="shared" ref="Q280:S308" si="90">Q$278+N280</f>
        <v>17629204.3</v>
      </c>
      <c r="R280" s="217">
        <f t="shared" si="90"/>
        <v>10971486.8</v>
      </c>
      <c r="S280" s="239">
        <f t="shared" si="90"/>
        <v>29310946.43</v>
      </c>
      <c r="T280" s="240">
        <f>N280/'2017'!N280-1</f>
        <v>-0.447919135206081</v>
      </c>
      <c r="U280" s="241">
        <f>O280/'2017'!O280-1</f>
        <v>0.230044417611799</v>
      </c>
      <c r="V280" s="241">
        <f>P280/'2017'!P280-1</f>
        <v>-0.169726642186863</v>
      </c>
      <c r="W280" s="241">
        <f>Q280/'2017'!Q280-1</f>
        <v>0.0506557504054292</v>
      </c>
      <c r="X280" s="241">
        <f>R280/'2017'!R280-1</f>
        <v>0.160055226794427</v>
      </c>
      <c r="Y280" s="262">
        <f>S280/'2017'!S280-1</f>
        <v>0.0901022790966761</v>
      </c>
      <c r="Z280" s="263"/>
      <c r="AA280" s="264">
        <f t="shared" si="85"/>
        <v>1762.92043</v>
      </c>
      <c r="AB280" s="265"/>
      <c r="AC280" s="266"/>
      <c r="AD280" s="265">
        <f t="shared" si="80"/>
        <v>18339459.63</v>
      </c>
      <c r="AE280" s="186">
        <f t="shared" si="82"/>
        <v>180291.45</v>
      </c>
      <c r="AF280" s="186">
        <f t="shared" si="88"/>
        <v>293990.97</v>
      </c>
      <c r="AG280" s="266">
        <f t="shared" si="81"/>
        <v>235972.909999998</v>
      </c>
      <c r="AH280" s="281"/>
      <c r="AI280" s="282"/>
      <c r="AJ280" s="282"/>
      <c r="AK280" s="282"/>
      <c r="AL280" s="282"/>
      <c r="AM280" s="282"/>
      <c r="AN280" s="282"/>
      <c r="AO280" s="282"/>
      <c r="AP280" s="282"/>
      <c r="AQ280" s="282"/>
      <c r="AR280" s="282"/>
      <c r="AS280" s="282"/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</row>
    <row r="281" ht="15" customHeight="1" spans="1:55">
      <c r="A281" s="322">
        <v>43011</v>
      </c>
      <c r="B281" s="184" t="s">
        <v>35</v>
      </c>
      <c r="C281" s="185">
        <f>37672+3790</f>
        <v>41462</v>
      </c>
      <c r="D281" s="186">
        <f>19032+9804</f>
        <v>28836</v>
      </c>
      <c r="E281" s="186">
        <f>58694+19032</f>
        <v>77726</v>
      </c>
      <c r="F281" s="187">
        <v>3866</v>
      </c>
      <c r="G281" s="186">
        <v>2500</v>
      </c>
      <c r="H281" s="188"/>
      <c r="I281" s="188"/>
      <c r="J281" s="214">
        <f t="shared" si="78"/>
        <v>48890</v>
      </c>
      <c r="K281" s="186">
        <v>942</v>
      </c>
      <c r="L281" s="186">
        <v>5269</v>
      </c>
      <c r="M281" s="215">
        <f t="shared" si="79"/>
        <v>1217</v>
      </c>
      <c r="N281" s="216">
        <f t="shared" si="89"/>
        <v>102033</v>
      </c>
      <c r="O281" s="219">
        <f t="shared" si="89"/>
        <v>85883</v>
      </c>
      <c r="P281" s="218">
        <f t="shared" si="89"/>
        <v>210001</v>
      </c>
      <c r="Q281" s="238">
        <f t="shared" si="90"/>
        <v>17670666.3</v>
      </c>
      <c r="R281" s="217">
        <f t="shared" si="90"/>
        <v>11000322.8</v>
      </c>
      <c r="S281" s="239">
        <f t="shared" si="90"/>
        <v>29388672.43</v>
      </c>
      <c r="T281" s="240">
        <f>N281/'2017'!N281-1</f>
        <v>-0.369878833541247</v>
      </c>
      <c r="U281" s="241">
        <f>O281/'2017'!O281-1</f>
        <v>0.184168436147037</v>
      </c>
      <c r="V281" s="241">
        <f>P281/'2017'!P281-1</f>
        <v>-0.121069945757718</v>
      </c>
      <c r="W281" s="241">
        <f>Q281/'2017'!Q281-1</f>
        <v>0.0498599284783958</v>
      </c>
      <c r="X281" s="241">
        <f>R281/'2017'!R281-1</f>
        <v>0.159897366857179</v>
      </c>
      <c r="Y281" s="262">
        <f>S281/'2017'!S281-1</f>
        <v>0.0897663121137844</v>
      </c>
      <c r="Z281" s="263"/>
      <c r="AA281" s="264">
        <f t="shared" si="85"/>
        <v>1767.06663</v>
      </c>
      <c r="AB281" s="265"/>
      <c r="AC281" s="266"/>
      <c r="AD281" s="265">
        <f t="shared" si="80"/>
        <v>18388349.63</v>
      </c>
      <c r="AE281" s="186">
        <f t="shared" si="82"/>
        <v>181233.45</v>
      </c>
      <c r="AF281" s="186">
        <f t="shared" si="88"/>
        <v>299259.97</v>
      </c>
      <c r="AG281" s="266">
        <f t="shared" si="81"/>
        <v>237189.909999998</v>
      </c>
      <c r="AH281" s="281"/>
      <c r="AI281" s="282"/>
      <c r="AJ281" s="282"/>
      <c r="AK281" s="282"/>
      <c r="AL281" s="282"/>
      <c r="AM281" s="282"/>
      <c r="AN281" s="282"/>
      <c r="AO281" s="282"/>
      <c r="AP281" s="282"/>
      <c r="AQ281" s="282"/>
      <c r="AR281" s="282"/>
      <c r="AS281" s="282"/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</row>
    <row r="282" s="163" customFormat="1" ht="15" customHeight="1" spans="1:55">
      <c r="A282" s="323">
        <v>43012</v>
      </c>
      <c r="B282" s="191" t="s">
        <v>36</v>
      </c>
      <c r="C282" s="192">
        <f>43430+3931</f>
        <v>47361</v>
      </c>
      <c r="D282" s="193">
        <f>21375+11033</f>
        <v>32408</v>
      </c>
      <c r="E282" s="193">
        <f>66255+21375</f>
        <v>87630</v>
      </c>
      <c r="F282" s="194">
        <v>4348</v>
      </c>
      <c r="G282" s="193">
        <v>2813</v>
      </c>
      <c r="H282" s="195"/>
      <c r="I282" s="195"/>
      <c r="J282" s="220">
        <f t="shared" si="78"/>
        <v>55222</v>
      </c>
      <c r="K282" s="193">
        <v>890</v>
      </c>
      <c r="L282" s="193">
        <v>5495</v>
      </c>
      <c r="M282" s="221">
        <f t="shared" si="79"/>
        <v>1476</v>
      </c>
      <c r="N282" s="222">
        <f t="shared" si="89"/>
        <v>149394</v>
      </c>
      <c r="O282" s="225">
        <f t="shared" si="89"/>
        <v>118291</v>
      </c>
      <c r="P282" s="224">
        <f t="shared" si="89"/>
        <v>297631</v>
      </c>
      <c r="Q282" s="242">
        <f t="shared" si="90"/>
        <v>17718027.3</v>
      </c>
      <c r="R282" s="223">
        <f t="shared" si="90"/>
        <v>11032730.8</v>
      </c>
      <c r="S282" s="243">
        <f t="shared" si="90"/>
        <v>29476302.43</v>
      </c>
      <c r="T282" s="244">
        <f>N282/'2017'!N282-1</f>
        <v>-0.269927527378817</v>
      </c>
      <c r="U282" s="245">
        <f>O282/'2017'!O282-1</f>
        <v>0.182259757133576</v>
      </c>
      <c r="V282" s="245">
        <f>P282/'2017'!P282-1</f>
        <v>-0.0415047066363089</v>
      </c>
      <c r="W282" s="245">
        <f>Q282/'2017'!Q282-1</f>
        <v>0.0500097926685197</v>
      </c>
      <c r="X282" s="245">
        <f>R282/'2017'!R282-1</f>
        <v>0.159947536667822</v>
      </c>
      <c r="Y282" s="267">
        <f>S282/'2017'!S282-1</f>
        <v>0.0901218125873651</v>
      </c>
      <c r="Z282" s="268">
        <f>Z278+(Z284-Z278)/7*4</f>
        <v>94.7917998571429</v>
      </c>
      <c r="AA282" s="269">
        <f t="shared" si="85"/>
        <v>1677.01093014286</v>
      </c>
      <c r="AB282" s="270">
        <v>4283.88</v>
      </c>
      <c r="AC282" s="221">
        <f t="shared" si="87"/>
        <v>3914.70099569282</v>
      </c>
      <c r="AD282" s="270">
        <f t="shared" si="80"/>
        <v>18443571.63</v>
      </c>
      <c r="AE282" s="193">
        <f t="shared" si="82"/>
        <v>182123.45</v>
      </c>
      <c r="AF282" s="193">
        <f t="shared" si="88"/>
        <v>304754.97</v>
      </c>
      <c r="AG282" s="221">
        <f t="shared" si="81"/>
        <v>238665.909999998</v>
      </c>
      <c r="AH282" s="281"/>
      <c r="AI282" s="282"/>
      <c r="AJ282" s="282"/>
      <c r="AK282" s="282"/>
      <c r="AL282" s="282"/>
      <c r="AM282" s="282"/>
      <c r="AN282" s="282"/>
      <c r="AO282" s="282"/>
      <c r="AP282" s="282"/>
      <c r="AQ282" s="282"/>
      <c r="AR282" s="282"/>
      <c r="AS282" s="282"/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</row>
    <row r="283" ht="15" customHeight="1" spans="1:55">
      <c r="A283" s="322">
        <v>43013</v>
      </c>
      <c r="B283" s="184" t="s">
        <v>37</v>
      </c>
      <c r="C283" s="185">
        <f>45282+4312</f>
        <v>49594</v>
      </c>
      <c r="D283" s="186">
        <v>35057</v>
      </c>
      <c r="E283" s="186">
        <f>69492+23502</f>
        <v>92994</v>
      </c>
      <c r="F283" s="187">
        <v>4648</v>
      </c>
      <c r="G283" s="186">
        <v>3035</v>
      </c>
      <c r="H283" s="188"/>
      <c r="I283" s="188"/>
      <c r="J283" s="214">
        <f t="shared" si="78"/>
        <v>57937</v>
      </c>
      <c r="K283" s="186">
        <v>667</v>
      </c>
      <c r="L283" s="324">
        <v>6289</v>
      </c>
      <c r="M283" s="215">
        <f t="shared" si="79"/>
        <v>1387</v>
      </c>
      <c r="N283" s="216">
        <f t="shared" si="89"/>
        <v>198988</v>
      </c>
      <c r="O283" s="219">
        <f t="shared" si="89"/>
        <v>153348</v>
      </c>
      <c r="P283" s="218">
        <f t="shared" si="89"/>
        <v>390625</v>
      </c>
      <c r="Q283" s="238">
        <f t="shared" si="90"/>
        <v>17767621.3</v>
      </c>
      <c r="R283" s="217">
        <f t="shared" si="90"/>
        <v>11067787.8</v>
      </c>
      <c r="S283" s="239">
        <f t="shared" si="90"/>
        <v>29569296.43</v>
      </c>
      <c r="T283" s="240">
        <f>N283/'2017'!N283-1</f>
        <v>-0.234196165362028</v>
      </c>
      <c r="U283" s="241">
        <f>O283/'2017'!O283-1</f>
        <v>0.173120763781576</v>
      </c>
      <c r="V283" s="241">
        <f>P283/'2017'!P283-1</f>
        <v>-0.0263268749984421</v>
      </c>
      <c r="W283" s="241">
        <f>Q283/'2017'!Q283-1</f>
        <v>0.0495147835808023</v>
      </c>
      <c r="X283" s="241">
        <f>R283/'2017'!R283-1</f>
        <v>0.159894039740652</v>
      </c>
      <c r="Y283" s="262">
        <f>S283/'2017'!S283-1</f>
        <v>0.0899063633627772</v>
      </c>
      <c r="Z283" s="263"/>
      <c r="AA283" s="264">
        <f t="shared" si="85"/>
        <v>1776.76213</v>
      </c>
      <c r="AB283" s="265"/>
      <c r="AC283" s="266"/>
      <c r="AD283" s="265">
        <f t="shared" si="80"/>
        <v>18501508.63</v>
      </c>
      <c r="AE283" s="186">
        <f t="shared" si="82"/>
        <v>182790.45</v>
      </c>
      <c r="AF283" s="186">
        <f t="shared" si="88"/>
        <v>311043.97</v>
      </c>
      <c r="AG283" s="266">
        <f t="shared" si="81"/>
        <v>240052.909999998</v>
      </c>
      <c r="AH283" s="281"/>
      <c r="AI283" s="282"/>
      <c r="AJ283" s="282"/>
      <c r="AK283" s="282"/>
      <c r="AL283" s="282"/>
      <c r="AM283" s="282"/>
      <c r="AN283" s="282"/>
      <c r="AO283" s="282"/>
      <c r="AP283" s="282"/>
      <c r="AQ283" s="282"/>
      <c r="AR283" s="282"/>
      <c r="AS283" s="282"/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</row>
    <row r="284" ht="15" customHeight="1" spans="1:55">
      <c r="A284" s="322">
        <v>43014</v>
      </c>
      <c r="B284" s="184" t="s">
        <v>38</v>
      </c>
      <c r="C284" s="185">
        <f>44383+4283</f>
        <v>48666</v>
      </c>
      <c r="D284" s="186">
        <f>24438+13369</f>
        <v>37807</v>
      </c>
      <c r="E284" s="186">
        <f>70768+24438</f>
        <v>95206</v>
      </c>
      <c r="F284" s="187">
        <v>4699</v>
      </c>
      <c r="G284" s="186">
        <v>3143</v>
      </c>
      <c r="H284" s="188"/>
      <c r="I284" s="188"/>
      <c r="J284" s="214">
        <f t="shared" si="78"/>
        <v>57399</v>
      </c>
      <c r="K284" s="186">
        <v>455</v>
      </c>
      <c r="L284" s="324">
        <v>6780</v>
      </c>
      <c r="M284" s="215">
        <f t="shared" si="79"/>
        <v>1498</v>
      </c>
      <c r="N284" s="216">
        <f t="shared" si="89"/>
        <v>247654</v>
      </c>
      <c r="O284" s="219">
        <f t="shared" si="89"/>
        <v>191155</v>
      </c>
      <c r="P284" s="218">
        <f t="shared" si="89"/>
        <v>485831</v>
      </c>
      <c r="Q284" s="238">
        <f t="shared" si="90"/>
        <v>17816287.3</v>
      </c>
      <c r="R284" s="217">
        <f t="shared" si="90"/>
        <v>11105594.8</v>
      </c>
      <c r="S284" s="239">
        <f t="shared" si="90"/>
        <v>29664502.43</v>
      </c>
      <c r="T284" s="240">
        <f>N284/'2017'!N284-1</f>
        <v>-0.222219081627205</v>
      </c>
      <c r="U284" s="241">
        <f>O284/'2017'!O284-1</f>
        <v>0.157624131728912</v>
      </c>
      <c r="V284" s="241">
        <f>P284/'2017'!P284-1</f>
        <v>-0.0197866184594402</v>
      </c>
      <c r="W284" s="241">
        <f>Q284/'2017'!Q284-1</f>
        <v>0.0487611292755763</v>
      </c>
      <c r="X284" s="241">
        <f>R284/'2017'!R284-1</f>
        <v>0.159674356237685</v>
      </c>
      <c r="Y284" s="262">
        <f>S284/'2017'!S284-1</f>
        <v>0.0896221809468007</v>
      </c>
      <c r="Z284" s="263">
        <v>95.68</v>
      </c>
      <c r="AA284" s="264">
        <f t="shared" si="85"/>
        <v>1685.94873</v>
      </c>
      <c r="AB284" s="265">
        <v>4283.88</v>
      </c>
      <c r="AC284" s="266">
        <f t="shared" si="87"/>
        <v>3935.56479173086</v>
      </c>
      <c r="AD284" s="265">
        <f t="shared" si="80"/>
        <v>18558907.63</v>
      </c>
      <c r="AE284" s="186">
        <f t="shared" si="82"/>
        <v>183245.45</v>
      </c>
      <c r="AF284" s="186">
        <f t="shared" si="88"/>
        <v>317823.97</v>
      </c>
      <c r="AG284" s="266">
        <f t="shared" si="81"/>
        <v>241550.909999998</v>
      </c>
      <c r="AH284" s="281"/>
      <c r="AI284" s="282"/>
      <c r="AJ284" s="282"/>
      <c r="AK284" s="282"/>
      <c r="AL284" s="282"/>
      <c r="AM284" s="282"/>
      <c r="AN284" s="282"/>
      <c r="AO284" s="282"/>
      <c r="AP284" s="282"/>
      <c r="AQ284" s="282"/>
      <c r="AR284" s="282"/>
      <c r="AS284" s="282"/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</row>
    <row r="285" ht="15" customHeight="1" spans="1:55">
      <c r="A285" s="189">
        <v>43015</v>
      </c>
      <c r="B285" s="184" t="s">
        <v>1</v>
      </c>
      <c r="C285" s="185">
        <v>48706</v>
      </c>
      <c r="D285" s="186">
        <f>28325+11128</f>
        <v>39453</v>
      </c>
      <c r="E285" s="186">
        <v>96198</v>
      </c>
      <c r="F285" s="187">
        <v>4682.5</v>
      </c>
      <c r="G285" s="186">
        <v>3287.9</v>
      </c>
      <c r="H285" s="188"/>
      <c r="I285" s="188"/>
      <c r="J285" s="214">
        <f t="shared" si="78"/>
        <v>56745</v>
      </c>
      <c r="K285" s="186">
        <v>185</v>
      </c>
      <c r="L285" s="324">
        <v>6783</v>
      </c>
      <c r="M285" s="215">
        <f t="shared" si="79"/>
        <v>1071</v>
      </c>
      <c r="N285" s="216">
        <f t="shared" si="89"/>
        <v>296360</v>
      </c>
      <c r="O285" s="219">
        <f t="shared" si="89"/>
        <v>230608</v>
      </c>
      <c r="P285" s="218">
        <f t="shared" si="89"/>
        <v>582029</v>
      </c>
      <c r="Q285" s="238">
        <f t="shared" si="90"/>
        <v>17864993.3</v>
      </c>
      <c r="R285" s="217">
        <f t="shared" si="90"/>
        <v>11145047.8</v>
      </c>
      <c r="S285" s="239">
        <f t="shared" si="90"/>
        <v>29760700.43</v>
      </c>
      <c r="T285" s="240">
        <f>N285/'2017'!N285-1</f>
        <v>-0.202971242311695</v>
      </c>
      <c r="U285" s="241">
        <f>O285/'2017'!O285-1</f>
        <v>0.113521134921631</v>
      </c>
      <c r="V285" s="241">
        <f>P285/'2017'!P285-1</f>
        <v>-0.0180852266304962</v>
      </c>
      <c r="W285" s="241">
        <f>Q285/'2017'!Q285-1</f>
        <v>0.0483316552724582</v>
      </c>
      <c r="X285" s="241">
        <f>R285/'2017'!R285-1</f>
        <v>0.15871581361151</v>
      </c>
      <c r="Y285" s="262">
        <f>S285/'2017'!S285-1</f>
        <v>0.0892702151463316</v>
      </c>
      <c r="Z285" s="263"/>
      <c r="AA285" s="264">
        <f t="shared" si="85"/>
        <v>1786.49933</v>
      </c>
      <c r="AB285" s="265"/>
      <c r="AC285" s="266"/>
      <c r="AD285" s="265">
        <f t="shared" si="80"/>
        <v>18615652.63</v>
      </c>
      <c r="AE285" s="186">
        <f t="shared" si="82"/>
        <v>183430.45</v>
      </c>
      <c r="AF285" s="186">
        <f t="shared" si="88"/>
        <v>324606.97</v>
      </c>
      <c r="AG285" s="266">
        <f t="shared" si="81"/>
        <v>242621.909999998</v>
      </c>
      <c r="AH285" s="281"/>
      <c r="AI285" s="282"/>
      <c r="AJ285" s="282"/>
      <c r="AK285" s="282"/>
      <c r="AL285" s="282"/>
      <c r="AM285" s="282"/>
      <c r="AN285" s="282"/>
      <c r="AO285" s="282"/>
      <c r="AP285" s="282"/>
      <c r="AQ285" s="282"/>
      <c r="AR285" s="282"/>
      <c r="AS285" s="282"/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</row>
    <row r="286" ht="15" customHeight="1" spans="1:55">
      <c r="A286" s="189">
        <v>43016</v>
      </c>
      <c r="B286" s="184" t="s">
        <v>39</v>
      </c>
      <c r="C286" s="185">
        <v>49747</v>
      </c>
      <c r="D286" s="186">
        <f>32052+11097</f>
        <v>43149</v>
      </c>
      <c r="E286" s="186">
        <v>100671</v>
      </c>
      <c r="F286" s="187">
        <v>4971.6</v>
      </c>
      <c r="G286" s="186">
        <v>3277.6</v>
      </c>
      <c r="H286" s="188"/>
      <c r="I286" s="188"/>
      <c r="J286" s="214">
        <f t="shared" si="78"/>
        <v>57522</v>
      </c>
      <c r="K286" s="186">
        <v>238</v>
      </c>
      <c r="L286" s="324">
        <v>6612</v>
      </c>
      <c r="M286" s="215">
        <f t="shared" si="79"/>
        <v>925</v>
      </c>
      <c r="N286" s="216">
        <f t="shared" si="89"/>
        <v>346107</v>
      </c>
      <c r="O286" s="219">
        <f t="shared" si="89"/>
        <v>273757</v>
      </c>
      <c r="P286" s="218">
        <f t="shared" si="89"/>
        <v>682700</v>
      </c>
      <c r="Q286" s="238">
        <f t="shared" si="90"/>
        <v>17914740.3</v>
      </c>
      <c r="R286" s="217">
        <f t="shared" si="90"/>
        <v>11188196.8</v>
      </c>
      <c r="S286" s="239">
        <f t="shared" si="90"/>
        <v>29861371.43</v>
      </c>
      <c r="T286" s="240">
        <f>N286/'2017'!N286-1</f>
        <v>-0.181596339603457</v>
      </c>
      <c r="U286" s="241">
        <f>O286/'2017'!O286-1</f>
        <v>0.0917396800835881</v>
      </c>
      <c r="V286" s="241">
        <f>P286/'2017'!P286-1</f>
        <v>-0.0102311393722717</v>
      </c>
      <c r="W286" s="241">
        <f>Q286/'2017'!Q286-1</f>
        <v>0.0481095984387672</v>
      </c>
      <c r="X286" s="241">
        <f>R286/'2017'!R286-1</f>
        <v>0.157946339425278</v>
      </c>
      <c r="Y286" s="262">
        <f>S286/'2017'!S286-1</f>
        <v>0.0890879699687863</v>
      </c>
      <c r="Z286" s="263"/>
      <c r="AA286" s="264">
        <f t="shared" si="85"/>
        <v>1791.47403</v>
      </c>
      <c r="AB286" s="265"/>
      <c r="AC286" s="266"/>
      <c r="AD286" s="265">
        <f t="shared" si="80"/>
        <v>18673174.63</v>
      </c>
      <c r="AE286" s="186">
        <f t="shared" si="82"/>
        <v>183668.45</v>
      </c>
      <c r="AF286" s="186">
        <f t="shared" si="88"/>
        <v>331218.97</v>
      </c>
      <c r="AG286" s="266">
        <f t="shared" si="81"/>
        <v>243546.909999998</v>
      </c>
      <c r="AH286" s="281"/>
      <c r="AI286" s="282"/>
      <c r="AJ286" s="282"/>
      <c r="AK286" s="282"/>
      <c r="AL286" s="282"/>
      <c r="AM286" s="282"/>
      <c r="AN286" s="282"/>
      <c r="AO286" s="282"/>
      <c r="AP286" s="282"/>
      <c r="AQ286" s="282"/>
      <c r="AR286" s="282"/>
      <c r="AS286" s="282"/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</row>
    <row r="287" ht="15" customHeight="1" spans="1:55">
      <c r="A287" s="189">
        <v>43017</v>
      </c>
      <c r="B287" s="184" t="s">
        <v>34</v>
      </c>
      <c r="C287" s="185">
        <v>54427</v>
      </c>
      <c r="D287" s="186">
        <f>32823+11082</f>
        <v>43905</v>
      </c>
      <c r="E287" s="186">
        <v>103628</v>
      </c>
      <c r="F287" s="187">
        <v>5136.9</v>
      </c>
      <c r="G287" s="186">
        <v>3438.4</v>
      </c>
      <c r="H287" s="188"/>
      <c r="I287" s="188"/>
      <c r="J287" s="214">
        <f t="shared" si="78"/>
        <v>59723</v>
      </c>
      <c r="K287" s="186">
        <v>709</v>
      </c>
      <c r="L287" s="324">
        <v>3996</v>
      </c>
      <c r="M287" s="215">
        <f t="shared" si="79"/>
        <v>591</v>
      </c>
      <c r="N287" s="216">
        <f t="shared" si="89"/>
        <v>400534</v>
      </c>
      <c r="O287" s="219">
        <f t="shared" si="89"/>
        <v>317662</v>
      </c>
      <c r="P287" s="218">
        <f t="shared" si="89"/>
        <v>786328</v>
      </c>
      <c r="Q287" s="238">
        <f t="shared" si="90"/>
        <v>17969167.3</v>
      </c>
      <c r="R287" s="217">
        <f t="shared" si="90"/>
        <v>11232101.8</v>
      </c>
      <c r="S287" s="239">
        <f t="shared" si="90"/>
        <v>29964999.43</v>
      </c>
      <c r="T287" s="240">
        <f>N287/'2017'!N287-1</f>
        <v>-0.165722760192211</v>
      </c>
      <c r="U287" s="241">
        <f>O287/'2017'!O287-1</f>
        <v>0.0782567963422458</v>
      </c>
      <c r="V287" s="241">
        <f>P287/'2017'!P287-1</f>
        <v>-0.00821851461321521</v>
      </c>
      <c r="W287" s="241">
        <f>Q287/'2017'!Q287-1</f>
        <v>0.0477879304717097</v>
      </c>
      <c r="X287" s="241">
        <f>R287/'2017'!R287-1</f>
        <v>0.157237951909327</v>
      </c>
      <c r="Y287" s="262">
        <f>S287/'2017'!S287-1</f>
        <v>0.0887739346566598</v>
      </c>
      <c r="Z287" s="263"/>
      <c r="AA287" s="264">
        <f t="shared" si="85"/>
        <v>1796.91673</v>
      </c>
      <c r="AB287" s="265"/>
      <c r="AC287" s="266"/>
      <c r="AD287" s="265">
        <f t="shared" si="80"/>
        <v>18732897.63</v>
      </c>
      <c r="AE287" s="186">
        <f t="shared" si="82"/>
        <v>184377.45</v>
      </c>
      <c r="AF287" s="186">
        <f t="shared" si="88"/>
        <v>335214.97</v>
      </c>
      <c r="AG287" s="266">
        <f t="shared" si="81"/>
        <v>244137.909999998</v>
      </c>
      <c r="AH287" s="281"/>
      <c r="AI287" s="282"/>
      <c r="AJ287" s="282"/>
      <c r="AK287" s="282"/>
      <c r="AL287" s="282"/>
      <c r="AM287" s="282"/>
      <c r="AN287" s="282"/>
      <c r="AO287" s="282"/>
      <c r="AP287" s="282"/>
      <c r="AQ287" s="282"/>
      <c r="AR287" s="282"/>
      <c r="AS287" s="282"/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</row>
    <row r="288" ht="15" customHeight="1" spans="1:55">
      <c r="A288" s="189">
        <v>43018</v>
      </c>
      <c r="B288" s="184" t="s">
        <v>35</v>
      </c>
      <c r="C288" s="185">
        <v>52161</v>
      </c>
      <c r="D288" s="186">
        <f>34139+11013</f>
        <v>45152</v>
      </c>
      <c r="E288" s="186">
        <v>102847</v>
      </c>
      <c r="F288" s="187">
        <v>5211.9</v>
      </c>
      <c r="G288" s="186">
        <v>3381</v>
      </c>
      <c r="H288" s="188"/>
      <c r="I288" s="188"/>
      <c r="J288" s="214">
        <f t="shared" si="78"/>
        <v>57695</v>
      </c>
      <c r="K288" s="186">
        <v>577</v>
      </c>
      <c r="L288" s="324">
        <v>4388</v>
      </c>
      <c r="M288" s="215">
        <f t="shared" si="79"/>
        <v>569</v>
      </c>
      <c r="N288" s="216">
        <f t="shared" si="89"/>
        <v>452695</v>
      </c>
      <c r="O288" s="219">
        <f t="shared" si="89"/>
        <v>362814</v>
      </c>
      <c r="P288" s="218">
        <f t="shared" si="89"/>
        <v>889175</v>
      </c>
      <c r="Q288" s="238">
        <f t="shared" si="90"/>
        <v>18021328.3</v>
      </c>
      <c r="R288" s="217">
        <f t="shared" si="90"/>
        <v>11277253.8</v>
      </c>
      <c r="S288" s="239">
        <f t="shared" si="90"/>
        <v>30067846.43</v>
      </c>
      <c r="T288" s="240">
        <f>N288/'2017'!N288-1</f>
        <v>-0.169462979508791</v>
      </c>
      <c r="U288" s="241">
        <f>O288/'2017'!O288-1</f>
        <v>0.0762544941087129</v>
      </c>
      <c r="V288" s="241">
        <f>P288/'2017'!P288-1</f>
        <v>-0.0149326319940974</v>
      </c>
      <c r="W288" s="241">
        <f>Q288/'2017'!Q288-1</f>
        <v>0.0468637381310741</v>
      </c>
      <c r="X288" s="241">
        <f>R288/'2017'!R288-1</f>
        <v>0.15682437160831</v>
      </c>
      <c r="Y288" s="262">
        <f>S288/'2017'!S288-1</f>
        <v>0.0881691462877012</v>
      </c>
      <c r="Z288" s="263"/>
      <c r="AA288" s="264">
        <f t="shared" si="85"/>
        <v>1802.13283</v>
      </c>
      <c r="AB288" s="265"/>
      <c r="AC288" s="266"/>
      <c r="AD288" s="265">
        <f t="shared" si="80"/>
        <v>18790592.63</v>
      </c>
      <c r="AE288" s="186">
        <f t="shared" si="82"/>
        <v>184954.45</v>
      </c>
      <c r="AF288" s="186">
        <f t="shared" si="88"/>
        <v>339602.97</v>
      </c>
      <c r="AG288" s="266">
        <f t="shared" si="81"/>
        <v>244706.909999998</v>
      </c>
      <c r="AH288" s="281"/>
      <c r="AI288" s="282"/>
      <c r="AJ288" s="282"/>
      <c r="AK288" s="282"/>
      <c r="AL288" s="282"/>
      <c r="AM288" s="282"/>
      <c r="AN288" s="282"/>
      <c r="AO288" s="282"/>
      <c r="AP288" s="282"/>
      <c r="AQ288" s="282"/>
      <c r="AR288" s="282"/>
      <c r="AS288" s="282"/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</row>
    <row r="289" s="163" customFormat="1" spans="1:55">
      <c r="A289" s="190">
        <v>43019</v>
      </c>
      <c r="B289" s="191" t="s">
        <v>36</v>
      </c>
      <c r="C289" s="192">
        <f>41101+4003</f>
        <v>45104</v>
      </c>
      <c r="D289" s="193">
        <f>32513+14229</f>
        <v>46742</v>
      </c>
      <c r="E289" s="193">
        <f>67232+32513</f>
        <v>99745</v>
      </c>
      <c r="F289" s="194">
        <v>4855</v>
      </c>
      <c r="G289" s="193">
        <v>3340</v>
      </c>
      <c r="H289" s="195"/>
      <c r="I289" s="195"/>
      <c r="J289" s="220">
        <f t="shared" si="78"/>
        <v>53003</v>
      </c>
      <c r="K289" s="193">
        <v>411</v>
      </c>
      <c r="L289" s="325">
        <v>6289</v>
      </c>
      <c r="M289" s="221">
        <f t="shared" si="79"/>
        <v>1199</v>
      </c>
      <c r="N289" s="222">
        <f t="shared" si="89"/>
        <v>497799</v>
      </c>
      <c r="O289" s="225">
        <f t="shared" si="89"/>
        <v>409556</v>
      </c>
      <c r="P289" s="224">
        <f t="shared" si="89"/>
        <v>988920</v>
      </c>
      <c r="Q289" s="242">
        <f t="shared" si="90"/>
        <v>18066432.3</v>
      </c>
      <c r="R289" s="223">
        <f t="shared" si="90"/>
        <v>11323995.8</v>
      </c>
      <c r="S289" s="243">
        <f t="shared" si="90"/>
        <v>30167591.43</v>
      </c>
      <c r="T289" s="244">
        <f>N289/'2017'!N289-1</f>
        <v>-0.173585563450428</v>
      </c>
      <c r="U289" s="245">
        <f>O289/'2017'!O289-1</f>
        <v>0.0686058101246667</v>
      </c>
      <c r="V289" s="245">
        <f>P289/'2017'!P289-1</f>
        <v>-0.0189655548699553</v>
      </c>
      <c r="W289" s="245">
        <f>Q289/'2017'!Q289-1</f>
        <v>0.0460023294712308</v>
      </c>
      <c r="X289" s="245">
        <f>R289/'2017'!R289-1</f>
        <v>0.156145419542908</v>
      </c>
      <c r="Y289" s="267">
        <f>S289/'2017'!S289-1</f>
        <v>0.0876308533952483</v>
      </c>
      <c r="Z289" s="268">
        <v>97.3</v>
      </c>
      <c r="AA289" s="269">
        <f t="shared" si="85"/>
        <v>1709.34323</v>
      </c>
      <c r="AB289" s="270">
        <v>4283.88</v>
      </c>
      <c r="AC289" s="221">
        <f t="shared" si="87"/>
        <v>3990.17533170864</v>
      </c>
      <c r="AD289" s="270">
        <f t="shared" si="80"/>
        <v>18843595.63</v>
      </c>
      <c r="AE289" s="193">
        <f t="shared" si="82"/>
        <v>185365.45</v>
      </c>
      <c r="AF289" s="193">
        <f t="shared" si="88"/>
        <v>345891.97</v>
      </c>
      <c r="AG289" s="221">
        <f t="shared" si="81"/>
        <v>245905.909999998</v>
      </c>
      <c r="AH289" s="281"/>
      <c r="AI289" s="282"/>
      <c r="AJ289" s="282"/>
      <c r="AK289" s="282"/>
      <c r="AL289" s="282"/>
      <c r="AM289" s="282"/>
      <c r="AN289" s="282"/>
      <c r="AO289" s="282"/>
      <c r="AP289" s="282"/>
      <c r="AQ289" s="282"/>
      <c r="AR289" s="282"/>
      <c r="AS289" s="282"/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</row>
    <row r="290" ht="15" customHeight="1" spans="1:55">
      <c r="A290" s="189">
        <v>43020</v>
      </c>
      <c r="B290" s="184" t="s">
        <v>37</v>
      </c>
      <c r="C290" s="185">
        <v>43465</v>
      </c>
      <c r="D290" s="186">
        <f>38447+11046</f>
        <v>49493</v>
      </c>
      <c r="E290" s="186">
        <v>101113</v>
      </c>
      <c r="F290" s="187">
        <v>4917.1</v>
      </c>
      <c r="G290" s="186">
        <v>3391</v>
      </c>
      <c r="H290" s="188"/>
      <c r="I290" s="188"/>
      <c r="J290" s="214">
        <f t="shared" si="78"/>
        <v>51620</v>
      </c>
      <c r="K290" s="186">
        <v>655</v>
      </c>
      <c r="L290" s="324">
        <v>6450</v>
      </c>
      <c r="M290" s="215">
        <f t="shared" si="79"/>
        <v>1050</v>
      </c>
      <c r="N290" s="216">
        <f t="shared" si="89"/>
        <v>541264</v>
      </c>
      <c r="O290" s="219">
        <f t="shared" si="89"/>
        <v>459049</v>
      </c>
      <c r="P290" s="218">
        <f t="shared" si="89"/>
        <v>1090033</v>
      </c>
      <c r="Q290" s="238">
        <f t="shared" si="90"/>
        <v>18109897.3</v>
      </c>
      <c r="R290" s="217">
        <f t="shared" si="90"/>
        <v>11373488.8</v>
      </c>
      <c r="S290" s="239">
        <f t="shared" si="90"/>
        <v>30268704.43</v>
      </c>
      <c r="T290" s="240">
        <f>N290/'2017'!N290-1</f>
        <v>-0.17721901901202</v>
      </c>
      <c r="U290" s="241">
        <f>O290/'2017'!O290-1</f>
        <v>0.0715554569964636</v>
      </c>
      <c r="V290" s="241">
        <f>P290/'2017'!P290-1</f>
        <v>-0.0181625423235696</v>
      </c>
      <c r="W290" s="241">
        <f>Q290/'2017'!Q290-1</f>
        <v>0.0451612018628786</v>
      </c>
      <c r="X290" s="241">
        <f>R290/'2017'!R290-1</f>
        <v>0.155872311731656</v>
      </c>
      <c r="Y290" s="262">
        <f>S290/'2017'!S290-1</f>
        <v>0.0872717086096952</v>
      </c>
      <c r="Z290" s="263"/>
      <c r="AA290" s="264">
        <f t="shared" si="85"/>
        <v>1810.98973</v>
      </c>
      <c r="AB290" s="265"/>
      <c r="AC290" s="266"/>
      <c r="AD290" s="265">
        <f t="shared" si="80"/>
        <v>18895215.63</v>
      </c>
      <c r="AE290" s="186">
        <f t="shared" si="82"/>
        <v>186020.45</v>
      </c>
      <c r="AF290" s="186">
        <f t="shared" si="88"/>
        <v>352341.97</v>
      </c>
      <c r="AG290" s="266">
        <f t="shared" si="81"/>
        <v>246955.909999998</v>
      </c>
      <c r="AH290" s="281"/>
      <c r="AI290" s="282"/>
      <c r="AJ290" s="282"/>
      <c r="AK290" s="282"/>
      <c r="AL290" s="282"/>
      <c r="AM290" s="282"/>
      <c r="AN290" s="282"/>
      <c r="AO290" s="282"/>
      <c r="AP290" s="282"/>
      <c r="AQ290" s="282"/>
      <c r="AR290" s="282"/>
      <c r="AS290" s="282"/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</row>
    <row r="291" ht="15" customHeight="1" spans="1:55">
      <c r="A291" s="189">
        <v>43021</v>
      </c>
      <c r="B291" s="184" t="s">
        <v>38</v>
      </c>
      <c r="C291" s="185">
        <v>38987</v>
      </c>
      <c r="D291" s="186">
        <f>43347+11210</f>
        <v>54557</v>
      </c>
      <c r="E291" s="186">
        <v>100732</v>
      </c>
      <c r="F291" s="187">
        <v>4886.3</v>
      </c>
      <c r="G291" s="186">
        <v>3405.1</v>
      </c>
      <c r="H291" s="188"/>
      <c r="I291" s="188"/>
      <c r="J291" s="214">
        <f t="shared" si="78"/>
        <v>46175</v>
      </c>
      <c r="K291" s="186">
        <v>706</v>
      </c>
      <c r="L291" s="324">
        <v>5447</v>
      </c>
      <c r="M291" s="215">
        <f t="shared" si="79"/>
        <v>1035</v>
      </c>
      <c r="N291" s="216">
        <f t="shared" si="89"/>
        <v>580251</v>
      </c>
      <c r="O291" s="219">
        <f t="shared" si="89"/>
        <v>513606</v>
      </c>
      <c r="P291" s="218">
        <f t="shared" si="89"/>
        <v>1190765</v>
      </c>
      <c r="Q291" s="238">
        <f t="shared" si="90"/>
        <v>18148884.3</v>
      </c>
      <c r="R291" s="217">
        <f t="shared" si="90"/>
        <v>11428045.8</v>
      </c>
      <c r="S291" s="239">
        <f t="shared" si="90"/>
        <v>30369436.43</v>
      </c>
      <c r="T291" s="240">
        <f>N291/'2017'!N291-1</f>
        <v>-0.182636856147152</v>
      </c>
      <c r="U291" s="241">
        <f>O291/'2017'!O291-1</f>
        <v>0.0830405755905412</v>
      </c>
      <c r="V291" s="241">
        <f>P291/'2017'!P291-1</f>
        <v>-0.0157933931908556</v>
      </c>
      <c r="W291" s="241">
        <f>Q291/'2017'!Q291-1</f>
        <v>0.0442737708125727</v>
      </c>
      <c r="X291" s="241">
        <f>R291/'2017'!R291-1</f>
        <v>0.156032364730189</v>
      </c>
      <c r="Y291" s="262">
        <f>S291/'2017'!S291-1</f>
        <v>0.0869981502722124</v>
      </c>
      <c r="Z291" s="263"/>
      <c r="AA291" s="264">
        <f t="shared" si="85"/>
        <v>1814.88843</v>
      </c>
      <c r="AB291" s="265"/>
      <c r="AC291" s="266"/>
      <c r="AD291" s="265">
        <f t="shared" si="80"/>
        <v>18941390.63</v>
      </c>
      <c r="AE291" s="186">
        <f t="shared" si="82"/>
        <v>186726.45</v>
      </c>
      <c r="AF291" s="186">
        <f t="shared" si="88"/>
        <v>357788.97</v>
      </c>
      <c r="AG291" s="266">
        <f t="shared" si="81"/>
        <v>247990.909999998</v>
      </c>
      <c r="AH291" s="281"/>
      <c r="AI291" s="282"/>
      <c r="AJ291" s="282"/>
      <c r="AK291" s="282"/>
      <c r="AL291" s="282"/>
      <c r="AM291" s="282"/>
      <c r="AN291" s="282"/>
      <c r="AO291" s="282"/>
      <c r="AP291" s="282"/>
      <c r="AQ291" s="282"/>
      <c r="AR291" s="282"/>
      <c r="AS291" s="282"/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</row>
    <row r="292" ht="15" customHeight="1" spans="1:55">
      <c r="A292" s="189">
        <v>43022</v>
      </c>
      <c r="B292" s="184" t="s">
        <v>1</v>
      </c>
      <c r="C292" s="185">
        <v>35028</v>
      </c>
      <c r="D292" s="186">
        <f>45338+10900</f>
        <v>56238</v>
      </c>
      <c r="E292" s="186">
        <v>97314</v>
      </c>
      <c r="F292" s="187">
        <v>4770.8</v>
      </c>
      <c r="G292" s="186">
        <v>3359.1</v>
      </c>
      <c r="H292" s="188"/>
      <c r="I292" s="188"/>
      <c r="J292" s="214">
        <f t="shared" si="78"/>
        <v>41076</v>
      </c>
      <c r="K292" s="186">
        <v>802</v>
      </c>
      <c r="L292" s="324">
        <v>4900</v>
      </c>
      <c r="M292" s="215">
        <f t="shared" si="79"/>
        <v>346</v>
      </c>
      <c r="N292" s="216">
        <f t="shared" si="89"/>
        <v>615279</v>
      </c>
      <c r="O292" s="219">
        <f t="shared" si="89"/>
        <v>569844</v>
      </c>
      <c r="P292" s="218">
        <f t="shared" si="89"/>
        <v>1288079</v>
      </c>
      <c r="Q292" s="238">
        <f t="shared" si="90"/>
        <v>18183912.3</v>
      </c>
      <c r="R292" s="217">
        <f t="shared" si="90"/>
        <v>11484283.8</v>
      </c>
      <c r="S292" s="239">
        <f t="shared" si="90"/>
        <v>30466750.43</v>
      </c>
      <c r="T292" s="240">
        <f>N292/'2017'!N292-1</f>
        <v>-0.190902503908865</v>
      </c>
      <c r="U292" s="241">
        <f>O292/'2017'!O292-1</f>
        <v>0.0960456541433212</v>
      </c>
      <c r="V292" s="241">
        <f>P292/'2017'!P292-1</f>
        <v>-0.0149364107034973</v>
      </c>
      <c r="W292" s="241">
        <f>Q292/'2017'!Q292-1</f>
        <v>0.0432551338735783</v>
      </c>
      <c r="X292" s="241">
        <f>R292/'2017'!R292-1</f>
        <v>0.156377434119884</v>
      </c>
      <c r="Y292" s="262">
        <f>S292/'2017'!S292-1</f>
        <v>0.0866797823315006</v>
      </c>
      <c r="Z292" s="263"/>
      <c r="AA292" s="264">
        <f t="shared" si="85"/>
        <v>1818.39123</v>
      </c>
      <c r="AB292" s="265"/>
      <c r="AC292" s="266"/>
      <c r="AD292" s="265">
        <f t="shared" si="80"/>
        <v>18982466.63</v>
      </c>
      <c r="AE292" s="186">
        <f t="shared" si="82"/>
        <v>187528.45</v>
      </c>
      <c r="AF292" s="186">
        <f t="shared" si="88"/>
        <v>362688.97</v>
      </c>
      <c r="AG292" s="266">
        <f t="shared" si="81"/>
        <v>248336.909999998</v>
      </c>
      <c r="AH292" s="281"/>
      <c r="AI292" s="282"/>
      <c r="AJ292" s="282"/>
      <c r="AK292" s="282"/>
      <c r="AL292" s="282"/>
      <c r="AM292" s="282"/>
      <c r="AN292" s="282"/>
      <c r="AO292" s="282"/>
      <c r="AP292" s="282"/>
      <c r="AQ292" s="282"/>
      <c r="AR292" s="282"/>
      <c r="AS292" s="282"/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</row>
    <row r="293" ht="15" customHeight="1" spans="1:55">
      <c r="A293" s="189">
        <v>43023</v>
      </c>
      <c r="B293" s="184" t="s">
        <v>39</v>
      </c>
      <c r="C293" s="185">
        <v>42141</v>
      </c>
      <c r="D293" s="186">
        <f>44066+10920</f>
        <v>54986</v>
      </c>
      <c r="E293" s="186">
        <v>102064</v>
      </c>
      <c r="F293" s="187">
        <v>5157.9</v>
      </c>
      <c r="G293" s="186">
        <v>3231.3</v>
      </c>
      <c r="H293" s="188"/>
      <c r="I293" s="188"/>
      <c r="J293" s="214">
        <f t="shared" si="78"/>
        <v>47078</v>
      </c>
      <c r="K293" s="186">
        <v>791</v>
      </c>
      <c r="L293" s="324">
        <v>3775</v>
      </c>
      <c r="M293" s="215">
        <f t="shared" si="79"/>
        <v>371</v>
      </c>
      <c r="N293" s="216">
        <f t="shared" si="89"/>
        <v>657420</v>
      </c>
      <c r="O293" s="219">
        <f t="shared" si="89"/>
        <v>624830</v>
      </c>
      <c r="P293" s="218">
        <f t="shared" si="89"/>
        <v>1390143</v>
      </c>
      <c r="Q293" s="238">
        <f t="shared" si="90"/>
        <v>18226053.3</v>
      </c>
      <c r="R293" s="217">
        <f t="shared" si="90"/>
        <v>11539269.8</v>
      </c>
      <c r="S293" s="239">
        <f t="shared" si="90"/>
        <v>30568814.43</v>
      </c>
      <c r="T293" s="240">
        <f>N293/'2017'!N293-1</f>
        <v>-0.18281553373922</v>
      </c>
      <c r="U293" s="241">
        <f>O293/'2017'!O293-1</f>
        <v>0.102990889464365</v>
      </c>
      <c r="V293" s="241">
        <f>P293/'2017'!P293-1</f>
        <v>-0.00691090335379552</v>
      </c>
      <c r="W293" s="241">
        <f>Q293/'2017'!Q293-1</f>
        <v>0.0430372626564806</v>
      </c>
      <c r="X293" s="241">
        <f>R293/'2017'!R293-1</f>
        <v>0.15649010902864</v>
      </c>
      <c r="Y293" s="262">
        <f>S293/'2017'!S293-1</f>
        <v>0.0867460674293261</v>
      </c>
      <c r="Z293" s="263"/>
      <c r="AA293" s="264">
        <f t="shared" si="85"/>
        <v>1822.60533</v>
      </c>
      <c r="AB293" s="265"/>
      <c r="AC293" s="266"/>
      <c r="AD293" s="265">
        <f t="shared" si="80"/>
        <v>19029544.63</v>
      </c>
      <c r="AE293" s="186">
        <f t="shared" si="82"/>
        <v>188319.45</v>
      </c>
      <c r="AF293" s="186">
        <f t="shared" si="88"/>
        <v>366463.97</v>
      </c>
      <c r="AG293" s="266">
        <f t="shared" si="81"/>
        <v>248707.909999998</v>
      </c>
      <c r="AH293" s="281"/>
      <c r="AI293" s="282"/>
      <c r="AJ293" s="282"/>
      <c r="AK293" s="282"/>
      <c r="AL293" s="282"/>
      <c r="AM293" s="282"/>
      <c r="AN293" s="282"/>
      <c r="AO293" s="282"/>
      <c r="AP293" s="282"/>
      <c r="AQ293" s="282"/>
      <c r="AR293" s="282"/>
      <c r="AS293" s="282"/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</row>
    <row r="294" ht="15" customHeight="1" spans="1:55">
      <c r="A294" s="189">
        <v>43024</v>
      </c>
      <c r="B294" s="184" t="s">
        <v>34</v>
      </c>
      <c r="C294" s="185">
        <v>42212</v>
      </c>
      <c r="D294" s="186">
        <f>45192+10824</f>
        <v>56016</v>
      </c>
      <c r="E294" s="186">
        <v>102898</v>
      </c>
      <c r="F294" s="187">
        <v>5162.8</v>
      </c>
      <c r="G294" s="186">
        <v>3359.8</v>
      </c>
      <c r="H294" s="188"/>
      <c r="I294" s="188"/>
      <c r="J294" s="214">
        <f t="shared" si="78"/>
        <v>46882</v>
      </c>
      <c r="K294" s="186">
        <v>435</v>
      </c>
      <c r="L294" s="324">
        <v>3779</v>
      </c>
      <c r="M294" s="215">
        <f t="shared" si="79"/>
        <v>456</v>
      </c>
      <c r="N294" s="216">
        <f t="shared" si="89"/>
        <v>699632</v>
      </c>
      <c r="O294" s="219">
        <f t="shared" si="89"/>
        <v>680846</v>
      </c>
      <c r="P294" s="218">
        <f t="shared" si="89"/>
        <v>1493041</v>
      </c>
      <c r="Q294" s="238">
        <f t="shared" si="90"/>
        <v>18268265.3</v>
      </c>
      <c r="R294" s="217">
        <f t="shared" si="90"/>
        <v>11595285.8</v>
      </c>
      <c r="S294" s="239">
        <f t="shared" si="90"/>
        <v>30671712.43</v>
      </c>
      <c r="T294" s="240">
        <f>N294/'2017'!N294-1</f>
        <v>-0.179508830196822</v>
      </c>
      <c r="U294" s="241">
        <f>O294/'2017'!O294-1</f>
        <v>0.111779527199037</v>
      </c>
      <c r="V294" s="241">
        <f>P294/'2017'!P294-1</f>
        <v>-0.0017076815581758</v>
      </c>
      <c r="W294" s="241">
        <f>Q294/'2017'!Q294-1</f>
        <v>0.0425768410176628</v>
      </c>
      <c r="X294" s="241">
        <f>R294/'2017'!R294-1</f>
        <v>0.156782032420424</v>
      </c>
      <c r="Y294" s="262">
        <f>S294/'2017'!S294-1</f>
        <v>0.0867039634616589</v>
      </c>
      <c r="Z294" s="263"/>
      <c r="AA294" s="264">
        <f t="shared" si="85"/>
        <v>1826.82653</v>
      </c>
      <c r="AB294" s="265"/>
      <c r="AC294" s="266"/>
      <c r="AD294" s="265">
        <f t="shared" si="80"/>
        <v>19076426.63</v>
      </c>
      <c r="AE294" s="186">
        <f t="shared" si="82"/>
        <v>188754.45</v>
      </c>
      <c r="AF294" s="186">
        <f t="shared" si="88"/>
        <v>370242.97</v>
      </c>
      <c r="AG294" s="266">
        <f t="shared" si="81"/>
        <v>249163.909999998</v>
      </c>
      <c r="AH294" s="281"/>
      <c r="AI294" s="282"/>
      <c r="AJ294" s="282"/>
      <c r="AK294" s="282"/>
      <c r="AL294" s="282"/>
      <c r="AM294" s="282"/>
      <c r="AN294" s="282"/>
      <c r="AO294" s="282"/>
      <c r="AP294" s="282"/>
      <c r="AQ294" s="282"/>
      <c r="AR294" s="282"/>
      <c r="AS294" s="282"/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</row>
    <row r="295" ht="15" customHeight="1" spans="1:55">
      <c r="A295" s="189">
        <v>43025</v>
      </c>
      <c r="B295" s="184" t="s">
        <v>35</v>
      </c>
      <c r="C295" s="185">
        <v>38957</v>
      </c>
      <c r="D295" s="186">
        <f>46219+10868</f>
        <v>57087</v>
      </c>
      <c r="E295" s="186">
        <v>101253</v>
      </c>
      <c r="F295" s="187">
        <v>4956.2</v>
      </c>
      <c r="G295" s="186">
        <v>3387.3</v>
      </c>
      <c r="H295" s="188"/>
      <c r="I295" s="188"/>
      <c r="J295" s="214">
        <f t="shared" si="78"/>
        <v>44166</v>
      </c>
      <c r="K295" s="186">
        <v>575</v>
      </c>
      <c r="L295" s="324">
        <v>3761</v>
      </c>
      <c r="M295" s="215">
        <f t="shared" si="79"/>
        <v>873</v>
      </c>
      <c r="N295" s="216">
        <f t="shared" si="89"/>
        <v>738589</v>
      </c>
      <c r="O295" s="219">
        <f t="shared" si="89"/>
        <v>737933</v>
      </c>
      <c r="P295" s="218">
        <f t="shared" si="89"/>
        <v>1594294</v>
      </c>
      <c r="Q295" s="238">
        <f t="shared" si="90"/>
        <v>18307222.3</v>
      </c>
      <c r="R295" s="217">
        <f t="shared" si="90"/>
        <v>11652372.8</v>
      </c>
      <c r="S295" s="239">
        <f t="shared" si="90"/>
        <v>30772965.43</v>
      </c>
      <c r="T295" s="240">
        <f>N295/'2017'!N295-1</f>
        <v>-0.183993167802052</v>
      </c>
      <c r="U295" s="241">
        <f>O295/'2017'!O295-1</f>
        <v>0.125043641325477</v>
      </c>
      <c r="V295" s="241">
        <f>P295/'2017'!P295-1</f>
        <v>0.000685412144850517</v>
      </c>
      <c r="W295" s="241">
        <f>Q295/'2017'!Q295-1</f>
        <v>0.0416833851111837</v>
      </c>
      <c r="X295" s="241">
        <f>R295/'2017'!R295-1</f>
        <v>0.157451681265965</v>
      </c>
      <c r="Y295" s="262">
        <f>S295/'2017'!S295-1</f>
        <v>0.0865338875537225</v>
      </c>
      <c r="Z295" s="263"/>
      <c r="AA295" s="264">
        <f t="shared" si="85"/>
        <v>1830.72223</v>
      </c>
      <c r="AB295" s="265"/>
      <c r="AC295" s="266"/>
      <c r="AD295" s="265">
        <f t="shared" si="80"/>
        <v>19120592.63</v>
      </c>
      <c r="AE295" s="186">
        <f t="shared" si="82"/>
        <v>189329.45</v>
      </c>
      <c r="AF295" s="186">
        <f t="shared" ref="AF295:AF310" si="91">AF294+L295</f>
        <v>374003.97</v>
      </c>
      <c r="AG295" s="266">
        <f t="shared" si="81"/>
        <v>250036.909999998</v>
      </c>
      <c r="AH295" s="281"/>
      <c r="AI295" s="282"/>
      <c r="AJ295" s="282"/>
      <c r="AK295" s="282"/>
      <c r="AL295" s="282"/>
      <c r="AM295" s="282"/>
      <c r="AN295" s="282"/>
      <c r="AO295" s="282"/>
      <c r="AP295" s="282"/>
      <c r="AQ295" s="282"/>
      <c r="AR295" s="282"/>
      <c r="AS295" s="282"/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</row>
    <row r="296" s="163" customFormat="1" ht="15" customHeight="1" spans="1:55">
      <c r="A296" s="190">
        <v>43026</v>
      </c>
      <c r="B296" s="191" t="s">
        <v>36</v>
      </c>
      <c r="C296" s="192">
        <f>34424+6464</f>
        <v>40888</v>
      </c>
      <c r="D296" s="193">
        <f>41871+13644</f>
        <v>55515</v>
      </c>
      <c r="E296" s="193">
        <f>59875+41871</f>
        <v>101746</v>
      </c>
      <c r="F296" s="194">
        <v>4945</v>
      </c>
      <c r="G296" s="193">
        <v>3406</v>
      </c>
      <c r="H296" s="195"/>
      <c r="I296" s="195"/>
      <c r="J296" s="220">
        <f t="shared" si="78"/>
        <v>46231</v>
      </c>
      <c r="K296" s="193">
        <v>578</v>
      </c>
      <c r="L296" s="325">
        <v>3776</v>
      </c>
      <c r="M296" s="221">
        <f t="shared" si="79"/>
        <v>989</v>
      </c>
      <c r="N296" s="222">
        <f t="shared" ref="N296:P308" si="92">C296+N295</f>
        <v>779477</v>
      </c>
      <c r="O296" s="225">
        <f t="shared" si="92"/>
        <v>793448</v>
      </c>
      <c r="P296" s="224">
        <f t="shared" si="92"/>
        <v>1696040</v>
      </c>
      <c r="Q296" s="242">
        <f t="shared" si="90"/>
        <v>18348110.3</v>
      </c>
      <c r="R296" s="223">
        <f t="shared" si="90"/>
        <v>11707887.8</v>
      </c>
      <c r="S296" s="243">
        <f t="shared" si="90"/>
        <v>30874711.43</v>
      </c>
      <c r="T296" s="244">
        <f>N296/'2017'!N296-1</f>
        <v>-0.186372617890727</v>
      </c>
      <c r="U296" s="245">
        <f>O296/'2017'!O296-1</f>
        <v>0.133425898943495</v>
      </c>
      <c r="V296" s="245">
        <f>P296/'2017'!P296-1</f>
        <v>0.00242503119205972</v>
      </c>
      <c r="W296" s="245">
        <f>Q296/'2017'!Q296-1</f>
        <v>0.0408768016172574</v>
      </c>
      <c r="X296" s="245">
        <f>R296/'2017'!R296-1</f>
        <v>0.157890573742849</v>
      </c>
      <c r="Y296" s="267">
        <f>S296/'2017'!S296-1</f>
        <v>0.086339209406455</v>
      </c>
      <c r="Z296" s="268">
        <v>100.81</v>
      </c>
      <c r="AA296" s="269">
        <f t="shared" si="85"/>
        <v>1734.00103</v>
      </c>
      <c r="AB296" s="270">
        <v>4283.88</v>
      </c>
      <c r="AC296" s="221">
        <f t="shared" si="87"/>
        <v>4047.73483384222</v>
      </c>
      <c r="AD296" s="270">
        <f t="shared" si="80"/>
        <v>19166823.63</v>
      </c>
      <c r="AE296" s="193">
        <f t="shared" si="82"/>
        <v>189907.45</v>
      </c>
      <c r="AF296" s="193">
        <f t="shared" si="91"/>
        <v>377779.97</v>
      </c>
      <c r="AG296" s="221">
        <f t="shared" si="81"/>
        <v>251025.909999998</v>
      </c>
      <c r="AH296" s="281"/>
      <c r="AI296" s="282"/>
      <c r="AJ296" s="282"/>
      <c r="AK296" s="282"/>
      <c r="AL296" s="282"/>
      <c r="AM296" s="282"/>
      <c r="AN296" s="282"/>
      <c r="AO296" s="282"/>
      <c r="AP296" s="282"/>
      <c r="AQ296" s="282"/>
      <c r="AR296" s="282"/>
      <c r="AS296" s="282"/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</row>
    <row r="297" ht="15" customHeight="1" spans="1:55">
      <c r="A297" s="189">
        <v>43027</v>
      </c>
      <c r="B297" s="184" t="s">
        <v>37</v>
      </c>
      <c r="C297" s="185">
        <v>41028</v>
      </c>
      <c r="D297" s="186">
        <f>45139+10981</f>
        <v>56120</v>
      </c>
      <c r="E297" s="186">
        <v>102357</v>
      </c>
      <c r="F297" s="187">
        <v>4974.4</v>
      </c>
      <c r="G297" s="186">
        <v>3423.3</v>
      </c>
      <c r="H297" s="188"/>
      <c r="I297" s="188"/>
      <c r="J297" s="214">
        <f t="shared" si="78"/>
        <v>46237</v>
      </c>
      <c r="K297" s="186">
        <v>467</v>
      </c>
      <c r="L297" s="324">
        <v>3804</v>
      </c>
      <c r="M297" s="215">
        <f t="shared" si="79"/>
        <v>938</v>
      </c>
      <c r="N297" s="216">
        <f t="shared" si="92"/>
        <v>820505</v>
      </c>
      <c r="O297" s="219">
        <f t="shared" si="92"/>
        <v>849568</v>
      </c>
      <c r="P297" s="218">
        <f t="shared" si="92"/>
        <v>1798397</v>
      </c>
      <c r="Q297" s="238">
        <f t="shared" si="90"/>
        <v>18389138.3</v>
      </c>
      <c r="R297" s="217">
        <f t="shared" si="90"/>
        <v>11764007.8</v>
      </c>
      <c r="S297" s="239">
        <f t="shared" si="90"/>
        <v>30977068.43</v>
      </c>
      <c r="T297" s="240">
        <f>N297/'2017'!N297-1</f>
        <v>-0.188673536284019</v>
      </c>
      <c r="U297" s="241">
        <f>O297/'2017'!O297-1</f>
        <v>0.14204290350073</v>
      </c>
      <c r="V297" s="241">
        <f>P297/'2017'!P297-1</f>
        <v>0.00431402289196448</v>
      </c>
      <c r="W297" s="241">
        <f>Q297/'2017'!Q297-1</f>
        <v>0.0400603153752945</v>
      </c>
      <c r="X297" s="241">
        <f>R297/'2017'!R297-1</f>
        <v>0.158416137777773</v>
      </c>
      <c r="Y297" s="262">
        <f>S297/'2017'!S297-1</f>
        <v>0.086167303067153</v>
      </c>
      <c r="Z297" s="263"/>
      <c r="AA297" s="264">
        <f t="shared" si="85"/>
        <v>1838.91383</v>
      </c>
      <c r="AB297" s="265"/>
      <c r="AC297" s="266"/>
      <c r="AD297" s="265">
        <f t="shared" si="80"/>
        <v>19213060.63</v>
      </c>
      <c r="AE297" s="186">
        <f t="shared" si="82"/>
        <v>190374.45</v>
      </c>
      <c r="AF297" s="186">
        <f t="shared" si="91"/>
        <v>381583.97</v>
      </c>
      <c r="AG297" s="266">
        <f t="shared" si="81"/>
        <v>251963.909999998</v>
      </c>
      <c r="AH297" s="281"/>
      <c r="AI297" s="282"/>
      <c r="AJ297" s="282"/>
      <c r="AK297" s="282"/>
      <c r="AL297" s="282"/>
      <c r="AM297" s="282"/>
      <c r="AN297" s="282"/>
      <c r="AO297" s="282"/>
      <c r="AP297" s="282"/>
      <c r="AQ297" s="282"/>
      <c r="AR297" s="282"/>
      <c r="AS297" s="282"/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</row>
    <row r="298" ht="15" customHeight="1" spans="1:55">
      <c r="A298" s="189">
        <v>43028</v>
      </c>
      <c r="B298" s="184" t="s">
        <v>38</v>
      </c>
      <c r="C298" s="185">
        <v>42985</v>
      </c>
      <c r="D298" s="186">
        <f>43787+10998</f>
        <v>54785</v>
      </c>
      <c r="E298" s="186">
        <v>102592</v>
      </c>
      <c r="F298" s="187">
        <v>5140.2</v>
      </c>
      <c r="G298" s="186">
        <v>3423.5</v>
      </c>
      <c r="H298" s="188"/>
      <c r="I298" s="188"/>
      <c r="J298" s="214">
        <f t="shared" si="78"/>
        <v>47807</v>
      </c>
      <c r="K298" s="186">
        <v>544</v>
      </c>
      <c r="L298" s="324">
        <v>3804</v>
      </c>
      <c r="M298" s="215">
        <f t="shared" si="79"/>
        <v>474</v>
      </c>
      <c r="N298" s="216">
        <f t="shared" si="92"/>
        <v>863490</v>
      </c>
      <c r="O298" s="219">
        <f t="shared" si="92"/>
        <v>904353</v>
      </c>
      <c r="P298" s="218">
        <f t="shared" si="92"/>
        <v>1900989</v>
      </c>
      <c r="Q298" s="238">
        <f t="shared" si="90"/>
        <v>18432123.3</v>
      </c>
      <c r="R298" s="217">
        <f t="shared" si="90"/>
        <v>11818792.8</v>
      </c>
      <c r="S298" s="239">
        <f t="shared" si="90"/>
        <v>31079660.43</v>
      </c>
      <c r="T298" s="240">
        <f>N298/'2017'!N298-1</f>
        <v>-0.188264624096834</v>
      </c>
      <c r="U298" s="241">
        <f>O298/'2017'!O298-1</f>
        <v>0.146733465714133</v>
      </c>
      <c r="V298" s="241">
        <f>P298/'2017'!P298-1</f>
        <v>0.0061289006244809</v>
      </c>
      <c r="W298" s="241">
        <f>Q298/'2017'!Q298-1</f>
        <v>0.0394083795200895</v>
      </c>
      <c r="X298" s="241">
        <f>R298/'2017'!R298-1</f>
        <v>0.158706994050187</v>
      </c>
      <c r="Y298" s="262">
        <f>S298/'2017'!S298-1</f>
        <v>0.0860047185223383</v>
      </c>
      <c r="Z298" s="263"/>
      <c r="AA298" s="264">
        <f t="shared" si="85"/>
        <v>1843.21233</v>
      </c>
      <c r="AB298" s="265"/>
      <c r="AC298" s="266"/>
      <c r="AD298" s="265">
        <f t="shared" si="80"/>
        <v>19260867.63</v>
      </c>
      <c r="AE298" s="186">
        <f t="shared" si="82"/>
        <v>190918.45</v>
      </c>
      <c r="AF298" s="186">
        <f t="shared" si="91"/>
        <v>385387.97</v>
      </c>
      <c r="AG298" s="266">
        <f t="shared" si="81"/>
        <v>252437.909999998</v>
      </c>
      <c r="AH298" s="281"/>
      <c r="AI298" s="282"/>
      <c r="AJ298" s="282"/>
      <c r="AK298" s="282"/>
      <c r="AL298" s="282"/>
      <c r="AM298" s="282"/>
      <c r="AN298" s="282"/>
      <c r="AO298" s="282"/>
      <c r="AP298" s="282"/>
      <c r="AQ298" s="282"/>
      <c r="AR298" s="282"/>
      <c r="AS298" s="282"/>
      <c r="AT298" s="282"/>
      <c r="AU298" s="282"/>
      <c r="AV298" s="282"/>
      <c r="AW298" s="282"/>
      <c r="AX298" s="282"/>
      <c r="AY298" s="282"/>
      <c r="AZ298" s="282"/>
      <c r="BA298" s="282"/>
      <c r="BB298" s="282"/>
      <c r="BC298" s="282"/>
    </row>
    <row r="299" ht="15" customHeight="1" spans="1:55">
      <c r="A299" s="189">
        <v>43029</v>
      </c>
      <c r="B299" s="184" t="s">
        <v>1</v>
      </c>
      <c r="C299" s="185">
        <v>41216</v>
      </c>
      <c r="D299" s="186">
        <f>41168+11167</f>
        <v>52335</v>
      </c>
      <c r="E299" s="186">
        <v>98149</v>
      </c>
      <c r="F299" s="187">
        <v>4792</v>
      </c>
      <c r="G299" s="186">
        <v>3372.5</v>
      </c>
      <c r="H299" s="188"/>
      <c r="I299" s="188"/>
      <c r="J299" s="214">
        <f t="shared" si="78"/>
        <v>45814</v>
      </c>
      <c r="K299" s="186">
        <v>370</v>
      </c>
      <c r="L299" s="324">
        <v>3827</v>
      </c>
      <c r="M299" s="215">
        <f t="shared" si="79"/>
        <v>401</v>
      </c>
      <c r="N299" s="216">
        <f t="shared" si="92"/>
        <v>904706</v>
      </c>
      <c r="O299" s="219">
        <f t="shared" si="92"/>
        <v>956688</v>
      </c>
      <c r="P299" s="218">
        <f t="shared" si="92"/>
        <v>1999138</v>
      </c>
      <c r="Q299" s="238">
        <f t="shared" si="90"/>
        <v>18473339.3</v>
      </c>
      <c r="R299" s="217">
        <f t="shared" si="90"/>
        <v>11871127.8</v>
      </c>
      <c r="S299" s="239">
        <f t="shared" si="90"/>
        <v>31177809.43</v>
      </c>
      <c r="T299" s="240">
        <f>N299/'2017'!N299-1</f>
        <v>-0.185225545220718</v>
      </c>
      <c r="U299" s="241">
        <f>O299/'2017'!O299-1</f>
        <v>0.145037510113607</v>
      </c>
      <c r="V299" s="241">
        <f>P299/'2017'!P299-1</f>
        <v>0.00712799919798046</v>
      </c>
      <c r="W299" s="241">
        <f>Q299/'2017'!Q299-1</f>
        <v>0.0390012265388646</v>
      </c>
      <c r="X299" s="241">
        <f>R299/'2017'!R299-1</f>
        <v>0.158513936662341</v>
      </c>
      <c r="Y299" s="262">
        <f>S299/'2017'!S299-1</f>
        <v>0.0858079035448402</v>
      </c>
      <c r="Z299" s="263"/>
      <c r="AA299" s="264">
        <f t="shared" si="85"/>
        <v>1847.33393</v>
      </c>
      <c r="AB299" s="265"/>
      <c r="AC299" s="266"/>
      <c r="AD299" s="265">
        <f t="shared" si="80"/>
        <v>19306681.63</v>
      </c>
      <c r="AE299" s="186">
        <f t="shared" si="82"/>
        <v>191288.45</v>
      </c>
      <c r="AF299" s="186">
        <f t="shared" si="91"/>
        <v>389214.97</v>
      </c>
      <c r="AG299" s="266">
        <f t="shared" si="81"/>
        <v>252838.909999998</v>
      </c>
      <c r="AH299" s="281"/>
      <c r="AI299" s="282"/>
      <c r="AJ299" s="282"/>
      <c r="AK299" s="282"/>
      <c r="AL299" s="282"/>
      <c r="AM299" s="282"/>
      <c r="AN299" s="282"/>
      <c r="AO299" s="282"/>
      <c r="AP299" s="282"/>
      <c r="AQ299" s="282"/>
      <c r="AR299" s="282"/>
      <c r="AS299" s="282"/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</row>
    <row r="300" ht="15" customHeight="1" spans="1:55">
      <c r="A300" s="189">
        <v>43030</v>
      </c>
      <c r="B300" s="184" t="s">
        <v>39</v>
      </c>
      <c r="C300" s="185">
        <v>43161</v>
      </c>
      <c r="D300" s="186">
        <f>44820+11250</f>
        <v>56070</v>
      </c>
      <c r="E300" s="186">
        <v>103524</v>
      </c>
      <c r="F300" s="187">
        <v>5314.8</v>
      </c>
      <c r="G300" s="186">
        <v>3245.1</v>
      </c>
      <c r="H300" s="188"/>
      <c r="I300" s="188"/>
      <c r="J300" s="214">
        <f t="shared" si="78"/>
        <v>47454</v>
      </c>
      <c r="K300" s="186">
        <v>223</v>
      </c>
      <c r="L300" s="324">
        <v>3831</v>
      </c>
      <c r="M300" s="215">
        <f t="shared" si="79"/>
        <v>239</v>
      </c>
      <c r="N300" s="216">
        <f t="shared" si="92"/>
        <v>947867</v>
      </c>
      <c r="O300" s="219">
        <f t="shared" si="92"/>
        <v>1012758</v>
      </c>
      <c r="P300" s="218">
        <f t="shared" si="92"/>
        <v>2102662</v>
      </c>
      <c r="Q300" s="238">
        <f t="shared" si="90"/>
        <v>18516500.3</v>
      </c>
      <c r="R300" s="217">
        <f t="shared" si="90"/>
        <v>11927197.8</v>
      </c>
      <c r="S300" s="239">
        <f t="shared" si="90"/>
        <v>31281333.43</v>
      </c>
      <c r="T300" s="240">
        <f>N300/'2017'!N300-1</f>
        <v>-0.177230924139248</v>
      </c>
      <c r="U300" s="241">
        <f>O300/'2017'!O300-1</f>
        <v>0.147352810893053</v>
      </c>
      <c r="V300" s="241">
        <f>P300/'2017'!P300-1</f>
        <v>0.0128405278407326</v>
      </c>
      <c r="W300" s="241">
        <f>Q300/'2017'!Q300-1</f>
        <v>0.0389937556984106</v>
      </c>
      <c r="X300" s="241">
        <f>R300/'2017'!R300-1</f>
        <v>0.158650698982062</v>
      </c>
      <c r="Y300" s="262">
        <f>S300/'2017'!S300-1</f>
        <v>0.0859710042934898</v>
      </c>
      <c r="Z300" s="263">
        <v>103.24</v>
      </c>
      <c r="AA300" s="264">
        <f t="shared" si="85"/>
        <v>1748.41003</v>
      </c>
      <c r="AB300" s="265"/>
      <c r="AC300" s="266"/>
      <c r="AD300" s="265">
        <f t="shared" si="80"/>
        <v>19354135.63</v>
      </c>
      <c r="AE300" s="186">
        <f t="shared" si="82"/>
        <v>191511.45</v>
      </c>
      <c r="AF300" s="186">
        <f t="shared" si="91"/>
        <v>393045.97</v>
      </c>
      <c r="AG300" s="266">
        <f t="shared" si="81"/>
        <v>253077.909999998</v>
      </c>
      <c r="AH300" s="281"/>
      <c r="AI300" s="282"/>
      <c r="AJ300" s="282"/>
      <c r="AK300" s="282"/>
      <c r="AL300" s="282"/>
      <c r="AM300" s="282"/>
      <c r="AN300" s="282"/>
      <c r="AO300" s="282"/>
      <c r="AP300" s="282"/>
      <c r="AQ300" s="282"/>
      <c r="AR300" s="282"/>
      <c r="AS300" s="282"/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</row>
    <row r="301" ht="15" customHeight="1" spans="1:55">
      <c r="A301" s="189">
        <v>43031</v>
      </c>
      <c r="B301" s="184" t="s">
        <v>34</v>
      </c>
      <c r="C301" s="185">
        <v>42996</v>
      </c>
      <c r="D301" s="186">
        <f>44119+11195</f>
        <v>55314</v>
      </c>
      <c r="E301" s="186">
        <v>103328</v>
      </c>
      <c r="F301" s="187">
        <v>5129.1</v>
      </c>
      <c r="G301" s="186">
        <v>3405.3</v>
      </c>
      <c r="H301" s="188"/>
      <c r="I301" s="188"/>
      <c r="J301" s="214">
        <f t="shared" si="78"/>
        <v>48014</v>
      </c>
      <c r="K301" s="186">
        <v>516</v>
      </c>
      <c r="L301" s="324">
        <v>3830</v>
      </c>
      <c r="M301" s="215">
        <f t="shared" si="79"/>
        <v>672</v>
      </c>
      <c r="N301" s="216">
        <f t="shared" si="92"/>
        <v>990863</v>
      </c>
      <c r="O301" s="219">
        <f t="shared" si="92"/>
        <v>1068072</v>
      </c>
      <c r="P301" s="218">
        <f t="shared" si="92"/>
        <v>2205990</v>
      </c>
      <c r="Q301" s="238">
        <f t="shared" si="90"/>
        <v>18559496.3</v>
      </c>
      <c r="R301" s="217">
        <f t="shared" si="90"/>
        <v>11982511.8</v>
      </c>
      <c r="S301" s="239">
        <f t="shared" si="90"/>
        <v>31384661.43</v>
      </c>
      <c r="T301" s="240">
        <f>N301/'2017'!N301-1</f>
        <v>-0.17352874449082</v>
      </c>
      <c r="U301" s="241">
        <f>O301/'2017'!O301-1</f>
        <v>0.147656220618811</v>
      </c>
      <c r="V301" s="241">
        <f>P301/'2017'!P301-1</f>
        <v>0.0153336325037108</v>
      </c>
      <c r="W301" s="241">
        <f>Q301/'2017'!Q301-1</f>
        <v>0.0386750727862077</v>
      </c>
      <c r="X301" s="241">
        <f>R301/'2017'!R301-1</f>
        <v>0.158625604996323</v>
      </c>
      <c r="Y301" s="262">
        <f>S301/'2017'!S301-1</f>
        <v>0.0859138165871842</v>
      </c>
      <c r="Z301" s="263">
        <v>103.99</v>
      </c>
      <c r="AA301" s="264">
        <f t="shared" si="85"/>
        <v>1751.95963</v>
      </c>
      <c r="AB301" s="265"/>
      <c r="AC301" s="266"/>
      <c r="AD301" s="265">
        <f t="shared" si="80"/>
        <v>19402149.63</v>
      </c>
      <c r="AE301" s="186">
        <f t="shared" si="82"/>
        <v>192027.45</v>
      </c>
      <c r="AF301" s="186">
        <f t="shared" si="91"/>
        <v>396875.97</v>
      </c>
      <c r="AG301" s="266">
        <f t="shared" si="81"/>
        <v>253749.909999998</v>
      </c>
      <c r="AH301" s="281"/>
      <c r="AI301" s="282"/>
      <c r="AJ301" s="282"/>
      <c r="AK301" s="282"/>
      <c r="AL301" s="282"/>
      <c r="AM301" s="282"/>
      <c r="AN301" s="282"/>
      <c r="AO301" s="282"/>
      <c r="AP301" s="282"/>
      <c r="AQ301" s="282"/>
      <c r="AR301" s="282"/>
      <c r="AS301" s="282"/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</row>
    <row r="302" ht="15" customHeight="1" spans="1:55">
      <c r="A302" s="189">
        <v>43032</v>
      </c>
      <c r="B302" s="184" t="s">
        <v>35</v>
      </c>
      <c r="C302" s="185">
        <v>42365</v>
      </c>
      <c r="D302" s="186">
        <v>55258</v>
      </c>
      <c r="E302" s="186">
        <v>102859</v>
      </c>
      <c r="F302" s="187">
        <v>4998</v>
      </c>
      <c r="G302" s="186">
        <v>3423</v>
      </c>
      <c r="H302" s="188"/>
      <c r="I302" s="188"/>
      <c r="J302" s="214">
        <f t="shared" si="78"/>
        <v>47601</v>
      </c>
      <c r="K302" s="186">
        <v>593</v>
      </c>
      <c r="L302" s="324">
        <v>3818</v>
      </c>
      <c r="M302" s="215">
        <f t="shared" si="79"/>
        <v>825</v>
      </c>
      <c r="N302" s="216">
        <f t="shared" si="92"/>
        <v>1033228</v>
      </c>
      <c r="O302" s="219">
        <f t="shared" si="92"/>
        <v>1123330</v>
      </c>
      <c r="P302" s="218">
        <f t="shared" si="92"/>
        <v>2308849</v>
      </c>
      <c r="Q302" s="238">
        <f t="shared" si="90"/>
        <v>18601861.3</v>
      </c>
      <c r="R302" s="217">
        <f t="shared" si="90"/>
        <v>12037769.8</v>
      </c>
      <c r="S302" s="239">
        <f t="shared" si="90"/>
        <v>31487520.43</v>
      </c>
      <c r="T302" s="240">
        <f>N302/'2017'!N302-1</f>
        <v>-0.173023959404677</v>
      </c>
      <c r="U302" s="241">
        <f>O302/'2017'!O302-1</f>
        <v>0.151784844585484</v>
      </c>
      <c r="V302" s="241">
        <f>P302/'2017'!P302-1</f>
        <v>0.0171701084861502</v>
      </c>
      <c r="W302" s="241">
        <f>Q302/'2017'!Q302-1</f>
        <v>0.0381122615603628</v>
      </c>
      <c r="X302" s="241">
        <f>R302/'2017'!R302-1</f>
        <v>0.158966133915234</v>
      </c>
      <c r="Y302" s="262">
        <f>S302/'2017'!S302-1</f>
        <v>0.0858209913075729</v>
      </c>
      <c r="Z302" s="263"/>
      <c r="AA302" s="264">
        <f t="shared" si="85"/>
        <v>1860.18613</v>
      </c>
      <c r="AB302" s="265"/>
      <c r="AC302" s="266"/>
      <c r="AD302" s="265">
        <f t="shared" si="80"/>
        <v>19449750.63</v>
      </c>
      <c r="AE302" s="186">
        <f t="shared" si="82"/>
        <v>192620.45</v>
      </c>
      <c r="AF302" s="186">
        <f t="shared" si="91"/>
        <v>400693.97</v>
      </c>
      <c r="AG302" s="266">
        <f t="shared" si="81"/>
        <v>254574.909999998</v>
      </c>
      <c r="AH302" s="281"/>
      <c r="AI302" s="282"/>
      <c r="AJ302" s="282"/>
      <c r="AK302" s="282"/>
      <c r="AL302" s="282"/>
      <c r="AM302" s="282"/>
      <c r="AN302" s="282"/>
      <c r="AO302" s="282"/>
      <c r="AP302" s="282"/>
      <c r="AQ302" s="282"/>
      <c r="AR302" s="282"/>
      <c r="AS302" s="282"/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</row>
    <row r="303" s="163" customFormat="1" ht="15" customHeight="1" spans="1:55">
      <c r="A303" s="190">
        <v>43033</v>
      </c>
      <c r="B303" s="191" t="s">
        <v>36</v>
      </c>
      <c r="C303" s="192">
        <v>44377</v>
      </c>
      <c r="D303" s="193">
        <v>54645</v>
      </c>
      <c r="E303" s="193">
        <v>103930</v>
      </c>
      <c r="F303" s="194">
        <v>5114</v>
      </c>
      <c r="G303" s="193">
        <v>3426.1</v>
      </c>
      <c r="H303" s="195"/>
      <c r="I303" s="195"/>
      <c r="J303" s="220">
        <f t="shared" si="78"/>
        <v>49285</v>
      </c>
      <c r="K303" s="193">
        <v>466</v>
      </c>
      <c r="L303" s="325">
        <v>3805</v>
      </c>
      <c r="M303" s="221">
        <f t="shared" si="79"/>
        <v>637</v>
      </c>
      <c r="N303" s="222">
        <f t="shared" si="92"/>
        <v>1077605</v>
      </c>
      <c r="O303" s="225">
        <f t="shared" si="92"/>
        <v>1177975</v>
      </c>
      <c r="P303" s="224">
        <f t="shared" si="92"/>
        <v>2412779</v>
      </c>
      <c r="Q303" s="242">
        <f t="shared" si="90"/>
        <v>18646238.3</v>
      </c>
      <c r="R303" s="223">
        <f t="shared" si="90"/>
        <v>12092414.8</v>
      </c>
      <c r="S303" s="243">
        <f t="shared" si="90"/>
        <v>31591450.43</v>
      </c>
      <c r="T303" s="244">
        <f>N303/'2017'!N303-1</f>
        <v>-0.171386038042555</v>
      </c>
      <c r="U303" s="245">
        <f>O303/'2017'!O303-1</f>
        <v>0.154331972538467</v>
      </c>
      <c r="V303" s="245">
        <f>P303/'2017'!P303-1</f>
        <v>0.0188381984885357</v>
      </c>
      <c r="W303" s="245">
        <f>Q303/'2017'!Q303-1</f>
        <v>0.0376305701233437</v>
      </c>
      <c r="X303" s="245">
        <f>R303/'2017'!R303-1</f>
        <v>0.159184196984767</v>
      </c>
      <c r="Y303" s="267">
        <f>S303/'2017'!S303-1</f>
        <v>0.0857248471437888</v>
      </c>
      <c r="Z303" s="268">
        <v>105.47</v>
      </c>
      <c r="AA303" s="269">
        <f t="shared" si="85"/>
        <v>1759.15383</v>
      </c>
      <c r="AB303" s="270">
        <v>4283.88</v>
      </c>
      <c r="AC303" s="221">
        <f t="shared" si="87"/>
        <v>4106.44983052747</v>
      </c>
      <c r="AD303" s="270">
        <f t="shared" si="80"/>
        <v>19499035.63</v>
      </c>
      <c r="AE303" s="193">
        <f t="shared" si="82"/>
        <v>193086.45</v>
      </c>
      <c r="AF303" s="193">
        <f t="shared" si="91"/>
        <v>404498.97</v>
      </c>
      <c r="AG303" s="221">
        <f t="shared" si="81"/>
        <v>255211.909999998</v>
      </c>
      <c r="AH303" s="281"/>
      <c r="AI303" s="282"/>
      <c r="AJ303" s="282"/>
      <c r="AK303" s="282"/>
      <c r="AL303" s="282"/>
      <c r="AM303" s="282"/>
      <c r="AN303" s="282"/>
      <c r="AO303" s="282"/>
      <c r="AP303" s="282"/>
      <c r="AQ303" s="282"/>
      <c r="AR303" s="282"/>
      <c r="AS303" s="282"/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</row>
    <row r="304" ht="15" customHeight="1" spans="1:55">
      <c r="A304" s="189">
        <v>43034</v>
      </c>
      <c r="B304" s="184" t="s">
        <v>37</v>
      </c>
      <c r="C304" s="185">
        <v>44038</v>
      </c>
      <c r="D304" s="186">
        <f>43123+11266</f>
        <v>54389</v>
      </c>
      <c r="E304" s="186">
        <v>103408</v>
      </c>
      <c r="F304" s="187">
        <v>5196.6</v>
      </c>
      <c r="G304" s="186">
        <v>3434.7</v>
      </c>
      <c r="H304" s="188"/>
      <c r="I304" s="188"/>
      <c r="J304" s="214">
        <f t="shared" si="78"/>
        <v>49019</v>
      </c>
      <c r="K304" s="186">
        <v>233</v>
      </c>
      <c r="L304" s="186">
        <v>3816</v>
      </c>
      <c r="M304" s="215">
        <f t="shared" si="79"/>
        <v>932</v>
      </c>
      <c r="N304" s="216">
        <f t="shared" si="92"/>
        <v>1121643</v>
      </c>
      <c r="O304" s="219">
        <f t="shared" si="92"/>
        <v>1232364</v>
      </c>
      <c r="P304" s="218">
        <f t="shared" si="92"/>
        <v>2516187</v>
      </c>
      <c r="Q304" s="238">
        <f t="shared" si="90"/>
        <v>18690276.3</v>
      </c>
      <c r="R304" s="217">
        <f t="shared" si="90"/>
        <v>12146803.8</v>
      </c>
      <c r="S304" s="239">
        <f t="shared" si="90"/>
        <v>31694858.43</v>
      </c>
      <c r="T304" s="240">
        <f>N304/'2017'!N304-1</f>
        <v>-0.169702559714204</v>
      </c>
      <c r="U304" s="241">
        <f>O304/'2017'!O304-1</f>
        <v>0.154545335309471</v>
      </c>
      <c r="V304" s="241">
        <f>P304/'2017'!P304-1</f>
        <v>0.0198623288179272</v>
      </c>
      <c r="W304" s="241">
        <f>Q304/'2017'!Q304-1</f>
        <v>0.0371721647833843</v>
      </c>
      <c r="X304" s="241">
        <f>R304/'2017'!R304-1</f>
        <v>0.159184204378537</v>
      </c>
      <c r="Y304" s="262">
        <f>S304/'2017'!S304-1</f>
        <v>0.0855845500339942</v>
      </c>
      <c r="Z304" s="263"/>
      <c r="AA304" s="264">
        <f t="shared" si="85"/>
        <v>1869.02763</v>
      </c>
      <c r="AB304" s="265"/>
      <c r="AC304" s="266"/>
      <c r="AD304" s="265">
        <f t="shared" si="80"/>
        <v>19548054.63</v>
      </c>
      <c r="AE304" s="186">
        <f t="shared" si="82"/>
        <v>193319.45</v>
      </c>
      <c r="AF304" s="186">
        <f t="shared" si="91"/>
        <v>408314.97</v>
      </c>
      <c r="AG304" s="266">
        <f t="shared" si="81"/>
        <v>256143.909999998</v>
      </c>
      <c r="AH304" s="281"/>
      <c r="AI304" s="282"/>
      <c r="AJ304" s="282"/>
      <c r="AK304" s="282"/>
      <c r="AL304" s="282"/>
      <c r="AM304" s="282"/>
      <c r="AN304" s="282"/>
      <c r="AO304" s="282"/>
      <c r="AP304" s="282"/>
      <c r="AQ304" s="282"/>
      <c r="AR304" s="282"/>
      <c r="AS304" s="282"/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</row>
    <row r="305" ht="15" customHeight="1" spans="1:55">
      <c r="A305" s="189">
        <v>43035</v>
      </c>
      <c r="B305" s="184" t="s">
        <v>38</v>
      </c>
      <c r="C305" s="185">
        <v>41504</v>
      </c>
      <c r="D305" s="186">
        <f>41504+11066</f>
        <v>52570</v>
      </c>
      <c r="E305" s="186">
        <v>99679</v>
      </c>
      <c r="F305" s="187">
        <v>4881</v>
      </c>
      <c r="G305" s="186">
        <v>3363.4</v>
      </c>
      <c r="H305" s="188"/>
      <c r="I305" s="188"/>
      <c r="J305" s="214">
        <f t="shared" si="78"/>
        <v>47109</v>
      </c>
      <c r="K305" s="186">
        <v>276</v>
      </c>
      <c r="L305" s="186">
        <v>3958</v>
      </c>
      <c r="M305" s="215">
        <f t="shared" si="79"/>
        <v>1371</v>
      </c>
      <c r="N305" s="216">
        <f t="shared" si="92"/>
        <v>1163147</v>
      </c>
      <c r="O305" s="219">
        <f t="shared" si="92"/>
        <v>1284934</v>
      </c>
      <c r="P305" s="218">
        <f t="shared" si="92"/>
        <v>2615866</v>
      </c>
      <c r="Q305" s="238">
        <f t="shared" si="90"/>
        <v>18731780.3</v>
      </c>
      <c r="R305" s="217">
        <f t="shared" si="90"/>
        <v>12199373.8</v>
      </c>
      <c r="S305" s="239">
        <f t="shared" si="90"/>
        <v>31794537.43</v>
      </c>
      <c r="T305" s="240">
        <f>N305/'2017'!N305-1</f>
        <v>-0.167708747756747</v>
      </c>
      <c r="U305" s="241">
        <f>O305/'2017'!O305-1</f>
        <v>0.149841430064573</v>
      </c>
      <c r="V305" s="241">
        <f>P305/'2017'!P305-1</f>
        <v>0.0195485849920685</v>
      </c>
      <c r="W305" s="241">
        <f>Q305/'2017'!Q305-1</f>
        <v>0.0367924472607879</v>
      </c>
      <c r="X305" s="241">
        <f>R305/'2017'!R305-1</f>
        <v>0.158662883786416</v>
      </c>
      <c r="Y305" s="262">
        <f>S305/'2017'!S305-1</f>
        <v>0.0853360272036481</v>
      </c>
      <c r="Z305" s="263"/>
      <c r="AA305" s="264">
        <f t="shared" si="85"/>
        <v>1873.17803</v>
      </c>
      <c r="AB305" s="265"/>
      <c r="AC305" s="266"/>
      <c r="AD305" s="265">
        <f t="shared" si="80"/>
        <v>19595163.63</v>
      </c>
      <c r="AE305" s="186">
        <f t="shared" si="82"/>
        <v>193595.45</v>
      </c>
      <c r="AF305" s="186">
        <f t="shared" si="91"/>
        <v>412272.97</v>
      </c>
      <c r="AG305" s="266">
        <f t="shared" si="81"/>
        <v>257514.909999998</v>
      </c>
      <c r="AH305" s="281"/>
      <c r="AI305" s="282"/>
      <c r="AJ305" s="282"/>
      <c r="AK305" s="282"/>
      <c r="AL305" s="282"/>
      <c r="AM305" s="282"/>
      <c r="AN305" s="282"/>
      <c r="AO305" s="282"/>
      <c r="AP305" s="282"/>
      <c r="AQ305" s="282"/>
      <c r="AR305" s="282"/>
      <c r="AS305" s="282"/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</row>
    <row r="306" ht="15" customHeight="1" spans="1:55">
      <c r="A306" s="189">
        <v>43036</v>
      </c>
      <c r="B306" s="184" t="s">
        <v>1</v>
      </c>
      <c r="C306" s="185">
        <v>36772</v>
      </c>
      <c r="D306" s="186">
        <f>40336+10697</f>
        <v>51033</v>
      </c>
      <c r="E306" s="186">
        <v>94334</v>
      </c>
      <c r="F306" s="187">
        <v>4510.4</v>
      </c>
      <c r="G306" s="186">
        <v>3318</v>
      </c>
      <c r="H306" s="188"/>
      <c r="I306" s="188"/>
      <c r="J306" s="214">
        <f t="shared" si="78"/>
        <v>43301</v>
      </c>
      <c r="K306" s="186">
        <v>242</v>
      </c>
      <c r="L306" s="186">
        <v>4978</v>
      </c>
      <c r="M306" s="215">
        <f t="shared" si="79"/>
        <v>1309</v>
      </c>
      <c r="N306" s="216">
        <f t="shared" si="92"/>
        <v>1199919</v>
      </c>
      <c r="O306" s="219">
        <f t="shared" si="92"/>
        <v>1335967</v>
      </c>
      <c r="P306" s="218">
        <f t="shared" si="92"/>
        <v>2710200</v>
      </c>
      <c r="Q306" s="238">
        <f t="shared" si="90"/>
        <v>18768552.3</v>
      </c>
      <c r="R306" s="217">
        <f t="shared" si="90"/>
        <v>12250406.8</v>
      </c>
      <c r="S306" s="239">
        <f t="shared" si="90"/>
        <v>31888871.43</v>
      </c>
      <c r="T306" s="240">
        <f>N306/'2017'!N306-1</f>
        <v>-0.168549221397722</v>
      </c>
      <c r="U306" s="241">
        <f>O306/'2017'!O306-1</f>
        <v>0.145789932751791</v>
      </c>
      <c r="V306" s="241">
        <f>P306/'2017'!P306-1</f>
        <v>0.0181659713469418</v>
      </c>
      <c r="W306" s="241">
        <f>Q306/'2017'!Q306-1</f>
        <v>0.0362101940743713</v>
      </c>
      <c r="X306" s="241">
        <f>R306/'2017'!R306-1</f>
        <v>0.158175830590124</v>
      </c>
      <c r="Y306" s="262">
        <f>S306/'2017'!S306-1</f>
        <v>0.0849956218867058</v>
      </c>
      <c r="Z306" s="263"/>
      <c r="AA306" s="264">
        <f t="shared" si="85"/>
        <v>1876.85523</v>
      </c>
      <c r="AB306" s="265"/>
      <c r="AC306" s="266"/>
      <c r="AD306" s="265">
        <f t="shared" si="80"/>
        <v>19638464.63</v>
      </c>
      <c r="AE306" s="186">
        <f t="shared" si="82"/>
        <v>193837.45</v>
      </c>
      <c r="AF306" s="186">
        <f t="shared" si="91"/>
        <v>417250.97</v>
      </c>
      <c r="AG306" s="266">
        <f t="shared" si="81"/>
        <v>258823.909999998</v>
      </c>
      <c r="AH306" s="281"/>
      <c r="AI306" s="282"/>
      <c r="AJ306" s="282"/>
      <c r="AK306" s="282"/>
      <c r="AL306" s="282"/>
      <c r="AM306" s="282"/>
      <c r="AN306" s="282"/>
      <c r="AO306" s="282"/>
      <c r="AP306" s="282"/>
      <c r="AQ306" s="282"/>
      <c r="AR306" s="282"/>
      <c r="AS306" s="282"/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</row>
    <row r="307" ht="15" customHeight="1" spans="1:55">
      <c r="A307" s="189">
        <v>43037</v>
      </c>
      <c r="B307" s="184" t="s">
        <v>39</v>
      </c>
      <c r="C307" s="185">
        <v>38243</v>
      </c>
      <c r="D307" s="186">
        <f>43038+10755</f>
        <v>53793</v>
      </c>
      <c r="E307" s="186">
        <v>99261</v>
      </c>
      <c r="F307" s="187">
        <v>4940.5</v>
      </c>
      <c r="G307" s="186">
        <v>3188.1</v>
      </c>
      <c r="H307" s="188"/>
      <c r="I307" s="188"/>
      <c r="J307" s="214">
        <f t="shared" si="78"/>
        <v>45468</v>
      </c>
      <c r="K307" s="186">
        <v>215</v>
      </c>
      <c r="L307" s="186">
        <v>5771</v>
      </c>
      <c r="M307" s="215">
        <f t="shared" si="79"/>
        <v>1239</v>
      </c>
      <c r="N307" s="216">
        <f t="shared" si="92"/>
        <v>1238162</v>
      </c>
      <c r="O307" s="219">
        <f t="shared" si="92"/>
        <v>1389760</v>
      </c>
      <c r="P307" s="218">
        <f t="shared" si="92"/>
        <v>2809461</v>
      </c>
      <c r="Q307" s="238">
        <f t="shared" si="90"/>
        <v>18806795.3</v>
      </c>
      <c r="R307" s="217">
        <f t="shared" si="90"/>
        <v>12304199.8</v>
      </c>
      <c r="S307" s="239">
        <f t="shared" si="90"/>
        <v>31988132.43</v>
      </c>
      <c r="T307" s="240">
        <f>N307/'2017'!N307-1</f>
        <v>-0.165960834926984</v>
      </c>
      <c r="U307" s="241">
        <f>O307/'2017'!O307-1</f>
        <v>0.144288397299672</v>
      </c>
      <c r="V307" s="241">
        <f>P307/'2017'!P307-1</f>
        <v>0.0202365151330828</v>
      </c>
      <c r="W307" s="241">
        <f>Q307/'2017'!Q307-1</f>
        <v>0.0359552009778987</v>
      </c>
      <c r="X307" s="241">
        <f>R307/'2017'!R307-1</f>
        <v>0.157947627624621</v>
      </c>
      <c r="Y307" s="262">
        <f>S307/'2017'!S307-1</f>
        <v>0.0849807233838598</v>
      </c>
      <c r="Z307" s="263"/>
      <c r="AA307" s="264">
        <f t="shared" si="85"/>
        <v>1880.67953</v>
      </c>
      <c r="AB307" s="265"/>
      <c r="AC307" s="266"/>
      <c r="AD307" s="265">
        <f t="shared" si="80"/>
        <v>19683932.63</v>
      </c>
      <c r="AE307" s="186">
        <f t="shared" si="82"/>
        <v>194052.45</v>
      </c>
      <c r="AF307" s="186">
        <f t="shared" si="91"/>
        <v>423021.97</v>
      </c>
      <c r="AG307" s="266">
        <f t="shared" si="81"/>
        <v>260062.909999998</v>
      </c>
      <c r="AH307" s="281"/>
      <c r="AI307" s="282"/>
      <c r="AJ307" s="282"/>
      <c r="AK307" s="282"/>
      <c r="AL307" s="282"/>
      <c r="AM307" s="282"/>
      <c r="AN307" s="282"/>
      <c r="AO307" s="282"/>
      <c r="AP307" s="282"/>
      <c r="AQ307" s="282"/>
      <c r="AR307" s="282"/>
      <c r="AS307" s="282"/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</row>
    <row r="308" ht="15" customHeight="1" spans="1:55">
      <c r="A308" s="189">
        <v>43038</v>
      </c>
      <c r="B308" s="184" t="s">
        <v>34</v>
      </c>
      <c r="C308" s="185">
        <f>31979+7454</f>
        <v>39433</v>
      </c>
      <c r="D308" s="186">
        <f>39607+13771</f>
        <v>53378</v>
      </c>
      <c r="E308" s="186">
        <f>61255+39607</f>
        <v>100862</v>
      </c>
      <c r="F308" s="187">
        <v>4938</v>
      </c>
      <c r="G308" s="186">
        <v>3347</v>
      </c>
      <c r="H308" s="188"/>
      <c r="I308" s="188"/>
      <c r="J308" s="214">
        <f t="shared" si="78"/>
        <v>47484</v>
      </c>
      <c r="K308" s="186">
        <v>224</v>
      </c>
      <c r="L308" s="186">
        <v>6805</v>
      </c>
      <c r="M308" s="215">
        <f t="shared" si="79"/>
        <v>1022</v>
      </c>
      <c r="N308" s="216">
        <f t="shared" si="92"/>
        <v>1277595</v>
      </c>
      <c r="O308" s="219">
        <f t="shared" si="92"/>
        <v>1443138</v>
      </c>
      <c r="P308" s="218">
        <f t="shared" si="92"/>
        <v>2910323</v>
      </c>
      <c r="Q308" s="238">
        <f>Q$278+N308</f>
        <v>18846228.3</v>
      </c>
      <c r="R308" s="217">
        <f t="shared" si="90"/>
        <v>12357577.8</v>
      </c>
      <c r="S308" s="239">
        <f t="shared" si="90"/>
        <v>32088994.43</v>
      </c>
      <c r="T308" s="240">
        <f>N308/'2017'!N308-1</f>
        <v>-0.164741301533754</v>
      </c>
      <c r="U308" s="241">
        <f>O308/'2017'!O308-1</f>
        <v>0.142913938019281</v>
      </c>
      <c r="V308" s="241">
        <f>P308/'2017'!P308-1</f>
        <v>0.0214670288786871</v>
      </c>
      <c r="W308" s="241">
        <f>Q308/'2017'!Q308-1</f>
        <v>0.0355579545208566</v>
      </c>
      <c r="X308" s="241">
        <f>R308/'2017'!R308-1</f>
        <v>0.157723402204209</v>
      </c>
      <c r="Y308" s="262">
        <f>S308/'2017'!S308-1</f>
        <v>0.0848903766183913</v>
      </c>
      <c r="Z308" s="263"/>
      <c r="AA308" s="264">
        <f t="shared" si="85"/>
        <v>1884.62283</v>
      </c>
      <c r="AB308" s="265"/>
      <c r="AC308" s="266"/>
      <c r="AD308" s="265">
        <f t="shared" si="80"/>
        <v>19731416.63</v>
      </c>
      <c r="AE308" s="186">
        <f t="shared" si="82"/>
        <v>194276.45</v>
      </c>
      <c r="AF308" s="186">
        <f t="shared" si="91"/>
        <v>429826.97</v>
      </c>
      <c r="AG308" s="266">
        <f t="shared" si="81"/>
        <v>261084.909999998</v>
      </c>
      <c r="AH308" s="281"/>
      <c r="AI308" s="282"/>
      <c r="AJ308" s="282"/>
      <c r="AK308" s="282"/>
      <c r="AL308" s="282"/>
      <c r="AM308" s="282"/>
      <c r="AN308" s="282"/>
      <c r="AO308" s="282"/>
      <c r="AP308" s="282"/>
      <c r="AQ308" s="282"/>
      <c r="AR308" s="282"/>
      <c r="AS308" s="282"/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</row>
    <row r="309" ht="15" customHeight="1" spans="1:55">
      <c r="A309" s="204">
        <v>43039</v>
      </c>
      <c r="B309" s="197" t="s">
        <v>35</v>
      </c>
      <c r="C309" s="198">
        <f>31431+7415</f>
        <v>38846</v>
      </c>
      <c r="D309" s="199">
        <f>39719+13814</f>
        <v>53533</v>
      </c>
      <c r="E309" s="199">
        <f>60618+39719</f>
        <v>100337</v>
      </c>
      <c r="F309" s="200">
        <v>4938</v>
      </c>
      <c r="G309" s="199">
        <v>3348</v>
      </c>
      <c r="H309" s="201"/>
      <c r="I309" s="201"/>
      <c r="J309" s="226">
        <f t="shared" si="78"/>
        <v>46804</v>
      </c>
      <c r="K309" s="199">
        <v>245</v>
      </c>
      <c r="L309" s="199">
        <v>6814</v>
      </c>
      <c r="M309" s="227">
        <f t="shared" si="79"/>
        <v>899</v>
      </c>
      <c r="N309" s="228">
        <f>[9]表2、统调口径电量!$D$10</f>
        <v>1316440.92</v>
      </c>
      <c r="O309" s="232">
        <f>[9]表2、统调口径电量!$D$14</f>
        <v>1496671</v>
      </c>
      <c r="P309" s="233">
        <f>[9]表2、统调口径电量!$D$3</f>
        <v>3010714.77</v>
      </c>
      <c r="Q309" s="246">
        <f>[9]表2、统调口径电量!$I$10</f>
        <v>18885074.22</v>
      </c>
      <c r="R309" s="229">
        <f>[9]表2、统调口径电量!$I$14</f>
        <v>12411110.8</v>
      </c>
      <c r="S309" s="247">
        <f>[9]表2、统调口径电量!$I$3</f>
        <v>32189402.91</v>
      </c>
      <c r="T309" s="326">
        <f>N309/'2017'!N309-1</f>
        <v>-0.163412894759419</v>
      </c>
      <c r="U309" s="286">
        <f>O309/'2017'!O309-1</f>
        <v>0.139720726078689</v>
      </c>
      <c r="V309" s="286">
        <f>P309/'2017'!P309-1</f>
        <v>0.0221095916640102</v>
      </c>
      <c r="W309" s="286">
        <f>Q309/'2017'!Q309-1</f>
        <v>0.0351888433811332</v>
      </c>
      <c r="X309" s="286">
        <f>R309/'2017'!R309-1</f>
        <v>0.157262763717605</v>
      </c>
      <c r="Y309" s="287">
        <f>S309/'2017'!S309-1</f>
        <v>0.0847485529253116</v>
      </c>
      <c r="Z309" s="273">
        <f>[9]表2、统调口径电量!$I$12/10000</f>
        <v>109.674208</v>
      </c>
      <c r="AA309" s="274">
        <f>[9]表2、统调口径电量!$I$11/10000</f>
        <v>1778.833214</v>
      </c>
      <c r="AB309" s="275">
        <v>4283.88</v>
      </c>
      <c r="AC309" s="276">
        <f t="shared" si="87"/>
        <v>4152.3880547541</v>
      </c>
      <c r="AD309" s="275">
        <f>[9]表2、统调口径电量!$I$4</f>
        <v>19778292.11</v>
      </c>
      <c r="AE309" s="199">
        <f>[9]表2、统调口径电量!$I$13</f>
        <v>194521.13</v>
      </c>
      <c r="AF309" s="199">
        <f>[9]表2、统调口径电量!$I$17</f>
        <v>436642.62</v>
      </c>
      <c r="AG309" s="276">
        <f t="shared" si="81"/>
        <v>262054.140000001</v>
      </c>
      <c r="AH309" s="281"/>
      <c r="AI309" s="282"/>
      <c r="AJ309" s="282"/>
      <c r="AK309" s="282"/>
      <c r="AL309" s="282"/>
      <c r="AM309" s="282"/>
      <c r="AN309" s="282"/>
      <c r="AO309" s="282"/>
      <c r="AP309" s="282"/>
      <c r="AQ309" s="282"/>
      <c r="AR309" s="282"/>
      <c r="AS309" s="282"/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</row>
    <row r="310" s="163" customFormat="1" ht="15" customHeight="1" spans="1:55">
      <c r="A310" s="190">
        <v>43040</v>
      </c>
      <c r="B310" s="191" t="s">
        <v>36</v>
      </c>
      <c r="C310" s="192">
        <f>31794+4189</f>
        <v>35983</v>
      </c>
      <c r="D310" s="193">
        <f>39002+13980</f>
        <v>52982</v>
      </c>
      <c r="E310" s="193">
        <f>58248+39002</f>
        <v>97250</v>
      </c>
      <c r="F310" s="194">
        <v>4684</v>
      </c>
      <c r="G310" s="193">
        <v>3278</v>
      </c>
      <c r="H310" s="195"/>
      <c r="I310" s="195"/>
      <c r="J310" s="220">
        <f t="shared" si="78"/>
        <v>44268</v>
      </c>
      <c r="K310" s="193">
        <v>495</v>
      </c>
      <c r="L310" s="193">
        <v>6821</v>
      </c>
      <c r="M310" s="221">
        <f t="shared" si="79"/>
        <v>969</v>
      </c>
      <c r="N310" s="222">
        <f>C310</f>
        <v>35983</v>
      </c>
      <c r="O310" s="225">
        <f>D310</f>
        <v>52982</v>
      </c>
      <c r="P310" s="224">
        <f>E310</f>
        <v>97250</v>
      </c>
      <c r="Q310" s="242">
        <f>Q$309+N310</f>
        <v>18921057.22</v>
      </c>
      <c r="R310" s="223">
        <f>R$309+O310</f>
        <v>12464092.8</v>
      </c>
      <c r="S310" s="243">
        <f>S$309+P310</f>
        <v>32286652.91</v>
      </c>
      <c r="T310" s="244">
        <f>N310/'2017'!N310-1</f>
        <v>-0.204285619513058</v>
      </c>
      <c r="U310" s="245">
        <f>O310/'2017'!O310-1</f>
        <v>0.110966659677081</v>
      </c>
      <c r="V310" s="245">
        <f>P310/'2017'!P310-1</f>
        <v>0.0247845054690299</v>
      </c>
      <c r="W310" s="245">
        <f>Q310/'2017'!Q310-1</f>
        <v>0.0345967024795617</v>
      </c>
      <c r="X310" s="245">
        <f>R310/'2017'!R310-1</f>
        <v>0.157057805115561</v>
      </c>
      <c r="Y310" s="267">
        <f>S310/'2017'!S310-1</f>
        <v>0.0845574015106694</v>
      </c>
      <c r="Z310" s="268">
        <v>109.78</v>
      </c>
      <c r="AA310" s="269">
        <f t="shared" si="85"/>
        <v>1782.325722</v>
      </c>
      <c r="AB310" s="270">
        <v>4286.88</v>
      </c>
      <c r="AC310" s="221">
        <f t="shared" si="87"/>
        <v>4157.62914287314</v>
      </c>
      <c r="AD310" s="270">
        <f t="shared" si="80"/>
        <v>19822560.11</v>
      </c>
      <c r="AE310" s="193">
        <f t="shared" si="82"/>
        <v>195016.13</v>
      </c>
      <c r="AF310" s="193">
        <f t="shared" si="91"/>
        <v>443463.62</v>
      </c>
      <c r="AG310" s="221">
        <f t="shared" si="81"/>
        <v>263023.140000001</v>
      </c>
      <c r="AH310" s="281"/>
      <c r="AI310" s="282"/>
      <c r="AJ310" s="282"/>
      <c r="AK310" s="282"/>
      <c r="AL310" s="282"/>
      <c r="AM310" s="282"/>
      <c r="AN310" s="282"/>
      <c r="AO310" s="282"/>
      <c r="AP310" s="282"/>
      <c r="AQ310" s="282"/>
      <c r="AR310" s="282"/>
      <c r="AS310" s="282"/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</row>
    <row r="311" ht="15" customHeight="1" spans="1:55">
      <c r="A311" s="189">
        <v>43041</v>
      </c>
      <c r="B311" s="184" t="s">
        <v>37</v>
      </c>
      <c r="C311" s="185">
        <v>40130</v>
      </c>
      <c r="D311" s="186">
        <f>42976+10948</f>
        <v>53924</v>
      </c>
      <c r="E311" s="186">
        <v>101874</v>
      </c>
      <c r="F311" s="187">
        <v>5068</v>
      </c>
      <c r="G311" s="186">
        <v>3245.9</v>
      </c>
      <c r="H311" s="188"/>
      <c r="I311" s="188"/>
      <c r="J311" s="214">
        <f t="shared" si="78"/>
        <v>47950</v>
      </c>
      <c r="K311" s="186">
        <v>375</v>
      </c>
      <c r="L311" s="186">
        <v>6824</v>
      </c>
      <c r="M311" s="215">
        <f t="shared" si="79"/>
        <v>621</v>
      </c>
      <c r="N311" s="216">
        <f t="shared" ref="N311:P326" si="93">C311+N310</f>
        <v>76113</v>
      </c>
      <c r="O311" s="219">
        <f t="shared" si="93"/>
        <v>106906</v>
      </c>
      <c r="P311" s="218">
        <f t="shared" si="93"/>
        <v>199124</v>
      </c>
      <c r="Q311" s="238">
        <f t="shared" ref="Q311:S338" si="94">Q$309+N311</f>
        <v>18961187.22</v>
      </c>
      <c r="R311" s="217">
        <f t="shared" si="94"/>
        <v>12518016.8</v>
      </c>
      <c r="S311" s="239">
        <f t="shared" si="94"/>
        <v>32388526.91</v>
      </c>
      <c r="T311" s="240">
        <f>N311/'2017'!N311-1</f>
        <v>-0.189355855663954</v>
      </c>
      <c r="U311" s="241">
        <f>O311/'2017'!O311-1</f>
        <v>0.124367644429486</v>
      </c>
      <c r="V311" s="241">
        <f>P311/'2017'!P311-1</f>
        <v>0.0313351357510592</v>
      </c>
      <c r="W311" s="241">
        <f>Q311/'2017'!Q311-1</f>
        <v>0.0340390949399354</v>
      </c>
      <c r="X311" s="241">
        <f>R311/'2017'!R311-1</f>
        <v>0.156973686971106</v>
      </c>
      <c r="Y311" s="262">
        <f>S311/'2017'!S311-1</f>
        <v>0.0844032710510862</v>
      </c>
      <c r="Z311" s="263"/>
      <c r="AA311" s="264">
        <f t="shared" si="85"/>
        <v>1896.118722</v>
      </c>
      <c r="AB311" s="265"/>
      <c r="AC311" s="266"/>
      <c r="AD311" s="265">
        <f t="shared" si="80"/>
        <v>19870510.11</v>
      </c>
      <c r="AE311" s="186">
        <f t="shared" si="82"/>
        <v>195391.13</v>
      </c>
      <c r="AF311" s="186">
        <f t="shared" ref="AF311:AF326" si="95">AF310+L311</f>
        <v>450287.62</v>
      </c>
      <c r="AG311" s="266">
        <f t="shared" si="81"/>
        <v>263644.140000001</v>
      </c>
      <c r="AH311" s="281"/>
      <c r="AI311" s="282"/>
      <c r="AJ311" s="282"/>
      <c r="AK311" s="282"/>
      <c r="AL311" s="282"/>
      <c r="AM311" s="282"/>
      <c r="AN311" s="282"/>
      <c r="AO311" s="282"/>
      <c r="AP311" s="282"/>
      <c r="AQ311" s="282"/>
      <c r="AR311" s="282"/>
      <c r="AS311" s="282"/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</row>
    <row r="312" ht="15" customHeight="1" spans="1:55">
      <c r="A312" s="189">
        <v>43042</v>
      </c>
      <c r="B312" s="184" t="s">
        <v>38</v>
      </c>
      <c r="C312" s="185">
        <v>41634</v>
      </c>
      <c r="D312" s="186">
        <f>40091+10913</f>
        <v>51004</v>
      </c>
      <c r="E312" s="186">
        <v>101435</v>
      </c>
      <c r="F312" s="187">
        <v>5143.5</v>
      </c>
      <c r="G312" s="186">
        <v>3334.1</v>
      </c>
      <c r="H312" s="188"/>
      <c r="I312" s="188"/>
      <c r="J312" s="214">
        <f t="shared" si="78"/>
        <v>50431</v>
      </c>
      <c r="K312" s="186">
        <v>626</v>
      </c>
      <c r="L312" s="186">
        <v>6823</v>
      </c>
      <c r="M312" s="215">
        <f t="shared" si="79"/>
        <v>1348</v>
      </c>
      <c r="N312" s="216">
        <f t="shared" si="93"/>
        <v>117747</v>
      </c>
      <c r="O312" s="219">
        <f t="shared" si="93"/>
        <v>157910</v>
      </c>
      <c r="P312" s="218">
        <f t="shared" si="93"/>
        <v>300559</v>
      </c>
      <c r="Q312" s="238">
        <f t="shared" si="94"/>
        <v>19002821.22</v>
      </c>
      <c r="R312" s="217">
        <f t="shared" si="94"/>
        <v>12569020.8</v>
      </c>
      <c r="S312" s="239">
        <f t="shared" si="94"/>
        <v>32489961.91</v>
      </c>
      <c r="T312" s="240">
        <f>N312/'2017'!N312-1</f>
        <v>-0.19554137516397</v>
      </c>
      <c r="U312" s="241">
        <f>O312/'2017'!O312-1</f>
        <v>0.134370173485148</v>
      </c>
      <c r="V312" s="241">
        <f>P312/'2017'!P312-1</f>
        <v>0.0295901973479127</v>
      </c>
      <c r="W312" s="241">
        <f>Q312/'2017'!Q312-1</f>
        <v>0.0333523854679731</v>
      </c>
      <c r="X312" s="241">
        <f>R312/'2017'!R312-1</f>
        <v>0.156969424448015</v>
      </c>
      <c r="Y312" s="262">
        <f>S312/'2017'!S312-1</f>
        <v>0.0842112226088521</v>
      </c>
      <c r="Z312" s="263"/>
      <c r="AA312" s="264">
        <f t="shared" si="85"/>
        <v>1900.282122</v>
      </c>
      <c r="AB312" s="265"/>
      <c r="AC312" s="266"/>
      <c r="AD312" s="265">
        <f t="shared" si="80"/>
        <v>19920941.11</v>
      </c>
      <c r="AE312" s="186">
        <f t="shared" si="82"/>
        <v>196017.13</v>
      </c>
      <c r="AF312" s="186">
        <f t="shared" si="95"/>
        <v>457110.62</v>
      </c>
      <c r="AG312" s="266">
        <f t="shared" si="81"/>
        <v>264992.140000001</v>
      </c>
      <c r="AH312" s="281"/>
      <c r="AI312" s="282"/>
      <c r="AJ312" s="282"/>
      <c r="AK312" s="282"/>
      <c r="AL312" s="282"/>
      <c r="AM312" s="282"/>
      <c r="AN312" s="282"/>
      <c r="AO312" s="282"/>
      <c r="AP312" s="282"/>
      <c r="AQ312" s="282"/>
      <c r="AR312" s="282"/>
      <c r="AS312" s="282"/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</row>
    <row r="313" ht="15" customHeight="1" spans="1:55">
      <c r="A313" s="189">
        <v>43043</v>
      </c>
      <c r="B313" s="184" t="s">
        <v>1</v>
      </c>
      <c r="C313" s="185">
        <v>38508</v>
      </c>
      <c r="D313" s="186">
        <f>38833+9438</f>
        <v>48271</v>
      </c>
      <c r="E313" s="186">
        <v>94889</v>
      </c>
      <c r="F313" s="187">
        <v>4568.2</v>
      </c>
      <c r="G313" s="186">
        <v>3286.3</v>
      </c>
      <c r="H313" s="188"/>
      <c r="I313" s="188"/>
      <c r="J313" s="214">
        <f t="shared" si="78"/>
        <v>46618</v>
      </c>
      <c r="K313" s="186">
        <v>535</v>
      </c>
      <c r="L313" s="186">
        <v>6824</v>
      </c>
      <c r="M313" s="215">
        <f t="shared" si="79"/>
        <v>751</v>
      </c>
      <c r="N313" s="216">
        <f t="shared" si="93"/>
        <v>156255</v>
      </c>
      <c r="O313" s="219">
        <f t="shared" si="93"/>
        <v>206181</v>
      </c>
      <c r="P313" s="218">
        <f t="shared" si="93"/>
        <v>395448</v>
      </c>
      <c r="Q313" s="238">
        <f t="shared" si="94"/>
        <v>19041329.22</v>
      </c>
      <c r="R313" s="217">
        <f t="shared" si="94"/>
        <v>12617291.8</v>
      </c>
      <c r="S313" s="239">
        <f t="shared" si="94"/>
        <v>32584850.91</v>
      </c>
      <c r="T313" s="240">
        <f>N313/'2017'!N313-1</f>
        <v>-0.210215067350704</v>
      </c>
      <c r="U313" s="241">
        <f>O313/'2017'!O313-1</f>
        <v>0.131942156927334</v>
      </c>
      <c r="V313" s="241">
        <f>P313/'2017'!P313-1</f>
        <v>0.0162518888580503</v>
      </c>
      <c r="W313" s="241">
        <f>Q313/'2017'!Q313-1</f>
        <v>0.0325560127834372</v>
      </c>
      <c r="X313" s="241">
        <f>R313/'2017'!R313-1</f>
        <v>0.156839894934191</v>
      </c>
      <c r="Y313" s="262">
        <f>S313/'2017'!S313-1</f>
        <v>0.0838619775153064</v>
      </c>
      <c r="Z313" s="263"/>
      <c r="AA313" s="264">
        <f t="shared" si="85"/>
        <v>1904.132922</v>
      </c>
      <c r="AB313" s="265"/>
      <c r="AC313" s="266"/>
      <c r="AD313" s="265">
        <f t="shared" si="80"/>
        <v>19967559.11</v>
      </c>
      <c r="AE313" s="186">
        <f t="shared" si="82"/>
        <v>196552.13</v>
      </c>
      <c r="AF313" s="186">
        <f t="shared" si="95"/>
        <v>463934.62</v>
      </c>
      <c r="AG313" s="266">
        <f t="shared" si="81"/>
        <v>265743.140000001</v>
      </c>
      <c r="AH313" s="281"/>
      <c r="AI313" s="282"/>
      <c r="AJ313" s="282"/>
      <c r="AK313" s="282"/>
      <c r="AL313" s="282"/>
      <c r="AM313" s="282"/>
      <c r="AN313" s="282"/>
      <c r="AO313" s="282"/>
      <c r="AP313" s="282"/>
      <c r="AQ313" s="282"/>
      <c r="AR313" s="282"/>
      <c r="AS313" s="282"/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</row>
    <row r="314" ht="15" customHeight="1" spans="1:55">
      <c r="A314" s="189">
        <v>43044</v>
      </c>
      <c r="B314" s="184" t="s">
        <v>39</v>
      </c>
      <c r="C314" s="185">
        <v>44638</v>
      </c>
      <c r="D314" s="186">
        <f>39300+9393</f>
        <v>48693</v>
      </c>
      <c r="E314" s="186">
        <v>100875</v>
      </c>
      <c r="F314" s="187">
        <v>5081.8</v>
      </c>
      <c r="G314" s="186">
        <v>3156.7</v>
      </c>
      <c r="H314" s="188"/>
      <c r="I314" s="188"/>
      <c r="J314" s="214">
        <f t="shared" si="78"/>
        <v>52182</v>
      </c>
      <c r="K314" s="186">
        <v>195</v>
      </c>
      <c r="L314" s="186">
        <v>6822</v>
      </c>
      <c r="M314" s="215">
        <f t="shared" si="79"/>
        <v>527</v>
      </c>
      <c r="N314" s="216">
        <f t="shared" si="93"/>
        <v>200893</v>
      </c>
      <c r="O314" s="219">
        <f t="shared" si="93"/>
        <v>254874</v>
      </c>
      <c r="P314" s="218">
        <f t="shared" si="93"/>
        <v>496323</v>
      </c>
      <c r="Q314" s="238">
        <f t="shared" si="94"/>
        <v>19085967.22</v>
      </c>
      <c r="R314" s="217">
        <f t="shared" si="94"/>
        <v>12665984.8</v>
      </c>
      <c r="S314" s="239">
        <f t="shared" si="94"/>
        <v>32685725.91</v>
      </c>
      <c r="T314" s="240">
        <f>N314/'2017'!N314-1</f>
        <v>-0.199683686762251</v>
      </c>
      <c r="U314" s="241">
        <f>O314/'2017'!O314-1</f>
        <v>0.152571958306012</v>
      </c>
      <c r="V314" s="241">
        <f>P314/'2017'!P314-1</f>
        <v>0.0260119072228884</v>
      </c>
      <c r="W314" s="241">
        <f>Q314/'2017'!Q314-1</f>
        <v>0.0320009683198554</v>
      </c>
      <c r="X314" s="241">
        <f>R314/'2017'!R314-1</f>
        <v>0.157167995578162</v>
      </c>
      <c r="Y314" s="262">
        <f>S314/'2017'!S314-1</f>
        <v>0.0838064144842177</v>
      </c>
      <c r="Z314" s="263"/>
      <c r="AA314" s="264">
        <f t="shared" si="85"/>
        <v>1908.596722</v>
      </c>
      <c r="AB314" s="265"/>
      <c r="AC314" s="266"/>
      <c r="AD314" s="265">
        <f t="shared" si="80"/>
        <v>20019741.11</v>
      </c>
      <c r="AE314" s="186">
        <f t="shared" si="82"/>
        <v>196747.13</v>
      </c>
      <c r="AF314" s="186">
        <f t="shared" si="95"/>
        <v>470756.62</v>
      </c>
      <c r="AG314" s="266">
        <f t="shared" si="81"/>
        <v>266270.140000001</v>
      </c>
      <c r="AH314" s="281"/>
      <c r="AI314" s="282"/>
      <c r="AJ314" s="282"/>
      <c r="AK314" s="282"/>
      <c r="AL314" s="282"/>
      <c r="AM314" s="282"/>
      <c r="AN314" s="282"/>
      <c r="AO314" s="282"/>
      <c r="AP314" s="282"/>
      <c r="AQ314" s="282"/>
      <c r="AR314" s="282"/>
      <c r="AS314" s="282"/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</row>
    <row r="315" ht="15" customHeight="1" spans="1:55">
      <c r="A315" s="189">
        <v>43045</v>
      </c>
      <c r="B315" s="184" t="s">
        <v>34</v>
      </c>
      <c r="C315" s="185">
        <v>45573</v>
      </c>
      <c r="D315" s="186">
        <f>40444+9464</f>
        <v>49908</v>
      </c>
      <c r="E315" s="186">
        <v>102976</v>
      </c>
      <c r="F315" s="187">
        <v>5210.9</v>
      </c>
      <c r="G315" s="186">
        <v>3347.7</v>
      </c>
      <c r="H315" s="188"/>
      <c r="I315" s="188"/>
      <c r="J315" s="214">
        <f t="shared" si="78"/>
        <v>53068</v>
      </c>
      <c r="K315" s="186">
        <v>239</v>
      </c>
      <c r="L315" s="186">
        <v>6817</v>
      </c>
      <c r="M315" s="215">
        <f t="shared" si="79"/>
        <v>439</v>
      </c>
      <c r="N315" s="216">
        <f t="shared" si="93"/>
        <v>246466</v>
      </c>
      <c r="O315" s="219">
        <f t="shared" si="93"/>
        <v>304782</v>
      </c>
      <c r="P315" s="218">
        <f t="shared" si="93"/>
        <v>599299</v>
      </c>
      <c r="Q315" s="238">
        <f t="shared" si="94"/>
        <v>19131540.22</v>
      </c>
      <c r="R315" s="217">
        <f t="shared" si="94"/>
        <v>12715892.8</v>
      </c>
      <c r="S315" s="239">
        <f t="shared" si="94"/>
        <v>32788701.91</v>
      </c>
      <c r="T315" s="240">
        <f>N315/'2017'!N315-1</f>
        <v>-0.197205302758868</v>
      </c>
      <c r="U315" s="241">
        <f>O315/'2017'!O315-1</f>
        <v>0.156466043878488</v>
      </c>
      <c r="V315" s="241">
        <f>P315/'2017'!P315-1</f>
        <v>0.0261108228932847</v>
      </c>
      <c r="W315" s="241">
        <f>Q315/'2017'!Q315-1</f>
        <v>0.0313426532425372</v>
      </c>
      <c r="X315" s="241">
        <f>R315/'2017'!R315-1</f>
        <v>0.157243654627385</v>
      </c>
      <c r="Y315" s="262">
        <f>S315/'2017'!S315-1</f>
        <v>0.083616731494494</v>
      </c>
      <c r="Z315" s="263"/>
      <c r="AA315" s="264">
        <f t="shared" si="85"/>
        <v>1913.154022</v>
      </c>
      <c r="AB315" s="265"/>
      <c r="AC315" s="266"/>
      <c r="AD315" s="265">
        <f t="shared" si="80"/>
        <v>20072809.11</v>
      </c>
      <c r="AE315" s="186">
        <f t="shared" si="82"/>
        <v>196986.13</v>
      </c>
      <c r="AF315" s="186">
        <f t="shared" si="95"/>
        <v>477573.62</v>
      </c>
      <c r="AG315" s="266">
        <f t="shared" si="81"/>
        <v>266709.140000001</v>
      </c>
      <c r="AH315" s="281"/>
      <c r="AI315" s="282"/>
      <c r="AJ315" s="282"/>
      <c r="AK315" s="282"/>
      <c r="AL315" s="282"/>
      <c r="AM315" s="282"/>
      <c r="AN315" s="282"/>
      <c r="AO315" s="282"/>
      <c r="AP315" s="282"/>
      <c r="AQ315" s="282"/>
      <c r="AR315" s="282"/>
      <c r="AS315" s="282"/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</row>
    <row r="316" ht="15" customHeight="1" spans="1:55">
      <c r="A316" s="189">
        <v>43046</v>
      </c>
      <c r="B316" s="184" t="s">
        <v>35</v>
      </c>
      <c r="C316" s="185">
        <v>46303</v>
      </c>
      <c r="D316" s="186">
        <v>49606</v>
      </c>
      <c r="E316" s="186">
        <v>103690</v>
      </c>
      <c r="F316" s="187">
        <v>5259</v>
      </c>
      <c r="G316" s="186">
        <v>3378</v>
      </c>
      <c r="H316" s="188"/>
      <c r="I316" s="188"/>
      <c r="J316" s="214">
        <f t="shared" si="78"/>
        <v>54084</v>
      </c>
      <c r="K316" s="186">
        <v>596</v>
      </c>
      <c r="L316" s="186">
        <v>6816</v>
      </c>
      <c r="M316" s="215">
        <f t="shared" si="79"/>
        <v>369</v>
      </c>
      <c r="N316" s="216">
        <f t="shared" si="93"/>
        <v>292769</v>
      </c>
      <c r="O316" s="219">
        <f t="shared" si="93"/>
        <v>354388</v>
      </c>
      <c r="P316" s="218">
        <f t="shared" si="93"/>
        <v>702989</v>
      </c>
      <c r="Q316" s="238">
        <f t="shared" si="94"/>
        <v>19177843.22</v>
      </c>
      <c r="R316" s="217">
        <f t="shared" si="94"/>
        <v>12765498.8</v>
      </c>
      <c r="S316" s="239">
        <f t="shared" si="94"/>
        <v>32892391.91</v>
      </c>
      <c r="T316" s="240">
        <f>N316/'2017'!N316-1</f>
        <v>-0.206015718648131</v>
      </c>
      <c r="U316" s="241">
        <f>O316/'2017'!O316-1</f>
        <v>0.170288718417811</v>
      </c>
      <c r="V316" s="241">
        <f>P316/'2017'!P316-1</f>
        <v>0.0243785509552517</v>
      </c>
      <c r="W316" s="241">
        <f>Q316/'2017'!Q316-1</f>
        <v>0.0304101510858998</v>
      </c>
      <c r="X316" s="241">
        <f>R316/'2017'!R316-1</f>
        <v>0.157620467852644</v>
      </c>
      <c r="Y316" s="262">
        <f>S316/'2017'!S316-1</f>
        <v>0.0833839817379727</v>
      </c>
      <c r="Z316" s="263"/>
      <c r="AA316" s="264">
        <f t="shared" si="85"/>
        <v>1917.784322</v>
      </c>
      <c r="AB316" s="265"/>
      <c r="AC316" s="266"/>
      <c r="AD316" s="265">
        <f t="shared" si="80"/>
        <v>20126893.11</v>
      </c>
      <c r="AE316" s="186">
        <f t="shared" si="82"/>
        <v>197582.13</v>
      </c>
      <c r="AF316" s="186">
        <f t="shared" si="95"/>
        <v>484389.62</v>
      </c>
      <c r="AG316" s="266">
        <f t="shared" si="81"/>
        <v>267078.140000001</v>
      </c>
      <c r="AH316" s="281"/>
      <c r="AI316" s="282"/>
      <c r="AJ316" s="282"/>
      <c r="AK316" s="282"/>
      <c r="AL316" s="282"/>
      <c r="AM316" s="282"/>
      <c r="AN316" s="282"/>
      <c r="AO316" s="282"/>
      <c r="AP316" s="282"/>
      <c r="AQ316" s="282"/>
      <c r="AR316" s="282"/>
      <c r="AS316" s="282"/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</row>
    <row r="317" s="163" customFormat="1" ht="15" customHeight="1" spans="1:55">
      <c r="A317" s="190">
        <v>43047</v>
      </c>
      <c r="B317" s="191" t="s">
        <v>36</v>
      </c>
      <c r="C317" s="192">
        <v>46164</v>
      </c>
      <c r="D317" s="193">
        <v>49960</v>
      </c>
      <c r="E317" s="193">
        <v>104098</v>
      </c>
      <c r="F317" s="194">
        <v>5312</v>
      </c>
      <c r="G317" s="193">
        <v>3350</v>
      </c>
      <c r="H317" s="195"/>
      <c r="I317" s="195"/>
      <c r="J317" s="220">
        <f t="shared" si="78"/>
        <v>54138</v>
      </c>
      <c r="K317" s="193">
        <v>504</v>
      </c>
      <c r="L317" s="193">
        <v>6814</v>
      </c>
      <c r="M317" s="221">
        <f t="shared" si="79"/>
        <v>656</v>
      </c>
      <c r="N317" s="222">
        <f>C317+N316</f>
        <v>338933</v>
      </c>
      <c r="O317" s="225">
        <f t="shared" si="93"/>
        <v>404348</v>
      </c>
      <c r="P317" s="224">
        <f t="shared" si="93"/>
        <v>807087</v>
      </c>
      <c r="Q317" s="242">
        <f t="shared" si="94"/>
        <v>19224007.22</v>
      </c>
      <c r="R317" s="223">
        <f t="shared" si="94"/>
        <v>12815458.8</v>
      </c>
      <c r="S317" s="243">
        <f t="shared" si="94"/>
        <v>32996489.91</v>
      </c>
      <c r="T317" s="244">
        <f>N317/'2017'!N317-1</f>
        <v>-0.211684723197797</v>
      </c>
      <c r="U317" s="245">
        <f>O317/'2017'!O317-1</f>
        <v>0.186773580032403</v>
      </c>
      <c r="V317" s="245">
        <f>P317/'2017'!P317-1</f>
        <v>0.0255000520953776</v>
      </c>
      <c r="W317" s="245">
        <f>Q317/'2017'!Q317-1</f>
        <v>0.0295045972667436</v>
      </c>
      <c r="X317" s="245">
        <f>R317/'2017'!R317-1</f>
        <v>0.158171436131775</v>
      </c>
      <c r="Y317" s="267">
        <f>S317/'2017'!S317-1</f>
        <v>0.0832177824790679</v>
      </c>
      <c r="Z317" s="268">
        <v>114.18</v>
      </c>
      <c r="AA317" s="269">
        <f t="shared" si="85"/>
        <v>1808.220722</v>
      </c>
      <c r="AB317" s="270">
        <v>4286.88</v>
      </c>
      <c r="AC317" s="221">
        <f t="shared" si="87"/>
        <v>4218.03437931549</v>
      </c>
      <c r="AD317" s="270">
        <f t="shared" si="80"/>
        <v>20181031.11</v>
      </c>
      <c r="AE317" s="193">
        <f t="shared" si="82"/>
        <v>198086.13</v>
      </c>
      <c r="AF317" s="193">
        <f t="shared" si="95"/>
        <v>491203.62</v>
      </c>
      <c r="AG317" s="221">
        <f t="shared" si="81"/>
        <v>267734.140000001</v>
      </c>
      <c r="AH317" s="281"/>
      <c r="AI317" s="282"/>
      <c r="AJ317" s="282"/>
      <c r="AK317" s="282"/>
      <c r="AL317" s="282"/>
      <c r="AM317" s="282"/>
      <c r="AN317" s="282"/>
      <c r="AO317" s="282"/>
      <c r="AP317" s="282"/>
      <c r="AQ317" s="282"/>
      <c r="AR317" s="282"/>
      <c r="AS317" s="282"/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</row>
    <row r="318" ht="15" customHeight="1" spans="1:55">
      <c r="A318" s="189">
        <v>43048</v>
      </c>
      <c r="B318" s="184" t="s">
        <v>37</v>
      </c>
      <c r="C318" s="185">
        <f>36855+6980</f>
        <v>43835</v>
      </c>
      <c r="D318" s="186">
        <f>38114+11342</f>
        <v>49456</v>
      </c>
      <c r="E318" s="186">
        <f>63564+38114</f>
        <v>101678</v>
      </c>
      <c r="F318" s="187">
        <v>4982</v>
      </c>
      <c r="G318" s="186">
        <v>3339</v>
      </c>
      <c r="H318" s="188"/>
      <c r="I318" s="188"/>
      <c r="J318" s="214">
        <f t="shared" si="78"/>
        <v>52222</v>
      </c>
      <c r="K318" s="186">
        <v>518</v>
      </c>
      <c r="L318" s="186">
        <v>6814</v>
      </c>
      <c r="M318" s="215">
        <f t="shared" si="79"/>
        <v>1055</v>
      </c>
      <c r="N318" s="216">
        <f>C318+N317</f>
        <v>382768</v>
      </c>
      <c r="O318" s="219">
        <f t="shared" si="93"/>
        <v>453804</v>
      </c>
      <c r="P318" s="218">
        <f t="shared" si="93"/>
        <v>908765</v>
      </c>
      <c r="Q318" s="238">
        <f>Q$309+N318</f>
        <v>19267842.22</v>
      </c>
      <c r="R318" s="217">
        <f t="shared" si="94"/>
        <v>12864914.8</v>
      </c>
      <c r="S318" s="239">
        <f t="shared" si="94"/>
        <v>33098167.91</v>
      </c>
      <c r="T318" s="240">
        <f>N318/'2017'!N318-1</f>
        <v>-0.221134495760444</v>
      </c>
      <c r="U318" s="241">
        <f>O318/'2017'!O318-1</f>
        <v>0.201143431883751</v>
      </c>
      <c r="V318" s="241">
        <f>P318/'2017'!P318-1</f>
        <v>0.0238821138211383</v>
      </c>
      <c r="W318" s="241">
        <f>Q318/'2017'!Q318-1</f>
        <v>0.0284649976619444</v>
      </c>
      <c r="X318" s="241">
        <f>R318/'2017'!R318-1</f>
        <v>0.158756011114764</v>
      </c>
      <c r="Y318" s="262">
        <f>S318/'2017'!S318-1</f>
        <v>0.0829809025321504</v>
      </c>
      <c r="Z318" s="263"/>
      <c r="AA318" s="327">
        <f t="shared" si="85"/>
        <v>1926.784222</v>
      </c>
      <c r="AB318" s="328"/>
      <c r="AC318" s="215"/>
      <c r="AD318" s="265">
        <f t="shared" si="80"/>
        <v>20233253.11</v>
      </c>
      <c r="AE318" s="186">
        <f t="shared" si="82"/>
        <v>198604.13</v>
      </c>
      <c r="AF318" s="186">
        <f t="shared" si="95"/>
        <v>498017.62</v>
      </c>
      <c r="AG318" s="266">
        <f t="shared" si="81"/>
        <v>268789.140000001</v>
      </c>
      <c r="AH318" s="281"/>
      <c r="AI318" s="282"/>
      <c r="AJ318" s="282"/>
      <c r="AK318" s="282"/>
      <c r="AL318" s="282"/>
      <c r="AM318" s="282"/>
      <c r="AN318" s="282"/>
      <c r="AO318" s="282"/>
      <c r="AP318" s="282"/>
      <c r="AQ318" s="282"/>
      <c r="AR318" s="282"/>
      <c r="AS318" s="282"/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</row>
    <row r="319" ht="15" customHeight="1" spans="1:55">
      <c r="A319" s="189">
        <v>43049</v>
      </c>
      <c r="B319" s="184" t="s">
        <v>38</v>
      </c>
      <c r="C319" s="185">
        <f>35902+7928</f>
        <v>43830</v>
      </c>
      <c r="D319" s="186">
        <f>37040+11373</f>
        <v>48413</v>
      </c>
      <c r="E319" s="186">
        <f>63185+37040</f>
        <v>100225</v>
      </c>
      <c r="F319" s="187">
        <v>4941</v>
      </c>
      <c r="G319" s="186">
        <v>3367</v>
      </c>
      <c r="H319" s="188"/>
      <c r="I319" s="188"/>
      <c r="J319" s="214">
        <f t="shared" si="78"/>
        <v>51812</v>
      </c>
      <c r="K319" s="186">
        <v>366</v>
      </c>
      <c r="L319" s="186">
        <v>6822</v>
      </c>
      <c r="M319" s="215">
        <f t="shared" si="79"/>
        <v>794</v>
      </c>
      <c r="N319" s="216">
        <f t="shared" si="93"/>
        <v>426598</v>
      </c>
      <c r="O319" s="219">
        <f t="shared" si="93"/>
        <v>502217</v>
      </c>
      <c r="P319" s="218">
        <f t="shared" si="93"/>
        <v>1008990</v>
      </c>
      <c r="Q319" s="238">
        <f t="shared" si="94"/>
        <v>19311672.22</v>
      </c>
      <c r="R319" s="217">
        <f t="shared" si="94"/>
        <v>12913327.8</v>
      </c>
      <c r="S319" s="239">
        <f t="shared" si="94"/>
        <v>33198392.91</v>
      </c>
      <c r="T319" s="240">
        <f>N319/'2017'!N319-1</f>
        <v>-0.231047373904517</v>
      </c>
      <c r="U319" s="241">
        <f>O319/'2017'!O319-1</f>
        <v>0.211463404043864</v>
      </c>
      <c r="V319" s="241">
        <f>P319/'2017'!P319-1</f>
        <v>0.0200524690265933</v>
      </c>
      <c r="W319" s="241">
        <f>Q319/'2017'!Q319-1</f>
        <v>0.0273314756742058</v>
      </c>
      <c r="X319" s="241">
        <f>R319/'2017'!R319-1</f>
        <v>0.159279901938165</v>
      </c>
      <c r="Y319" s="262">
        <f>S319/'2017'!S319-1</f>
        <v>0.082661574274238</v>
      </c>
      <c r="Z319" s="263"/>
      <c r="AA319" s="264">
        <f t="shared" si="85"/>
        <v>1931.167222</v>
      </c>
      <c r="AB319" s="265"/>
      <c r="AC319" s="266"/>
      <c r="AD319" s="265">
        <f t="shared" si="80"/>
        <v>20285065.11</v>
      </c>
      <c r="AE319" s="186">
        <f t="shared" si="82"/>
        <v>198970.13</v>
      </c>
      <c r="AF319" s="186">
        <f t="shared" si="95"/>
        <v>504839.62</v>
      </c>
      <c r="AG319" s="266">
        <f t="shared" si="81"/>
        <v>269583.140000001</v>
      </c>
      <c r="AH319" s="281"/>
      <c r="AI319" s="282"/>
      <c r="AJ319" s="282"/>
      <c r="AK319" s="282"/>
      <c r="AL319" s="282"/>
      <c r="AM319" s="282"/>
      <c r="AN319" s="282"/>
      <c r="AO319" s="282"/>
      <c r="AP319" s="282"/>
      <c r="AQ319" s="282"/>
      <c r="AR319" s="282"/>
      <c r="AS319" s="282"/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</row>
    <row r="320" ht="15" customHeight="1" spans="1:55">
      <c r="A320" s="189">
        <v>43050</v>
      </c>
      <c r="B320" s="184" t="s">
        <v>1</v>
      </c>
      <c r="C320" s="185">
        <f>35259+5194</f>
        <v>40453</v>
      </c>
      <c r="D320" s="186">
        <f>35689+11351</f>
        <v>47040</v>
      </c>
      <c r="E320" s="186">
        <f>59515+35689</f>
        <v>95204</v>
      </c>
      <c r="F320" s="187">
        <v>4606</v>
      </c>
      <c r="G320" s="186">
        <v>3277</v>
      </c>
      <c r="H320" s="188"/>
      <c r="I320" s="188"/>
      <c r="J320" s="214">
        <f t="shared" si="78"/>
        <v>48164</v>
      </c>
      <c r="K320" s="186">
        <v>274</v>
      </c>
      <c r="L320" s="186">
        <v>6823</v>
      </c>
      <c r="M320" s="215">
        <f t="shared" si="79"/>
        <v>614</v>
      </c>
      <c r="N320" s="216">
        <f t="shared" si="93"/>
        <v>467051</v>
      </c>
      <c r="O320" s="219">
        <f t="shared" si="93"/>
        <v>549257</v>
      </c>
      <c r="P320" s="218">
        <f t="shared" si="93"/>
        <v>1104194</v>
      </c>
      <c r="Q320" s="238">
        <f t="shared" si="94"/>
        <v>19352125.22</v>
      </c>
      <c r="R320" s="217">
        <f t="shared" si="94"/>
        <v>12960367.8</v>
      </c>
      <c r="S320" s="239">
        <f t="shared" si="94"/>
        <v>33293596.91</v>
      </c>
      <c r="T320" s="240">
        <f>N320/'2017'!N320-1</f>
        <v>-0.241581171182582</v>
      </c>
      <c r="U320" s="241">
        <f>O320/'2017'!O320-1</f>
        <v>0.217311421637615</v>
      </c>
      <c r="V320" s="241">
        <f>P320/'2017'!P320-1</f>
        <v>0.0142856880406965</v>
      </c>
      <c r="W320" s="241">
        <f>Q320/'2017'!Q320-1</f>
        <v>0.0261511643564405</v>
      </c>
      <c r="X320" s="241">
        <f>R320/'2017'!R320-1</f>
        <v>0.159687143899579</v>
      </c>
      <c r="Y320" s="262">
        <f>S320/'2017'!S320-1</f>
        <v>0.0822550247723843</v>
      </c>
      <c r="Z320" s="263"/>
      <c r="AA320" s="264">
        <f t="shared" si="85"/>
        <v>1935.212522</v>
      </c>
      <c r="AB320" s="265"/>
      <c r="AC320" s="266"/>
      <c r="AD320" s="265">
        <f t="shared" si="80"/>
        <v>20333229.11</v>
      </c>
      <c r="AE320" s="186">
        <f t="shared" si="82"/>
        <v>199244.13</v>
      </c>
      <c r="AF320" s="186">
        <f t="shared" si="95"/>
        <v>511662.62</v>
      </c>
      <c r="AG320" s="266">
        <f t="shared" si="81"/>
        <v>270197.140000001</v>
      </c>
      <c r="AH320" s="281"/>
      <c r="AI320" s="282"/>
      <c r="AJ320" s="282"/>
      <c r="AK320" s="282"/>
      <c r="AL320" s="282"/>
      <c r="AM320" s="282"/>
      <c r="AN320" s="282"/>
      <c r="AO320" s="282"/>
      <c r="AP320" s="282"/>
      <c r="AQ320" s="282"/>
      <c r="AR320" s="282"/>
      <c r="AS320" s="282"/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</row>
    <row r="321" spans="1:55">
      <c r="A321" s="189">
        <v>43051</v>
      </c>
      <c r="B321" s="184" t="s">
        <v>39</v>
      </c>
      <c r="C321" s="185">
        <f>40146+7890</f>
        <v>48036</v>
      </c>
      <c r="D321" s="187">
        <f>36235+11062</f>
        <v>47297</v>
      </c>
      <c r="E321" s="186">
        <f>66463+36235</f>
        <v>102698</v>
      </c>
      <c r="F321" s="166">
        <v>5279</v>
      </c>
      <c r="G321" s="186">
        <v>3155</v>
      </c>
      <c r="H321" s="188"/>
      <c r="I321" s="188"/>
      <c r="J321" s="214">
        <f t="shared" si="78"/>
        <v>55401</v>
      </c>
      <c r="K321" s="186">
        <v>213</v>
      </c>
      <c r="L321" s="186">
        <v>6823</v>
      </c>
      <c r="M321" s="215">
        <f t="shared" si="79"/>
        <v>329</v>
      </c>
      <c r="N321" s="216">
        <f t="shared" si="93"/>
        <v>515087</v>
      </c>
      <c r="O321" s="219">
        <f t="shared" si="93"/>
        <v>596554</v>
      </c>
      <c r="P321" s="218">
        <f>E321+P320</f>
        <v>1206892</v>
      </c>
      <c r="Q321" s="238">
        <f t="shared" si="94"/>
        <v>19400161.22</v>
      </c>
      <c r="R321" s="217">
        <f t="shared" si="94"/>
        <v>13007664.8</v>
      </c>
      <c r="S321" s="239">
        <f t="shared" si="94"/>
        <v>33396294.91</v>
      </c>
      <c r="T321" s="240">
        <f>N321/'2017'!N321-1</f>
        <v>-0.23301755869775</v>
      </c>
      <c r="U321" s="241">
        <f>O321/'2017'!O321-1</f>
        <v>0.217554050220324</v>
      </c>
      <c r="V321" s="241">
        <f>P321/'2017'!P321-1</f>
        <v>0.0187657059698936</v>
      </c>
      <c r="W321" s="241">
        <f>Q321/'2017'!Q321-1</f>
        <v>0.0256660372335151</v>
      </c>
      <c r="X321" s="241">
        <f>R321/'2017'!R321-1</f>
        <v>0.159896887075047</v>
      </c>
      <c r="Y321" s="262">
        <f>S321/'2017'!S321-1</f>
        <v>0.0822155212985494</v>
      </c>
      <c r="Z321" s="263">
        <v>117.02</v>
      </c>
      <c r="AA321" s="264">
        <f t="shared" si="85"/>
        <v>1822.996122</v>
      </c>
      <c r="AB321" s="265"/>
      <c r="AC321" s="266"/>
      <c r="AD321" s="265">
        <f t="shared" si="80"/>
        <v>20388630.11</v>
      </c>
      <c r="AE321" s="186">
        <f t="shared" si="82"/>
        <v>199457.13</v>
      </c>
      <c r="AF321" s="186">
        <f t="shared" si="95"/>
        <v>518485.62</v>
      </c>
      <c r="AG321" s="266">
        <f t="shared" si="81"/>
        <v>270526.140000001</v>
      </c>
      <c r="AH321" s="281"/>
      <c r="AI321" s="282"/>
      <c r="AJ321" s="282"/>
      <c r="AK321" s="282"/>
      <c r="AL321" s="282"/>
      <c r="AM321" s="282"/>
      <c r="AN321" s="282"/>
      <c r="AO321" s="282"/>
      <c r="AP321" s="282"/>
      <c r="AQ321" s="282"/>
      <c r="AR321" s="282"/>
      <c r="AS321" s="282"/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</row>
    <row r="322" spans="1:55">
      <c r="A322" s="189">
        <v>43052</v>
      </c>
      <c r="B322" s="184" t="s">
        <v>34</v>
      </c>
      <c r="C322" s="185">
        <f>34466+7885</f>
        <v>42351</v>
      </c>
      <c r="D322" s="165">
        <f>41149+10808</f>
        <v>51957</v>
      </c>
      <c r="E322" s="186">
        <f>61242+41149</f>
        <v>102391</v>
      </c>
      <c r="F322" s="187">
        <v>5091</v>
      </c>
      <c r="G322" s="186">
        <v>3325</v>
      </c>
      <c r="H322" s="188"/>
      <c r="I322" s="188"/>
      <c r="J322" s="214">
        <f t="shared" si="78"/>
        <v>50434</v>
      </c>
      <c r="K322" s="186">
        <v>449</v>
      </c>
      <c r="L322" s="186">
        <v>6830</v>
      </c>
      <c r="M322" s="215">
        <f t="shared" si="79"/>
        <v>804</v>
      </c>
      <c r="N322" s="216">
        <f t="shared" si="93"/>
        <v>557438</v>
      </c>
      <c r="O322" s="219">
        <f t="shared" si="93"/>
        <v>648511</v>
      </c>
      <c r="P322" s="218">
        <f t="shared" si="93"/>
        <v>1309283</v>
      </c>
      <c r="Q322" s="238">
        <f t="shared" si="94"/>
        <v>19442512.22</v>
      </c>
      <c r="R322" s="217">
        <f t="shared" si="94"/>
        <v>13059621.8</v>
      </c>
      <c r="S322" s="239">
        <f t="shared" si="94"/>
        <v>33498685.91</v>
      </c>
      <c r="T322" s="240">
        <f>N322/'2017'!N322-1</f>
        <v>-0.239246941296085</v>
      </c>
      <c r="U322" s="241">
        <f>O322/'2017'!O322-1</f>
        <v>0.22902030644443</v>
      </c>
      <c r="V322" s="241">
        <f>P322/'2017'!P322-1</f>
        <v>0.0188925187897955</v>
      </c>
      <c r="W322" s="241">
        <f>Q322/'2017'!Q322-1</f>
        <v>0.0245916216057298</v>
      </c>
      <c r="X322" s="241">
        <f>R322/'2017'!R322-1</f>
        <v>0.160627788064651</v>
      </c>
      <c r="Y322" s="262">
        <f>S322/'2017'!S322-1</f>
        <v>0.0820151333925645</v>
      </c>
      <c r="Z322" s="263">
        <v>117.8</v>
      </c>
      <c r="AA322" s="264">
        <f t="shared" si="85"/>
        <v>1826.451222</v>
      </c>
      <c r="AB322" s="265"/>
      <c r="AC322" s="266"/>
      <c r="AD322" s="265">
        <f t="shared" si="80"/>
        <v>20439064.11</v>
      </c>
      <c r="AE322" s="186">
        <f t="shared" si="82"/>
        <v>199906.13</v>
      </c>
      <c r="AF322" s="186">
        <f t="shared" si="95"/>
        <v>525315.62</v>
      </c>
      <c r="AG322" s="266">
        <f t="shared" si="81"/>
        <v>271330.140000001</v>
      </c>
      <c r="AH322" s="281"/>
      <c r="AI322" s="282"/>
      <c r="AJ322" s="282"/>
      <c r="AK322" s="282"/>
      <c r="AL322" s="282"/>
      <c r="AM322" s="282"/>
      <c r="AN322" s="282"/>
      <c r="AO322" s="282"/>
      <c r="AP322" s="282"/>
      <c r="AQ322" s="282"/>
      <c r="AR322" s="282"/>
      <c r="AS322" s="282"/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</row>
    <row r="323" spans="1:55">
      <c r="A323" s="189">
        <v>43053</v>
      </c>
      <c r="B323" s="184" t="s">
        <v>35</v>
      </c>
      <c r="C323" s="185">
        <f>37079+7688</f>
        <v>44767</v>
      </c>
      <c r="D323" s="186">
        <f>40703+10850</f>
        <v>51553</v>
      </c>
      <c r="E323" s="186">
        <f>63372+40703</f>
        <v>104075</v>
      </c>
      <c r="F323" s="187">
        <v>5241</v>
      </c>
      <c r="G323" s="186">
        <v>3365</v>
      </c>
      <c r="H323" s="188"/>
      <c r="I323" s="188"/>
      <c r="J323" s="214">
        <f t="shared" si="78"/>
        <v>52522</v>
      </c>
      <c r="K323" s="186">
        <v>414</v>
      </c>
      <c r="L323" s="186">
        <v>6831</v>
      </c>
      <c r="M323" s="215">
        <f t="shared" si="79"/>
        <v>510</v>
      </c>
      <c r="N323" s="216">
        <f t="shared" si="93"/>
        <v>602205</v>
      </c>
      <c r="O323" s="219">
        <f t="shared" si="93"/>
        <v>700064</v>
      </c>
      <c r="P323" s="218">
        <f t="shared" si="93"/>
        <v>1413358</v>
      </c>
      <c r="Q323" s="238">
        <f t="shared" si="94"/>
        <v>19487279.22</v>
      </c>
      <c r="R323" s="217">
        <f t="shared" si="94"/>
        <v>13111174.8</v>
      </c>
      <c r="S323" s="239">
        <f t="shared" si="94"/>
        <v>33602760.91</v>
      </c>
      <c r="T323" s="240">
        <f>N323/'2017'!N323-1</f>
        <v>-0.245145253805579</v>
      </c>
      <c r="U323" s="241">
        <f>O323/'2017'!O323-1</f>
        <v>0.240880803024636</v>
      </c>
      <c r="V323" s="241">
        <f>P323/'2017'!P323-1</f>
        <v>0.0182606490433801</v>
      </c>
      <c r="W323" s="241">
        <f>Q323/'2017'!Q323-1</f>
        <v>0.0234433973926982</v>
      </c>
      <c r="X323" s="241">
        <f>R323/'2017'!R323-1</f>
        <v>0.16144167795302</v>
      </c>
      <c r="Y323" s="262">
        <f>S323/'2017'!S323-1</f>
        <v>0.0817775787534676</v>
      </c>
      <c r="Z323" s="263"/>
      <c r="AA323" s="264">
        <f t="shared" si="85"/>
        <v>1948.727922</v>
      </c>
      <c r="AB323" s="265"/>
      <c r="AC323" s="266"/>
      <c r="AD323" s="265">
        <f t="shared" si="80"/>
        <v>20491586.11</v>
      </c>
      <c r="AE323" s="186">
        <f t="shared" si="82"/>
        <v>200320.13</v>
      </c>
      <c r="AF323" s="186">
        <f t="shared" si="95"/>
        <v>532146.62</v>
      </c>
      <c r="AG323" s="266">
        <f t="shared" si="81"/>
        <v>271840.139999997</v>
      </c>
      <c r="AH323" s="281"/>
      <c r="AI323" s="282"/>
      <c r="AJ323" s="282"/>
      <c r="AK323" s="282"/>
      <c r="AL323" s="282"/>
      <c r="AM323" s="282"/>
      <c r="AN323" s="282"/>
      <c r="AO323" s="282"/>
      <c r="AP323" s="282"/>
      <c r="AQ323" s="282"/>
      <c r="AR323" s="282"/>
      <c r="AS323" s="282"/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</row>
    <row r="324" s="163" customFormat="1" spans="1:55">
      <c r="A324" s="190">
        <v>43054</v>
      </c>
      <c r="B324" s="191" t="s">
        <v>36</v>
      </c>
      <c r="C324" s="192">
        <f>38283+7150</f>
        <v>45433</v>
      </c>
      <c r="D324" s="193">
        <f>11375+40097</f>
        <v>51472</v>
      </c>
      <c r="E324" s="193">
        <f>64300+40097</f>
        <v>104397</v>
      </c>
      <c r="F324" s="194">
        <v>5287</v>
      </c>
      <c r="G324" s="193">
        <v>3370</v>
      </c>
      <c r="H324" s="195"/>
      <c r="I324" s="195"/>
      <c r="J324" s="220">
        <f t="shared" si="78"/>
        <v>52925</v>
      </c>
      <c r="K324" s="193">
        <v>370</v>
      </c>
      <c r="L324" s="193">
        <v>6806</v>
      </c>
      <c r="M324" s="221">
        <f t="shared" si="79"/>
        <v>316</v>
      </c>
      <c r="N324" s="222">
        <f t="shared" si="93"/>
        <v>647638</v>
      </c>
      <c r="O324" s="225">
        <f t="shared" si="93"/>
        <v>751536</v>
      </c>
      <c r="P324" s="224">
        <f t="shared" si="93"/>
        <v>1517755</v>
      </c>
      <c r="Q324" s="242">
        <f t="shared" si="94"/>
        <v>19532712.22</v>
      </c>
      <c r="R324" s="223">
        <f t="shared" si="94"/>
        <v>13162646.8</v>
      </c>
      <c r="S324" s="243">
        <f t="shared" si="94"/>
        <v>33707157.91</v>
      </c>
      <c r="T324" s="244">
        <f>N324/'2017'!N324-1</f>
        <v>-0.245334598026752</v>
      </c>
      <c r="U324" s="245">
        <f>O324/'2017'!O324-1</f>
        <v>0.242471134388763</v>
      </c>
      <c r="V324" s="245">
        <f>P324/'2017'!P324-1</f>
        <v>0.0181853919807975</v>
      </c>
      <c r="W324" s="245">
        <f>Q324/'2017'!Q324-1</f>
        <v>0.0225855472751348</v>
      </c>
      <c r="X324" s="245">
        <f>R324/'2017'!R324-1</f>
        <v>0.161811998716262</v>
      </c>
      <c r="Y324" s="267">
        <f>S324/'2017'!S324-1</f>
        <v>0.0815648014634034</v>
      </c>
      <c r="Z324" s="268">
        <v>119.28</v>
      </c>
      <c r="AA324" s="269">
        <f t="shared" si="85"/>
        <v>1833.991222</v>
      </c>
      <c r="AB324" s="270">
        <v>4286.88</v>
      </c>
      <c r="AC324" s="221">
        <f t="shared" si="87"/>
        <v>4278.14919475236</v>
      </c>
      <c r="AD324" s="270">
        <f t="shared" si="80"/>
        <v>20544511.11</v>
      </c>
      <c r="AE324" s="193">
        <f t="shared" si="82"/>
        <v>200690.13</v>
      </c>
      <c r="AF324" s="193">
        <f t="shared" si="95"/>
        <v>538952.62</v>
      </c>
      <c r="AG324" s="221">
        <f t="shared" si="81"/>
        <v>272156.139999997</v>
      </c>
      <c r="AH324" s="281"/>
      <c r="AI324" s="282"/>
      <c r="AJ324" s="282"/>
      <c r="AK324" s="282"/>
      <c r="AL324" s="282"/>
      <c r="AM324" s="282"/>
      <c r="AN324" s="282"/>
      <c r="AO324" s="282"/>
      <c r="AP324" s="282"/>
      <c r="AQ324" s="282"/>
      <c r="AR324" s="282"/>
      <c r="AS324" s="282"/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</row>
    <row r="325" spans="1:55">
      <c r="A325" s="189">
        <v>43055</v>
      </c>
      <c r="B325" s="184" t="s">
        <v>37</v>
      </c>
      <c r="C325" s="185">
        <f>39440+8056</f>
        <v>47496</v>
      </c>
      <c r="D325" s="186">
        <f>35966+12487</f>
        <v>48453</v>
      </c>
      <c r="E325" s="186">
        <f>67707+35966</f>
        <v>103673</v>
      </c>
      <c r="F325" s="187">
        <v>5287</v>
      </c>
      <c r="G325" s="186">
        <v>3310</v>
      </c>
      <c r="H325" s="188"/>
      <c r="I325" s="188"/>
      <c r="J325" s="214">
        <f t="shared" ref="J325:J370" si="96">E325-D325</f>
        <v>55220</v>
      </c>
      <c r="K325" s="186">
        <v>397</v>
      </c>
      <c r="L325" s="186">
        <v>6834</v>
      </c>
      <c r="M325" s="215">
        <f t="shared" si="79"/>
        <v>493</v>
      </c>
      <c r="N325" s="216">
        <f t="shared" si="93"/>
        <v>695134</v>
      </c>
      <c r="O325" s="219">
        <f t="shared" si="93"/>
        <v>799989</v>
      </c>
      <c r="P325" s="218">
        <f t="shared" si="93"/>
        <v>1621428</v>
      </c>
      <c r="Q325" s="238">
        <f t="shared" si="94"/>
        <v>19580208.22</v>
      </c>
      <c r="R325" s="217">
        <f t="shared" si="94"/>
        <v>13211099.8</v>
      </c>
      <c r="S325" s="239">
        <f t="shared" si="94"/>
        <v>33810830.91</v>
      </c>
      <c r="T325" s="240">
        <f>N325/'2017'!N325-1</f>
        <v>-0.245516027251701</v>
      </c>
      <c r="U325" s="241">
        <f>O325/'2017'!O325-1</f>
        <v>0.245760851115516</v>
      </c>
      <c r="V325" s="241">
        <f>P325/'2017'!P325-1</f>
        <v>0.0180040583844816</v>
      </c>
      <c r="W325" s="241">
        <f>Q325/'2017'!Q325-1</f>
        <v>0.0216938727519684</v>
      </c>
      <c r="X325" s="241">
        <f>R325/'2017'!R325-1</f>
        <v>0.162262515913797</v>
      </c>
      <c r="Y325" s="262">
        <f>S325/'2017'!S325-1</f>
        <v>0.0813485954571926</v>
      </c>
      <c r="Z325" s="263"/>
      <c r="AA325" s="264">
        <f t="shared" si="85"/>
        <v>1958.020822</v>
      </c>
      <c r="AB325" s="265"/>
      <c r="AC325" s="266"/>
      <c r="AD325" s="265">
        <f t="shared" si="80"/>
        <v>20599731.11</v>
      </c>
      <c r="AE325" s="186">
        <f t="shared" si="82"/>
        <v>201087.13</v>
      </c>
      <c r="AF325" s="186">
        <f t="shared" si="95"/>
        <v>545786.62</v>
      </c>
      <c r="AG325" s="266">
        <f t="shared" si="81"/>
        <v>272649.139999997</v>
      </c>
      <c r="AH325" s="281"/>
      <c r="AI325" s="282"/>
      <c r="AJ325" s="282"/>
      <c r="AK325" s="282"/>
      <c r="AL325" s="282"/>
      <c r="AM325" s="282"/>
      <c r="AN325" s="282"/>
      <c r="AO325" s="282"/>
      <c r="AP325" s="282"/>
      <c r="AQ325" s="282"/>
      <c r="AR325" s="282"/>
      <c r="AS325" s="282"/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</row>
    <row r="326" spans="1:55">
      <c r="A326" s="189">
        <v>43056</v>
      </c>
      <c r="B326" s="184" t="s">
        <v>38</v>
      </c>
      <c r="C326" s="185">
        <f>40754+8252</f>
        <v>49006</v>
      </c>
      <c r="D326" s="186">
        <f>12674+33120</f>
        <v>45794</v>
      </c>
      <c r="E326" s="186">
        <f>69650+33120</f>
        <v>102770</v>
      </c>
      <c r="F326" s="187">
        <v>5196</v>
      </c>
      <c r="G326" s="186">
        <v>3323</v>
      </c>
      <c r="H326" s="188"/>
      <c r="I326" s="188"/>
      <c r="J326" s="214">
        <f t="shared" si="96"/>
        <v>56976</v>
      </c>
      <c r="K326" s="186">
        <v>716</v>
      </c>
      <c r="L326" s="186">
        <v>6839</v>
      </c>
      <c r="M326" s="215">
        <f t="shared" ref="M326:M370" si="97">J326-K326-L326-C326</f>
        <v>415</v>
      </c>
      <c r="N326" s="216">
        <f t="shared" si="93"/>
        <v>744140</v>
      </c>
      <c r="O326" s="219">
        <f t="shared" si="93"/>
        <v>845783</v>
      </c>
      <c r="P326" s="218">
        <f t="shared" si="93"/>
        <v>1724198</v>
      </c>
      <c r="Q326" s="238">
        <f t="shared" si="94"/>
        <v>19629214.22</v>
      </c>
      <c r="R326" s="217">
        <f t="shared" si="94"/>
        <v>13256893.8</v>
      </c>
      <c r="S326" s="239">
        <f t="shared" si="94"/>
        <v>33913600.91</v>
      </c>
      <c r="T326" s="240">
        <f>N326/'2017'!N326-1</f>
        <v>-0.244574701465188</v>
      </c>
      <c r="U326" s="241">
        <f>O326/'2017'!O326-1</f>
        <v>0.244495813095278</v>
      </c>
      <c r="V326" s="241">
        <f>P326/'2017'!P326-1</f>
        <v>0.0169445740382159</v>
      </c>
      <c r="W326" s="241">
        <f>Q326/'2017'!Q326-1</f>
        <v>0.0208565381956805</v>
      </c>
      <c r="X326" s="241">
        <f>R326/'2017'!R326-1</f>
        <v>0.162461326609003</v>
      </c>
      <c r="Y326" s="262">
        <f>S326/'2017'!S326-1</f>
        <v>0.081083919522146</v>
      </c>
      <c r="Z326" s="263"/>
      <c r="AA326" s="264">
        <f t="shared" si="85"/>
        <v>1962.921422</v>
      </c>
      <c r="AB326" s="265"/>
      <c r="AC326" s="266"/>
      <c r="AD326" s="265">
        <f t="shared" ref="AD326:AD369" si="98">S326-R326</f>
        <v>20656707.11</v>
      </c>
      <c r="AE326" s="186">
        <f t="shared" si="82"/>
        <v>201803.13</v>
      </c>
      <c r="AF326" s="186">
        <f t="shared" si="95"/>
        <v>552625.62</v>
      </c>
      <c r="AG326" s="266">
        <f t="shared" ref="AG326:AG370" si="99">AD326-Q326-AE326-AF326</f>
        <v>273064.139999997</v>
      </c>
      <c r="AH326" s="281"/>
      <c r="AI326" s="282"/>
      <c r="AJ326" s="282"/>
      <c r="AK326" s="282"/>
      <c r="AL326" s="282"/>
      <c r="AM326" s="282"/>
      <c r="AN326" s="282"/>
      <c r="AO326" s="282"/>
      <c r="AP326" s="282"/>
      <c r="AQ326" s="282"/>
      <c r="AR326" s="282"/>
      <c r="AS326" s="282"/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</row>
    <row r="327" spans="1:55">
      <c r="A327" s="189">
        <v>43057</v>
      </c>
      <c r="B327" s="184" t="s">
        <v>1</v>
      </c>
      <c r="C327" s="185">
        <f>39853+7372</f>
        <v>47225</v>
      </c>
      <c r="D327" s="186">
        <f>29817+12667</f>
        <v>42484</v>
      </c>
      <c r="E327" s="186">
        <f>67586+29817</f>
        <v>97403</v>
      </c>
      <c r="F327" s="187">
        <v>4865</v>
      </c>
      <c r="G327" s="186">
        <v>3260</v>
      </c>
      <c r="H327" s="188"/>
      <c r="I327" s="188"/>
      <c r="J327" s="214">
        <f t="shared" si="96"/>
        <v>54919</v>
      </c>
      <c r="K327" s="186">
        <v>541</v>
      </c>
      <c r="L327" s="186">
        <v>6844</v>
      </c>
      <c r="M327" s="215">
        <f t="shared" si="97"/>
        <v>309</v>
      </c>
      <c r="N327" s="216">
        <f t="shared" ref="N327:P338" si="100">C327+N326</f>
        <v>791365</v>
      </c>
      <c r="O327" s="219">
        <f t="shared" si="100"/>
        <v>888267</v>
      </c>
      <c r="P327" s="218">
        <f t="shared" si="100"/>
        <v>1821601</v>
      </c>
      <c r="Q327" s="238">
        <f t="shared" si="94"/>
        <v>19676439.22</v>
      </c>
      <c r="R327" s="217">
        <f t="shared" si="94"/>
        <v>13299377.8</v>
      </c>
      <c r="S327" s="239">
        <f t="shared" si="94"/>
        <v>34011003.91</v>
      </c>
      <c r="T327" s="240">
        <f>N327/'2017'!N327-1</f>
        <v>-0.247801237371313</v>
      </c>
      <c r="U327" s="241">
        <f>O327/'2017'!O327-1</f>
        <v>0.248181336585873</v>
      </c>
      <c r="V327" s="241">
        <f>P327/'2017'!P327-1</f>
        <v>0.0140111142593287</v>
      </c>
      <c r="W327" s="241">
        <f>Q327/'2017'!Q327-1</f>
        <v>0.0197588264817266</v>
      </c>
      <c r="X327" s="241">
        <f>R327/'2017'!R327-1</f>
        <v>0.162920427425605</v>
      </c>
      <c r="Y327" s="262">
        <f>S327/'2017'!S327-1</f>
        <v>0.0807107057878209</v>
      </c>
      <c r="Z327" s="263">
        <v>121.56</v>
      </c>
      <c r="AA327" s="264">
        <f t="shared" si="85"/>
        <v>1846.083922</v>
      </c>
      <c r="AB327" s="265"/>
      <c r="AC327" s="266"/>
      <c r="AD327" s="265">
        <f t="shared" si="98"/>
        <v>20711626.11</v>
      </c>
      <c r="AE327" s="186">
        <f t="shared" ref="AE327:AE369" si="101">AE326+K327</f>
        <v>202344.13</v>
      </c>
      <c r="AF327" s="186">
        <f t="shared" ref="AF327:AF342" si="102">AF326+L327</f>
        <v>559469.62</v>
      </c>
      <c r="AG327" s="266">
        <f t="shared" si="99"/>
        <v>273373.139999997</v>
      </c>
      <c r="AH327" s="281"/>
      <c r="AI327" s="282"/>
      <c r="AJ327" s="282"/>
      <c r="AK327" s="282"/>
      <c r="AL327" s="282"/>
      <c r="AM327" s="282"/>
      <c r="AN327" s="282"/>
      <c r="AO327" s="282"/>
      <c r="AP327" s="282"/>
      <c r="AQ327" s="282"/>
      <c r="AR327" s="282"/>
      <c r="AS327" s="282"/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</row>
    <row r="328" spans="1:55">
      <c r="A328" s="189">
        <v>43058</v>
      </c>
      <c r="B328" s="184" t="s">
        <v>39</v>
      </c>
      <c r="C328" s="185">
        <f>40682+8466</f>
        <v>49148</v>
      </c>
      <c r="D328" s="186">
        <f>32313+12637</f>
        <v>44950</v>
      </c>
      <c r="E328" s="186">
        <f>69734+32313</f>
        <v>102047</v>
      </c>
      <c r="F328" s="187">
        <v>5192</v>
      </c>
      <c r="G328" s="186">
        <v>3076</v>
      </c>
      <c r="H328" s="188"/>
      <c r="I328" s="188"/>
      <c r="J328" s="214">
        <f t="shared" si="96"/>
        <v>57097</v>
      </c>
      <c r="K328" s="186">
        <v>569</v>
      </c>
      <c r="L328" s="186">
        <v>6844</v>
      </c>
      <c r="M328" s="215">
        <f t="shared" si="97"/>
        <v>536</v>
      </c>
      <c r="N328" s="216">
        <f t="shared" si="100"/>
        <v>840513</v>
      </c>
      <c r="O328" s="219">
        <f t="shared" si="100"/>
        <v>933217</v>
      </c>
      <c r="P328" s="218">
        <f t="shared" si="100"/>
        <v>1923648</v>
      </c>
      <c r="Q328" s="238">
        <f t="shared" si="94"/>
        <v>19725587.22</v>
      </c>
      <c r="R328" s="217">
        <f t="shared" si="94"/>
        <v>13344327.8</v>
      </c>
      <c r="S328" s="239">
        <f t="shared" si="94"/>
        <v>34113050.91</v>
      </c>
      <c r="T328" s="240">
        <f>N328/'2017'!N328-1</f>
        <v>-0.245462747263105</v>
      </c>
      <c r="U328" s="241">
        <f>O328/'2017'!O328-1</f>
        <v>0.252618410685451</v>
      </c>
      <c r="V328" s="241">
        <f>P328/'2017'!P328-1</f>
        <v>0.0159862256916203</v>
      </c>
      <c r="W328" s="241">
        <f>Q328/'2017'!Q328-1</f>
        <v>0.0190381285247876</v>
      </c>
      <c r="X328" s="241">
        <f>R328/'2017'!R328-1</f>
        <v>0.163456657813953</v>
      </c>
      <c r="Y328" s="262">
        <f>S328/'2017'!S328-1</f>
        <v>0.0806243262251412</v>
      </c>
      <c r="Z328" s="263"/>
      <c r="AA328" s="264">
        <f t="shared" si="85"/>
        <v>1972.558722</v>
      </c>
      <c r="AB328" s="265"/>
      <c r="AC328" s="266"/>
      <c r="AD328" s="265">
        <f t="shared" si="98"/>
        <v>20768723.11</v>
      </c>
      <c r="AE328" s="186">
        <f t="shared" si="101"/>
        <v>202913.13</v>
      </c>
      <c r="AF328" s="186">
        <f t="shared" si="102"/>
        <v>566313.62</v>
      </c>
      <c r="AG328" s="266">
        <f t="shared" si="99"/>
        <v>273909.139999997</v>
      </c>
      <c r="AH328" s="281"/>
      <c r="AI328" s="282"/>
      <c r="AJ328" s="282"/>
      <c r="AK328" s="282"/>
      <c r="AL328" s="282"/>
      <c r="AM328" s="282"/>
      <c r="AN328" s="282"/>
      <c r="AO328" s="282"/>
      <c r="AP328" s="282"/>
      <c r="AQ328" s="282"/>
      <c r="AR328" s="282"/>
      <c r="AS328" s="282"/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</row>
    <row r="329" spans="1:55">
      <c r="A329" s="189">
        <v>43059</v>
      </c>
      <c r="B329" s="184" t="s">
        <v>34</v>
      </c>
      <c r="C329" s="185">
        <f>42374+8510</f>
        <v>50884</v>
      </c>
      <c r="D329" s="186">
        <f>31284+12801</f>
        <v>44085</v>
      </c>
      <c r="E329" s="186">
        <f>71815+31284</f>
        <v>103099</v>
      </c>
      <c r="F329" s="187">
        <v>5151</v>
      </c>
      <c r="G329" s="186">
        <v>3319</v>
      </c>
      <c r="H329" s="188"/>
      <c r="I329" s="188"/>
      <c r="J329" s="214">
        <f t="shared" si="96"/>
        <v>59014</v>
      </c>
      <c r="K329" s="186">
        <v>576</v>
      </c>
      <c r="L329" s="186">
        <v>6845</v>
      </c>
      <c r="M329" s="215">
        <f t="shared" si="97"/>
        <v>709</v>
      </c>
      <c r="N329" s="216">
        <f t="shared" si="100"/>
        <v>891397</v>
      </c>
      <c r="O329" s="219">
        <f t="shared" si="100"/>
        <v>977302</v>
      </c>
      <c r="P329" s="218">
        <f t="shared" si="100"/>
        <v>2026747</v>
      </c>
      <c r="Q329" s="238">
        <f t="shared" si="94"/>
        <v>19776471.22</v>
      </c>
      <c r="R329" s="217">
        <f t="shared" si="94"/>
        <v>13388412.8</v>
      </c>
      <c r="S329" s="239">
        <f t="shared" si="94"/>
        <v>34216149.91</v>
      </c>
      <c r="T329" s="240">
        <f>N329/'2017'!N329-1</f>
        <v>-0.245308561805915</v>
      </c>
      <c r="U329" s="241">
        <f>O329/'2017'!O329-1</f>
        <v>0.251348593276048</v>
      </c>
      <c r="V329" s="241">
        <f>P329/'2017'!P329-1</f>
        <v>0.0144081963602876</v>
      </c>
      <c r="W329" s="241">
        <f>Q329/'2017'!Q329-1</f>
        <v>0.0181324937545513</v>
      </c>
      <c r="X329" s="241">
        <f>R329/'2017'!R329-1</f>
        <v>0.163649334464035</v>
      </c>
      <c r="Y329" s="262">
        <f>S329/'2017'!S329-1</f>
        <v>0.0803113513943021</v>
      </c>
      <c r="Z329" s="263"/>
      <c r="AA329" s="264">
        <f t="shared" ref="AA329:AA369" si="103">Q329/10000-Z329</f>
        <v>1977.647122</v>
      </c>
      <c r="AB329" s="265"/>
      <c r="AC329" s="266"/>
      <c r="AD329" s="265">
        <f t="shared" si="98"/>
        <v>20827737.11</v>
      </c>
      <c r="AE329" s="186">
        <f t="shared" si="101"/>
        <v>203489.13</v>
      </c>
      <c r="AF329" s="186">
        <f t="shared" si="102"/>
        <v>573158.62</v>
      </c>
      <c r="AG329" s="266">
        <f t="shared" si="99"/>
        <v>274618.139999997</v>
      </c>
      <c r="AH329" s="281"/>
      <c r="AI329" s="282"/>
      <c r="AJ329" s="282"/>
      <c r="AK329" s="282"/>
      <c r="AL329" s="282"/>
      <c r="AM329" s="282"/>
      <c r="AN329" s="282"/>
      <c r="AO329" s="282"/>
      <c r="AP329" s="282"/>
      <c r="AQ329" s="282"/>
      <c r="AR329" s="282"/>
      <c r="AS329" s="282"/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</row>
    <row r="330" spans="1:55">
      <c r="A330" s="189">
        <v>43060</v>
      </c>
      <c r="B330" s="184" t="s">
        <v>35</v>
      </c>
      <c r="C330" s="185">
        <f>42945+8752</f>
        <v>51697</v>
      </c>
      <c r="D330" s="186">
        <f>30342+13045</f>
        <v>43387</v>
      </c>
      <c r="E330" s="186">
        <f>72762+30642</f>
        <v>103404</v>
      </c>
      <c r="F330" s="187">
        <v>5228</v>
      </c>
      <c r="G330" s="186">
        <v>3292</v>
      </c>
      <c r="H330" s="188"/>
      <c r="I330" s="188"/>
      <c r="J330" s="214">
        <f t="shared" si="96"/>
        <v>60017</v>
      </c>
      <c r="K330" s="186">
        <v>516</v>
      </c>
      <c r="L330" s="186">
        <v>6847</v>
      </c>
      <c r="M330" s="215">
        <f t="shared" si="97"/>
        <v>957</v>
      </c>
      <c r="N330" s="216">
        <f t="shared" si="100"/>
        <v>943094</v>
      </c>
      <c r="O330" s="219">
        <f t="shared" si="100"/>
        <v>1020689</v>
      </c>
      <c r="P330" s="218">
        <f t="shared" si="100"/>
        <v>2130151</v>
      </c>
      <c r="Q330" s="238">
        <f t="shared" si="94"/>
        <v>19828168.22</v>
      </c>
      <c r="R330" s="217">
        <f t="shared" si="94"/>
        <v>13431799.8</v>
      </c>
      <c r="S330" s="239">
        <f t="shared" si="94"/>
        <v>34319553.91</v>
      </c>
      <c r="T330" s="240">
        <f>N330/'2017'!N330-1</f>
        <v>-0.245953098639973</v>
      </c>
      <c r="U330" s="241">
        <f>O330/'2017'!O330-1</f>
        <v>0.24856603575094</v>
      </c>
      <c r="V330" s="241">
        <f>P330/'2017'!P330-1</f>
        <v>0.0117915230230377</v>
      </c>
      <c r="W330" s="241">
        <f>Q330/'2017'!Q330-1</f>
        <v>0.0171509801409251</v>
      </c>
      <c r="X330" s="241">
        <f>R330/'2017'!R330-1</f>
        <v>0.163729514108828</v>
      </c>
      <c r="Y330" s="262">
        <f>S330/'2017'!S330-1</f>
        <v>0.0799153549882607</v>
      </c>
      <c r="Z330" s="263"/>
      <c r="AA330" s="264">
        <f t="shared" si="103"/>
        <v>1982.816822</v>
      </c>
      <c r="AB330" s="265"/>
      <c r="AC330" s="266"/>
      <c r="AD330" s="265">
        <f t="shared" si="98"/>
        <v>20887754.11</v>
      </c>
      <c r="AE330" s="186">
        <f t="shared" si="101"/>
        <v>204005.13</v>
      </c>
      <c r="AF330" s="186">
        <f t="shared" si="102"/>
        <v>580005.62</v>
      </c>
      <c r="AG330" s="266">
        <f t="shared" si="99"/>
        <v>275575.139999997</v>
      </c>
      <c r="AH330" s="281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  <c r="AS330" s="282"/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</row>
    <row r="331" s="163" customFormat="1" spans="1:55">
      <c r="A331" s="190">
        <v>43061</v>
      </c>
      <c r="B331" s="191" t="s">
        <v>36</v>
      </c>
      <c r="C331" s="192">
        <f>43675+8529</f>
        <v>52204</v>
      </c>
      <c r="D331" s="193">
        <f>27778+13242</f>
        <v>41020</v>
      </c>
      <c r="E331" s="193">
        <f>73811+27778</f>
        <v>101589</v>
      </c>
      <c r="F331" s="194">
        <v>4960</v>
      </c>
      <c r="G331" s="193">
        <v>3245</v>
      </c>
      <c r="H331" s="195"/>
      <c r="I331" s="195"/>
      <c r="J331" s="220">
        <f t="shared" si="96"/>
        <v>60569</v>
      </c>
      <c r="K331" s="193">
        <v>396</v>
      </c>
      <c r="L331" s="193">
        <v>6828</v>
      </c>
      <c r="M331" s="221">
        <f t="shared" si="97"/>
        <v>1141</v>
      </c>
      <c r="N331" s="222">
        <f t="shared" si="100"/>
        <v>995298</v>
      </c>
      <c r="O331" s="225">
        <f t="shared" si="100"/>
        <v>1061709</v>
      </c>
      <c r="P331" s="224">
        <f t="shared" si="100"/>
        <v>2231740</v>
      </c>
      <c r="Q331" s="242">
        <f t="shared" si="94"/>
        <v>19880372.22</v>
      </c>
      <c r="R331" s="223">
        <f t="shared" si="94"/>
        <v>13472819.8</v>
      </c>
      <c r="S331" s="243">
        <f t="shared" si="94"/>
        <v>34421142.91</v>
      </c>
      <c r="T331" s="244">
        <f>N331/'2017'!N331-1</f>
        <v>-0.245214423842566</v>
      </c>
      <c r="U331" s="245">
        <f>O331/'2017'!O331-1</f>
        <v>0.243840890000035</v>
      </c>
      <c r="V331" s="245">
        <f>P331/'2017'!P331-1</f>
        <v>0.00925301601471373</v>
      </c>
      <c r="W331" s="245">
        <f>Q331/'2017'!Q331-1</f>
        <v>0.0162869868698021</v>
      </c>
      <c r="X331" s="245">
        <f>R331/'2017'!R331-1</f>
        <v>0.163645561241283</v>
      </c>
      <c r="Y331" s="267">
        <f>S331/'2017'!S331-1</f>
        <v>0.0795129417448919</v>
      </c>
      <c r="Z331" s="268">
        <v>125.07</v>
      </c>
      <c r="AA331" s="269">
        <f t="shared" si="103"/>
        <v>1862.967222</v>
      </c>
      <c r="AB331" s="270">
        <v>4286.88</v>
      </c>
      <c r="AC331" s="221">
        <f t="shared" ref="AC331:AC370" si="104">AA331*10000/AB331</f>
        <v>4345.74147631844</v>
      </c>
      <c r="AD331" s="270">
        <f t="shared" si="98"/>
        <v>20948323.11</v>
      </c>
      <c r="AE331" s="193">
        <f t="shared" si="101"/>
        <v>204401.13</v>
      </c>
      <c r="AF331" s="193">
        <f t="shared" si="102"/>
        <v>586833.62</v>
      </c>
      <c r="AG331" s="221">
        <f t="shared" si="99"/>
        <v>276716.139999997</v>
      </c>
      <c r="AH331" s="281"/>
      <c r="AI331" s="282"/>
      <c r="AJ331" s="282"/>
      <c r="AK331" s="282"/>
      <c r="AL331" s="282"/>
      <c r="AM331" s="282"/>
      <c r="AN331" s="282"/>
      <c r="AO331" s="282"/>
      <c r="AP331" s="282"/>
      <c r="AQ331" s="282"/>
      <c r="AR331" s="282"/>
      <c r="AS331" s="282"/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</row>
    <row r="332" spans="1:55">
      <c r="A332" s="189">
        <v>43062</v>
      </c>
      <c r="B332" s="184" t="s">
        <v>37</v>
      </c>
      <c r="C332" s="185">
        <f>43208+8431</f>
        <v>51639</v>
      </c>
      <c r="D332" s="186">
        <f>12755+30036</f>
        <v>42791</v>
      </c>
      <c r="E332" s="186">
        <f>72708+30036</f>
        <v>102744</v>
      </c>
      <c r="F332" s="187">
        <v>4990</v>
      </c>
      <c r="G332" s="186">
        <v>3363</v>
      </c>
      <c r="H332" s="188"/>
      <c r="I332" s="188"/>
      <c r="J332" s="214">
        <f t="shared" si="96"/>
        <v>59953</v>
      </c>
      <c r="K332" s="186">
        <v>568</v>
      </c>
      <c r="L332" s="186">
        <v>6845</v>
      </c>
      <c r="M332" s="215">
        <f t="shared" si="97"/>
        <v>901</v>
      </c>
      <c r="N332" s="216">
        <f t="shared" si="100"/>
        <v>1046937</v>
      </c>
      <c r="O332" s="219">
        <f t="shared" si="100"/>
        <v>1104500</v>
      </c>
      <c r="P332" s="218">
        <f t="shared" si="100"/>
        <v>2334484</v>
      </c>
      <c r="Q332" s="238">
        <f t="shared" si="94"/>
        <v>19932011.22</v>
      </c>
      <c r="R332" s="217">
        <f t="shared" si="94"/>
        <v>13515610.8</v>
      </c>
      <c r="S332" s="239">
        <f t="shared" si="94"/>
        <v>34523886.91</v>
      </c>
      <c r="T332" s="240">
        <f>N332/'2017'!N332-1</f>
        <v>-0.244909866960547</v>
      </c>
      <c r="U332" s="241">
        <f>O332/'2017'!O332-1</f>
        <v>0.243324658015363</v>
      </c>
      <c r="V332" s="241">
        <f>P332/'2017'!P332-1</f>
        <v>0.00801625618167123</v>
      </c>
      <c r="W332" s="241">
        <f>Q332/'2017'!Q332-1</f>
        <v>0.0154045365448285</v>
      </c>
      <c r="X332" s="241">
        <f>R332/'2017'!R332-1</f>
        <v>0.163846190145359</v>
      </c>
      <c r="Y332" s="262">
        <f>S332/'2017'!S332-1</f>
        <v>0.079193589103393</v>
      </c>
      <c r="Z332" s="263"/>
      <c r="AA332" s="264">
        <f t="shared" si="103"/>
        <v>1993.201122</v>
      </c>
      <c r="AB332" s="265"/>
      <c r="AC332" s="266"/>
      <c r="AD332" s="265">
        <f t="shared" si="98"/>
        <v>21008276.11</v>
      </c>
      <c r="AE332" s="186">
        <f t="shared" si="101"/>
        <v>204969.13</v>
      </c>
      <c r="AF332" s="186">
        <f t="shared" si="102"/>
        <v>593678.62</v>
      </c>
      <c r="AG332" s="266">
        <f t="shared" si="99"/>
        <v>277617.139999997</v>
      </c>
      <c r="AH332" s="281"/>
      <c r="AI332" s="282"/>
      <c r="AJ332" s="282"/>
      <c r="AK332" s="282"/>
      <c r="AL332" s="282"/>
      <c r="AM332" s="282"/>
      <c r="AN332" s="282"/>
      <c r="AO332" s="282"/>
      <c r="AP332" s="282"/>
      <c r="AQ332" s="282"/>
      <c r="AR332" s="282"/>
      <c r="AS332" s="282"/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</row>
    <row r="333" spans="1:55">
      <c r="A333" s="189">
        <v>43063</v>
      </c>
      <c r="B333" s="184" t="s">
        <v>38</v>
      </c>
      <c r="C333" s="185">
        <f>42530+7022</f>
        <v>49552</v>
      </c>
      <c r="D333" s="186">
        <f>12804+30356</f>
        <v>43160</v>
      </c>
      <c r="E333" s="186">
        <f>70422+30356</f>
        <v>100778</v>
      </c>
      <c r="F333" s="187">
        <v>4864</v>
      </c>
      <c r="G333" s="186">
        <v>3371</v>
      </c>
      <c r="H333" s="188"/>
      <c r="I333" s="188"/>
      <c r="J333" s="214">
        <f t="shared" si="96"/>
        <v>57618</v>
      </c>
      <c r="K333" s="186">
        <v>251</v>
      </c>
      <c r="L333" s="186">
        <v>6845</v>
      </c>
      <c r="M333" s="215">
        <f t="shared" si="97"/>
        <v>970</v>
      </c>
      <c r="N333" s="216">
        <f t="shared" si="100"/>
        <v>1096489</v>
      </c>
      <c r="O333" s="219">
        <f t="shared" si="100"/>
        <v>1147660</v>
      </c>
      <c r="P333" s="218">
        <f t="shared" si="100"/>
        <v>2435262</v>
      </c>
      <c r="Q333" s="238">
        <f t="shared" si="94"/>
        <v>19981563.22</v>
      </c>
      <c r="R333" s="217">
        <f t="shared" si="94"/>
        <v>13558770.8</v>
      </c>
      <c r="S333" s="239">
        <f t="shared" si="94"/>
        <v>34624664.91</v>
      </c>
      <c r="T333" s="240">
        <f>N333/'2017'!N333-1</f>
        <v>-0.24679067096409</v>
      </c>
      <c r="U333" s="241">
        <f>O333/'2017'!O333-1</f>
        <v>0.243129889233342</v>
      </c>
      <c r="V333" s="241">
        <f>P333/'2017'!P333-1</f>
        <v>0.0055491255967095</v>
      </c>
      <c r="W333" s="241">
        <f>Q333/'2017'!Q333-1</f>
        <v>0.0143504274560908</v>
      </c>
      <c r="X333" s="241">
        <f>R333/'2017'!R333-1</f>
        <v>0.164068606602035</v>
      </c>
      <c r="Y333" s="262">
        <f>S333/'2017'!S333-1</f>
        <v>0.0787725780907034</v>
      </c>
      <c r="Z333" s="263"/>
      <c r="AA333" s="264">
        <f t="shared" si="103"/>
        <v>1998.156322</v>
      </c>
      <c r="AB333" s="265"/>
      <c r="AC333" s="266"/>
      <c r="AD333" s="265">
        <f t="shared" si="98"/>
        <v>21065894.11</v>
      </c>
      <c r="AE333" s="186">
        <f t="shared" si="101"/>
        <v>205220.13</v>
      </c>
      <c r="AF333" s="186">
        <f t="shared" si="102"/>
        <v>600523.62</v>
      </c>
      <c r="AG333" s="266">
        <f t="shared" si="99"/>
        <v>278587.139999997</v>
      </c>
      <c r="AH333" s="281"/>
      <c r="AI333" s="282"/>
      <c r="AJ333" s="282"/>
      <c r="AK333" s="282"/>
      <c r="AL333" s="282"/>
      <c r="AM333" s="282"/>
      <c r="AN333" s="282"/>
      <c r="AO333" s="282"/>
      <c r="AP333" s="282"/>
      <c r="AQ333" s="282"/>
      <c r="AR333" s="282"/>
      <c r="AS333" s="282"/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</row>
    <row r="334" spans="1:55">
      <c r="A334" s="189">
        <v>43064</v>
      </c>
      <c r="B334" s="184" t="s">
        <v>1</v>
      </c>
      <c r="C334" s="185">
        <f>43034+5825</f>
        <v>48859</v>
      </c>
      <c r="D334" s="186">
        <f>12824+27801</f>
        <v>40625</v>
      </c>
      <c r="E334" s="186">
        <f>69228+27801</f>
        <v>97029</v>
      </c>
      <c r="F334" s="187">
        <v>4637</v>
      </c>
      <c r="G334" s="186">
        <v>3301</v>
      </c>
      <c r="H334" s="188"/>
      <c r="I334" s="188"/>
      <c r="J334" s="214">
        <f t="shared" si="96"/>
        <v>56404</v>
      </c>
      <c r="K334" s="186">
        <v>216</v>
      </c>
      <c r="L334" s="186">
        <v>6844</v>
      </c>
      <c r="M334" s="215">
        <f t="shared" si="97"/>
        <v>485</v>
      </c>
      <c r="N334" s="216">
        <f t="shared" si="100"/>
        <v>1145348</v>
      </c>
      <c r="O334" s="219">
        <f t="shared" si="100"/>
        <v>1188285</v>
      </c>
      <c r="P334" s="218">
        <f t="shared" si="100"/>
        <v>2532291</v>
      </c>
      <c r="Q334" s="238">
        <f t="shared" si="94"/>
        <v>20030422.22</v>
      </c>
      <c r="R334" s="217">
        <f t="shared" si="94"/>
        <v>13599395.8</v>
      </c>
      <c r="S334" s="239">
        <f t="shared" si="94"/>
        <v>34721693.91</v>
      </c>
      <c r="T334" s="240">
        <f>N334/'2017'!N334-1</f>
        <v>-0.248682149388764</v>
      </c>
      <c r="U334" s="241">
        <f>O334/'2017'!O334-1</f>
        <v>0.240709958590273</v>
      </c>
      <c r="V334" s="241">
        <f>P334/'2017'!P334-1</f>
        <v>0.00218539961508157</v>
      </c>
      <c r="W334" s="241">
        <f>Q334/'2017'!Q334-1</f>
        <v>0.0132970448232486</v>
      </c>
      <c r="X334" s="241">
        <f>R334/'2017'!R334-1</f>
        <v>0.164103994714733</v>
      </c>
      <c r="Y334" s="262">
        <f>S334/'2017'!S334-1</f>
        <v>0.0782699937930122</v>
      </c>
      <c r="Z334" s="263">
        <v>127.21</v>
      </c>
      <c r="AA334" s="264">
        <f t="shared" si="103"/>
        <v>1875.832222</v>
      </c>
      <c r="AB334" s="265">
        <v>4286.88</v>
      </c>
      <c r="AC334" s="266">
        <f t="shared" si="104"/>
        <v>4375.75164688538</v>
      </c>
      <c r="AD334" s="265">
        <f t="shared" si="98"/>
        <v>21122298.11</v>
      </c>
      <c r="AE334" s="186">
        <f t="shared" si="101"/>
        <v>205436.13</v>
      </c>
      <c r="AF334" s="186">
        <f t="shared" si="102"/>
        <v>607367.62</v>
      </c>
      <c r="AG334" s="266">
        <f t="shared" si="99"/>
        <v>279072.139999997</v>
      </c>
      <c r="AH334" s="281"/>
      <c r="AI334" s="282"/>
      <c r="AJ334" s="282"/>
      <c r="AK334" s="282"/>
      <c r="AL334" s="282"/>
      <c r="AM334" s="282"/>
      <c r="AN334" s="282"/>
      <c r="AO334" s="282"/>
      <c r="AP334" s="282"/>
      <c r="AQ334" s="282"/>
      <c r="AR334" s="282"/>
      <c r="AS334" s="282"/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</row>
    <row r="335" spans="1:55">
      <c r="A335" s="189">
        <v>43065</v>
      </c>
      <c r="B335" s="184" t="s">
        <v>39</v>
      </c>
      <c r="C335" s="185">
        <f>45482+8628</f>
        <v>54110</v>
      </c>
      <c r="D335" s="186">
        <f>27740+12700</f>
        <v>40440</v>
      </c>
      <c r="E335" s="186">
        <f>74491+27740</f>
        <v>102231</v>
      </c>
      <c r="F335" s="187">
        <v>5209</v>
      </c>
      <c r="G335" s="186">
        <v>3199</v>
      </c>
      <c r="H335" s="188"/>
      <c r="I335" s="188"/>
      <c r="J335" s="214">
        <f t="shared" si="96"/>
        <v>61791</v>
      </c>
      <c r="K335" s="186">
        <v>285</v>
      </c>
      <c r="L335" s="186">
        <v>6850</v>
      </c>
      <c r="M335" s="215">
        <f t="shared" si="97"/>
        <v>546</v>
      </c>
      <c r="N335" s="216">
        <f t="shared" si="100"/>
        <v>1199458</v>
      </c>
      <c r="O335" s="219">
        <f t="shared" si="100"/>
        <v>1228725</v>
      </c>
      <c r="P335" s="218">
        <f t="shared" si="100"/>
        <v>2634522</v>
      </c>
      <c r="Q335" s="238">
        <f t="shared" si="94"/>
        <v>20084532.22</v>
      </c>
      <c r="R335" s="217">
        <f t="shared" si="94"/>
        <v>13639835.8</v>
      </c>
      <c r="S335" s="239">
        <f t="shared" si="94"/>
        <v>34823924.91</v>
      </c>
      <c r="T335" s="240">
        <f>N335/'2017'!N335-1</f>
        <v>-0.244515380114344</v>
      </c>
      <c r="U335" s="241">
        <f>O335/'2017'!O335-1</f>
        <v>0.2392437005301</v>
      </c>
      <c r="V335" s="241">
        <f>P335/'2017'!P335-1</f>
        <v>0.00352000414431819</v>
      </c>
      <c r="W335" s="241">
        <f>Q335/'2017'!Q335-1</f>
        <v>0.0127955229863386</v>
      </c>
      <c r="X335" s="241">
        <f>R335/'2017'!R335-1</f>
        <v>0.164200688081617</v>
      </c>
      <c r="Y335" s="262">
        <f>S335/'2017'!S335-1</f>
        <v>0.0781464161753895</v>
      </c>
      <c r="Z335" s="263"/>
      <c r="AA335" s="264">
        <f t="shared" si="103"/>
        <v>2008.453222</v>
      </c>
      <c r="AB335" s="265"/>
      <c r="AC335" s="266"/>
      <c r="AD335" s="265">
        <f t="shared" si="98"/>
        <v>21184089.11</v>
      </c>
      <c r="AE335" s="186">
        <f t="shared" si="101"/>
        <v>205721.13</v>
      </c>
      <c r="AF335" s="186">
        <f t="shared" si="102"/>
        <v>614217.62</v>
      </c>
      <c r="AG335" s="266">
        <f t="shared" si="99"/>
        <v>279618.139999997</v>
      </c>
      <c r="AH335" s="281"/>
      <c r="AI335" s="282"/>
      <c r="AJ335" s="282"/>
      <c r="AK335" s="282"/>
      <c r="AL335" s="282"/>
      <c r="AM335" s="282"/>
      <c r="AN335" s="282"/>
      <c r="AO335" s="282"/>
      <c r="AP335" s="282"/>
      <c r="AQ335" s="282"/>
      <c r="AR335" s="282"/>
      <c r="AS335" s="282"/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</row>
    <row r="336" spans="1:55">
      <c r="A336" s="189">
        <v>43066</v>
      </c>
      <c r="B336" s="184" t="s">
        <v>34</v>
      </c>
      <c r="C336" s="185">
        <f>47265+8369</f>
        <v>55634</v>
      </c>
      <c r="D336" s="186">
        <f>28513+12458</f>
        <v>40971</v>
      </c>
      <c r="E336" s="186">
        <f>75839+28513</f>
        <v>104352</v>
      </c>
      <c r="F336" s="187">
        <v>5258</v>
      </c>
      <c r="G336" s="186">
        <v>3358</v>
      </c>
      <c r="H336" s="188"/>
      <c r="I336" s="188"/>
      <c r="J336" s="214">
        <f t="shared" si="96"/>
        <v>63381</v>
      </c>
      <c r="K336" s="186">
        <v>252</v>
      </c>
      <c r="L336" s="186">
        <v>6839</v>
      </c>
      <c r="M336" s="215">
        <f t="shared" si="97"/>
        <v>656</v>
      </c>
      <c r="N336" s="216">
        <f t="shared" si="100"/>
        <v>1255092</v>
      </c>
      <c r="O336" s="219">
        <f t="shared" si="100"/>
        <v>1269696</v>
      </c>
      <c r="P336" s="218">
        <f t="shared" si="100"/>
        <v>2738874</v>
      </c>
      <c r="Q336" s="238">
        <f t="shared" si="94"/>
        <v>20140166.22</v>
      </c>
      <c r="R336" s="217">
        <f t="shared" si="94"/>
        <v>13680806.8</v>
      </c>
      <c r="S336" s="239">
        <f t="shared" si="94"/>
        <v>34928276.91</v>
      </c>
      <c r="T336" s="240">
        <f>N336/'2017'!N336-1</f>
        <v>-0.240532157323577</v>
      </c>
      <c r="U336" s="241">
        <f>O336/'2017'!O336-1</f>
        <v>0.236655050364365</v>
      </c>
      <c r="V336" s="241">
        <f>P336/'2017'!P336-1</f>
        <v>0.00428794579015679</v>
      </c>
      <c r="W336" s="241">
        <f>Q336/'2017'!Q336-1</f>
        <v>0.0122866809836564</v>
      </c>
      <c r="X336" s="241">
        <f>R336/'2017'!R336-1</f>
        <v>0.164199339338818</v>
      </c>
      <c r="Y336" s="262">
        <f>S336/'2017'!S336-1</f>
        <v>0.0779763621334695</v>
      </c>
      <c r="Z336" s="263"/>
      <c r="AA336" s="264">
        <f t="shared" si="103"/>
        <v>2014.016622</v>
      </c>
      <c r="AB336" s="265"/>
      <c r="AC336" s="266"/>
      <c r="AD336" s="265">
        <f t="shared" si="98"/>
        <v>21247470.11</v>
      </c>
      <c r="AE336" s="186">
        <f t="shared" si="101"/>
        <v>205973.13</v>
      </c>
      <c r="AF336" s="186">
        <f t="shared" si="102"/>
        <v>621056.62</v>
      </c>
      <c r="AG336" s="266">
        <f t="shared" si="99"/>
        <v>280274.139999997</v>
      </c>
      <c r="AH336" s="281"/>
      <c r="AI336" s="282"/>
      <c r="AJ336" s="282"/>
      <c r="AK336" s="282"/>
      <c r="AL336" s="282"/>
      <c r="AM336" s="282"/>
      <c r="AN336" s="282"/>
      <c r="AO336" s="282"/>
      <c r="AP336" s="282"/>
      <c r="AQ336" s="282"/>
      <c r="AR336" s="282"/>
      <c r="AS336" s="282"/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</row>
    <row r="337" spans="1:55">
      <c r="A337" s="189">
        <v>43067</v>
      </c>
      <c r="B337" s="184" t="s">
        <v>35</v>
      </c>
      <c r="C337" s="185">
        <f>48879+8117</f>
        <v>56996</v>
      </c>
      <c r="D337" s="186">
        <f>27273+12297</f>
        <v>39570</v>
      </c>
      <c r="E337" s="186">
        <f>77056+27273</f>
        <v>104329</v>
      </c>
      <c r="F337" s="187">
        <v>5249</v>
      </c>
      <c r="G337" s="186">
        <v>3394</v>
      </c>
      <c r="H337" s="188"/>
      <c r="I337" s="188"/>
      <c r="J337" s="214">
        <f t="shared" si="96"/>
        <v>64759</v>
      </c>
      <c r="K337" s="186">
        <v>294</v>
      </c>
      <c r="L337" s="186">
        <v>6853</v>
      </c>
      <c r="M337" s="215">
        <f t="shared" si="97"/>
        <v>616</v>
      </c>
      <c r="N337" s="216">
        <f t="shared" si="100"/>
        <v>1312088</v>
      </c>
      <c r="O337" s="219">
        <f t="shared" si="100"/>
        <v>1309266</v>
      </c>
      <c r="P337" s="218">
        <f t="shared" si="100"/>
        <v>2843203</v>
      </c>
      <c r="Q337" s="238">
        <f t="shared" si="94"/>
        <v>20197162.22</v>
      </c>
      <c r="R337" s="217">
        <f t="shared" si="94"/>
        <v>13720376.8</v>
      </c>
      <c r="S337" s="239">
        <f t="shared" si="94"/>
        <v>35032605.91</v>
      </c>
      <c r="T337" s="240">
        <f>N337/'2017'!N337-1</f>
        <v>-0.236813818327338</v>
      </c>
      <c r="U337" s="241">
        <f>O337/'2017'!O337-1</f>
        <v>0.233539038430737</v>
      </c>
      <c r="V337" s="241">
        <f>P337/'2017'!P337-1</f>
        <v>0.00466359600071375</v>
      </c>
      <c r="W337" s="241">
        <f>Q337/'2017'!Q337-1</f>
        <v>0.0117630620343689</v>
      </c>
      <c r="X337" s="241">
        <f>R337/'2017'!R337-1</f>
        <v>0.164131875889302</v>
      </c>
      <c r="Y337" s="262">
        <f>S337/'2017'!S337-1</f>
        <v>0.0777759618034544</v>
      </c>
      <c r="Z337" s="263"/>
      <c r="AA337" s="264">
        <f t="shared" si="103"/>
        <v>2019.716222</v>
      </c>
      <c r="AB337" s="265"/>
      <c r="AC337" s="266"/>
      <c r="AD337" s="265">
        <f t="shared" si="98"/>
        <v>21312229.11</v>
      </c>
      <c r="AE337" s="186">
        <f t="shared" si="101"/>
        <v>206267.13</v>
      </c>
      <c r="AF337" s="186">
        <f t="shared" si="102"/>
        <v>627909.62</v>
      </c>
      <c r="AG337" s="266">
        <f t="shared" si="99"/>
        <v>280890.139999997</v>
      </c>
      <c r="AH337" s="281"/>
      <c r="AI337" s="282"/>
      <c r="AJ337" s="282"/>
      <c r="AK337" s="282"/>
      <c r="AL337" s="282"/>
      <c r="AM337" s="282"/>
      <c r="AN337" s="282"/>
      <c r="AO337" s="282"/>
      <c r="AP337" s="282"/>
      <c r="AQ337" s="282"/>
      <c r="AR337" s="282"/>
      <c r="AS337" s="282"/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</row>
    <row r="338" s="163" customFormat="1" spans="1:55">
      <c r="A338" s="190">
        <v>43068</v>
      </c>
      <c r="B338" s="191" t="s">
        <v>36</v>
      </c>
      <c r="C338" s="192">
        <f>48464+7935</f>
        <v>56399</v>
      </c>
      <c r="D338" s="193">
        <f>27101+12242</f>
        <v>39343</v>
      </c>
      <c r="E338" s="193">
        <f>76456+27101</f>
        <v>103557</v>
      </c>
      <c r="F338" s="194">
        <v>5082</v>
      </c>
      <c r="G338" s="193">
        <v>3412</v>
      </c>
      <c r="H338" s="195"/>
      <c r="I338" s="195"/>
      <c r="J338" s="220">
        <f t="shared" si="96"/>
        <v>64214</v>
      </c>
      <c r="K338" s="193">
        <v>179</v>
      </c>
      <c r="L338" s="193">
        <v>6845</v>
      </c>
      <c r="M338" s="221">
        <f t="shared" si="97"/>
        <v>791</v>
      </c>
      <c r="N338" s="222">
        <f t="shared" si="100"/>
        <v>1368487</v>
      </c>
      <c r="O338" s="225">
        <f t="shared" si="100"/>
        <v>1348609</v>
      </c>
      <c r="P338" s="224">
        <f t="shared" si="100"/>
        <v>2946760</v>
      </c>
      <c r="Q338" s="242">
        <f t="shared" si="94"/>
        <v>20253561.22</v>
      </c>
      <c r="R338" s="223">
        <f t="shared" si="94"/>
        <v>13759719.8</v>
      </c>
      <c r="S338" s="243">
        <f t="shared" si="94"/>
        <v>35136162.91</v>
      </c>
      <c r="T338" s="244">
        <f>N338/'2017'!N338-1</f>
        <v>-0.234186657653282</v>
      </c>
      <c r="U338" s="245">
        <f>O338/'2017'!O338-1</f>
        <v>0.230633124852856</v>
      </c>
      <c r="V338" s="245">
        <f>P338/'2017'!P338-1</f>
        <v>0.00442192974472921</v>
      </c>
      <c r="W338" s="245">
        <f>Q338/'2017'!Q338-1</f>
        <v>0.0111566782010271</v>
      </c>
      <c r="X338" s="245">
        <f>R338/'2017'!R338-1</f>
        <v>0.164064906061602</v>
      </c>
      <c r="Y338" s="267">
        <f>S338/'2017'!S338-1</f>
        <v>0.0775215253355834</v>
      </c>
      <c r="Z338" s="268">
        <v>130.66</v>
      </c>
      <c r="AA338" s="269">
        <f t="shared" si="103"/>
        <v>1894.696122</v>
      </c>
      <c r="AB338" s="270">
        <v>4286.88</v>
      </c>
      <c r="AC338" s="221">
        <f t="shared" si="104"/>
        <v>4419.75544451909</v>
      </c>
      <c r="AD338" s="270">
        <f t="shared" si="98"/>
        <v>21376443.11</v>
      </c>
      <c r="AE338" s="193">
        <f t="shared" si="101"/>
        <v>206446.13</v>
      </c>
      <c r="AF338" s="193">
        <f t="shared" si="102"/>
        <v>634754.62</v>
      </c>
      <c r="AG338" s="221">
        <f t="shared" si="99"/>
        <v>281681.139999997</v>
      </c>
      <c r="AH338" s="281"/>
      <c r="AI338" s="282"/>
      <c r="AJ338" s="282"/>
      <c r="AK338" s="282"/>
      <c r="AL338" s="282"/>
      <c r="AM338" s="282"/>
      <c r="AN338" s="282"/>
      <c r="AO338" s="282"/>
      <c r="AP338" s="282"/>
      <c r="AQ338" s="282"/>
      <c r="AR338" s="282"/>
      <c r="AS338" s="282"/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</row>
    <row r="339" spans="1:55">
      <c r="A339" s="307">
        <v>43069</v>
      </c>
      <c r="B339" s="308" t="s">
        <v>37</v>
      </c>
      <c r="C339" s="309">
        <f>46621+8373</f>
        <v>54994</v>
      </c>
      <c r="D339" s="310">
        <f>12300+26918</f>
        <v>39218</v>
      </c>
      <c r="E339" s="310">
        <f>75347+26918</f>
        <v>102265</v>
      </c>
      <c r="F339" s="311">
        <v>5029</v>
      </c>
      <c r="G339" s="310">
        <v>3398</v>
      </c>
      <c r="H339" s="312"/>
      <c r="I339" s="312"/>
      <c r="J339" s="313">
        <f t="shared" si="96"/>
        <v>63047</v>
      </c>
      <c r="K339" s="310">
        <v>414</v>
      </c>
      <c r="L339" s="310">
        <v>6849</v>
      </c>
      <c r="M339" s="227">
        <f t="shared" si="97"/>
        <v>790</v>
      </c>
      <c r="N339" s="314">
        <f>[10]表2、统调口径电量!$D$10</f>
        <v>1423477.66</v>
      </c>
      <c r="O339" s="338">
        <f>[10]表2、统调口径电量!$D$14</f>
        <v>1388727</v>
      </c>
      <c r="P339" s="316">
        <f>[10]表2、统调口径电量!$D$3</f>
        <v>3048724.49</v>
      </c>
      <c r="Q339" s="317">
        <f>[10]表2、统调口径电量!$I$10</f>
        <v>20308551.88</v>
      </c>
      <c r="R339" s="318">
        <f>[10]表2、统调口径电量!$I$14</f>
        <v>13799837.8</v>
      </c>
      <c r="S339" s="319">
        <f>[10]表2、统调口径电量!$I$3</f>
        <v>35238127.4</v>
      </c>
      <c r="T339" s="248">
        <f>N339/'2017'!N339-1</f>
        <v>-0.232116467065781</v>
      </c>
      <c r="U339" s="249">
        <f>O339/'2017'!O339-1</f>
        <v>0.227561657542856</v>
      </c>
      <c r="V339" s="249">
        <f>P339/'2017'!P339-1</f>
        <v>0.00378832141525232</v>
      </c>
      <c r="W339" s="249">
        <f>Q339/'2017'!Q339-1</f>
        <v>0.0105321925622612</v>
      </c>
      <c r="X339" s="249">
        <f>R339/'2017'!R339-1</f>
        <v>0.163970718538535</v>
      </c>
      <c r="Y339" s="272">
        <f>S339/'2017'!S339-1</f>
        <v>0.0772315619263801</v>
      </c>
      <c r="Z339" s="273">
        <f>[10]表2、统调口径电量!$I$12/10000</f>
        <v>131.654322</v>
      </c>
      <c r="AA339" s="274">
        <f>[10]表2、统调口径电量!$I$11/10000</f>
        <v>1899.200866</v>
      </c>
      <c r="AB339" s="275">
        <v>4286.88</v>
      </c>
      <c r="AC339" s="276">
        <f t="shared" si="104"/>
        <v>4430.263655619</v>
      </c>
      <c r="AD339" s="275">
        <f>[10]表2、统调口径电量!$I$4</f>
        <v>21438289.6</v>
      </c>
      <c r="AE339" s="199">
        <f>[10]表2、统调口径电量!$I$13</f>
        <v>206858.22</v>
      </c>
      <c r="AF339" s="199">
        <f>[10]表2、统调口径电量!$I$17</f>
        <v>641604.94</v>
      </c>
      <c r="AG339" s="276">
        <f t="shared" si="99"/>
        <v>281274.560000003</v>
      </c>
      <c r="AH339" s="281"/>
      <c r="AI339" s="282"/>
      <c r="AJ339" s="282"/>
      <c r="AK339" s="282"/>
      <c r="AL339" s="282"/>
      <c r="AM339" s="282"/>
      <c r="AN339" s="282"/>
      <c r="AO339" s="282"/>
      <c r="AP339" s="282"/>
      <c r="AQ339" s="282"/>
      <c r="AR339" s="282"/>
      <c r="AS339" s="282"/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</row>
    <row r="340" spans="1:55">
      <c r="A340" s="189">
        <v>43070</v>
      </c>
      <c r="B340" s="184" t="s">
        <v>38</v>
      </c>
      <c r="C340" s="185">
        <f>42171+5397</f>
        <v>47568</v>
      </c>
      <c r="D340" s="329">
        <f>12336+28720</f>
        <v>41056</v>
      </c>
      <c r="E340" s="186">
        <f>68173+28720</f>
        <v>96893</v>
      </c>
      <c r="F340" s="187">
        <v>4679</v>
      </c>
      <c r="G340" s="186">
        <v>3293</v>
      </c>
      <c r="H340" s="188"/>
      <c r="I340" s="188"/>
      <c r="J340" s="214">
        <f t="shared" si="96"/>
        <v>55837</v>
      </c>
      <c r="K340" s="186">
        <v>673</v>
      </c>
      <c r="L340" s="186">
        <v>6855</v>
      </c>
      <c r="M340" s="215">
        <f t="shared" si="97"/>
        <v>741</v>
      </c>
      <c r="N340" s="216">
        <f>C340</f>
        <v>47568</v>
      </c>
      <c r="O340" s="219">
        <f>D340</f>
        <v>41056</v>
      </c>
      <c r="P340" s="218">
        <f>E340</f>
        <v>96893</v>
      </c>
      <c r="Q340" s="238">
        <f>Q$339+N340</f>
        <v>20356119.88</v>
      </c>
      <c r="R340" s="217">
        <f>R$339+O340</f>
        <v>13840893.8</v>
      </c>
      <c r="S340" s="239">
        <f>S$339+P340</f>
        <v>35335020.4</v>
      </c>
      <c r="T340" s="240">
        <f>N340/'2017'!N340-1</f>
        <v>-0.264143062667265</v>
      </c>
      <c r="U340" s="241">
        <f>O340/'2017'!O340-1</f>
        <v>0.152805076655248</v>
      </c>
      <c r="V340" s="241">
        <f>P340/'2017'!P340-1</f>
        <v>-0.0491737321400534</v>
      </c>
      <c r="W340" s="241">
        <f>Q340/'2017'!Q340-1</f>
        <v>0.00965151376436246</v>
      </c>
      <c r="X340" s="241">
        <f>R340/'2017'!R340-1</f>
        <v>0.16393727825967</v>
      </c>
      <c r="Y340" s="262">
        <f>S340/'2017'!S340-1</f>
        <v>0.0768390056487855</v>
      </c>
      <c r="Z340" s="263"/>
      <c r="AA340" s="264">
        <f t="shared" si="103"/>
        <v>2035.611988</v>
      </c>
      <c r="AB340" s="265"/>
      <c r="AC340" s="266" t="e">
        <f t="shared" si="104"/>
        <v>#DIV/0!</v>
      </c>
      <c r="AD340" s="265">
        <f t="shared" si="98"/>
        <v>21494126.6</v>
      </c>
      <c r="AE340" s="186">
        <f t="shared" si="101"/>
        <v>207531.22</v>
      </c>
      <c r="AF340" s="186">
        <f t="shared" si="102"/>
        <v>648459.94</v>
      </c>
      <c r="AG340" s="266">
        <f t="shared" si="99"/>
        <v>282015.559999999</v>
      </c>
      <c r="AH340" s="281"/>
      <c r="AI340" s="282"/>
      <c r="AJ340" s="282"/>
      <c r="AK340" s="282"/>
      <c r="AL340" s="282"/>
      <c r="AM340" s="282"/>
      <c r="AN340" s="282"/>
      <c r="AO340" s="282"/>
      <c r="AP340" s="282"/>
      <c r="AQ340" s="282"/>
      <c r="AR340" s="282"/>
      <c r="AS340" s="282"/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</row>
    <row r="341" spans="1:55">
      <c r="A341" s="189">
        <v>43071</v>
      </c>
      <c r="B341" s="184" t="s">
        <v>1</v>
      </c>
      <c r="C341" s="185">
        <f>40020+4944</f>
        <v>44964</v>
      </c>
      <c r="D341" s="186">
        <f>29443+12382</f>
        <v>41825</v>
      </c>
      <c r="E341" s="186">
        <f>65466+29443</f>
        <v>94909</v>
      </c>
      <c r="F341" s="187">
        <v>4631</v>
      </c>
      <c r="G341" s="186">
        <v>3131</v>
      </c>
      <c r="H341" s="188"/>
      <c r="I341" s="188"/>
      <c r="J341" s="214">
        <f t="shared" si="96"/>
        <v>53084</v>
      </c>
      <c r="K341" s="186">
        <v>685</v>
      </c>
      <c r="L341" s="186">
        <v>6851</v>
      </c>
      <c r="M341" s="215">
        <f t="shared" si="97"/>
        <v>584</v>
      </c>
      <c r="N341" s="216">
        <f t="shared" ref="N341:P356" si="105">N340+C341</f>
        <v>92532</v>
      </c>
      <c r="O341" s="219">
        <f t="shared" si="105"/>
        <v>82881</v>
      </c>
      <c r="P341" s="218">
        <f t="shared" si="105"/>
        <v>191802</v>
      </c>
      <c r="Q341" s="238">
        <f t="shared" ref="Q341:S369" si="106">Q$339+N341</f>
        <v>20401083.88</v>
      </c>
      <c r="R341" s="217">
        <f t="shared" si="106"/>
        <v>13882718.8</v>
      </c>
      <c r="S341" s="239">
        <f t="shared" si="106"/>
        <v>35429929.4</v>
      </c>
      <c r="T341" s="240">
        <f>N341/'2017'!N341-1</f>
        <v>-0.291376933680502</v>
      </c>
      <c r="U341" s="241">
        <f>O341/'2017'!O341-1</f>
        <v>0.146649880328164</v>
      </c>
      <c r="V341" s="241">
        <f>P341/'2017'!P341-1</f>
        <v>-0.0677321045801192</v>
      </c>
      <c r="W341" s="241">
        <f>Q341/'2017'!Q341-1</f>
        <v>0.00858319457082368</v>
      </c>
      <c r="X341" s="241">
        <f>R341/'2017'!R341-1</f>
        <v>0.163865759118586</v>
      </c>
      <c r="Y341" s="262">
        <f>S341/'2017'!S341-1</f>
        <v>0.0763255270379677</v>
      </c>
      <c r="Z341" s="263"/>
      <c r="AA341" s="264">
        <f t="shared" si="103"/>
        <v>2040.108388</v>
      </c>
      <c r="AB341" s="265"/>
      <c r="AC341" s="266" t="e">
        <f t="shared" si="104"/>
        <v>#DIV/0!</v>
      </c>
      <c r="AD341" s="265">
        <f t="shared" si="98"/>
        <v>21547210.6</v>
      </c>
      <c r="AE341" s="186">
        <f t="shared" si="101"/>
        <v>208216.22</v>
      </c>
      <c r="AF341" s="186">
        <f t="shared" si="102"/>
        <v>655310.94</v>
      </c>
      <c r="AG341" s="266">
        <f t="shared" si="99"/>
        <v>282599.559999999</v>
      </c>
      <c r="AH341" s="281"/>
      <c r="AI341" s="282"/>
      <c r="AJ341" s="282"/>
      <c r="AK341" s="282"/>
      <c r="AL341" s="282"/>
      <c r="AM341" s="282"/>
      <c r="AN341" s="282"/>
      <c r="AO341" s="282"/>
      <c r="AP341" s="282"/>
      <c r="AQ341" s="282"/>
      <c r="AR341" s="282"/>
      <c r="AS341" s="282"/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</row>
    <row r="342" spans="1:55">
      <c r="A342" s="189">
        <v>43072</v>
      </c>
      <c r="B342" s="184" t="s">
        <v>39</v>
      </c>
      <c r="C342" s="185">
        <v>51911</v>
      </c>
      <c r="D342" s="186">
        <f>32161+9424</f>
        <v>41585</v>
      </c>
      <c r="E342" s="186">
        <v>101369</v>
      </c>
      <c r="F342" s="187">
        <v>5130.4</v>
      </c>
      <c r="G342" s="186">
        <v>3109.6</v>
      </c>
      <c r="H342" s="188"/>
      <c r="I342" s="188"/>
      <c r="J342" s="214">
        <f t="shared" si="96"/>
        <v>59784</v>
      </c>
      <c r="K342" s="186">
        <v>574</v>
      </c>
      <c r="L342" s="186">
        <v>6852</v>
      </c>
      <c r="M342" s="215">
        <f t="shared" si="97"/>
        <v>447</v>
      </c>
      <c r="N342" s="216">
        <f t="shared" si="105"/>
        <v>144443</v>
      </c>
      <c r="O342" s="219">
        <f t="shared" si="105"/>
        <v>124466</v>
      </c>
      <c r="P342" s="218">
        <f t="shared" si="105"/>
        <v>293171</v>
      </c>
      <c r="Q342" s="238">
        <f t="shared" si="106"/>
        <v>20452994.88</v>
      </c>
      <c r="R342" s="217">
        <f t="shared" si="106"/>
        <v>13924303.8</v>
      </c>
      <c r="S342" s="239">
        <f t="shared" si="106"/>
        <v>35531298.4</v>
      </c>
      <c r="T342" s="240">
        <f>N342/'2017'!N342-1</f>
        <v>-0.24331417734914</v>
      </c>
      <c r="U342" s="241">
        <f>O342/'2017'!O342-1</f>
        <v>0.140707340096964</v>
      </c>
      <c r="V342" s="241">
        <f>P342/'2017'!P342-1</f>
        <v>-0.0366199497231487</v>
      </c>
      <c r="W342" s="241">
        <f>Q342/'2017'!Q342-1</f>
        <v>0.0081437356758669</v>
      </c>
      <c r="X342" s="241">
        <f>R342/'2017'!R342-1</f>
        <v>0.163758570664196</v>
      </c>
      <c r="Y342" s="262">
        <f>S342/'2017'!S342-1</f>
        <v>0.0761821720351861</v>
      </c>
      <c r="Z342" s="263"/>
      <c r="AA342" s="264">
        <f t="shared" si="103"/>
        <v>2045.299488</v>
      </c>
      <c r="AB342" s="265"/>
      <c r="AC342" s="266" t="e">
        <f t="shared" si="104"/>
        <v>#DIV/0!</v>
      </c>
      <c r="AD342" s="265">
        <f t="shared" si="98"/>
        <v>21606994.6</v>
      </c>
      <c r="AE342" s="186">
        <f t="shared" si="101"/>
        <v>208790.22</v>
      </c>
      <c r="AF342" s="186">
        <f t="shared" si="102"/>
        <v>662162.94</v>
      </c>
      <c r="AG342" s="266">
        <f t="shared" si="99"/>
        <v>283046.559999999</v>
      </c>
      <c r="AH342" s="281"/>
      <c r="AI342" s="282"/>
      <c r="AJ342" s="282"/>
      <c r="AK342" s="282"/>
      <c r="AL342" s="282"/>
      <c r="AM342" s="282"/>
      <c r="AN342" s="282"/>
      <c r="AO342" s="282"/>
      <c r="AP342" s="282"/>
      <c r="AQ342" s="282"/>
      <c r="AR342" s="282"/>
      <c r="AS342" s="282"/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</row>
    <row r="343" spans="1:55">
      <c r="A343" s="189">
        <v>43073</v>
      </c>
      <c r="B343" s="184" t="s">
        <v>34</v>
      </c>
      <c r="C343" s="185">
        <v>55851</v>
      </c>
      <c r="D343" s="186">
        <f>30945+9486</f>
        <v>40431</v>
      </c>
      <c r="E343" s="186">
        <v>104306</v>
      </c>
      <c r="F343" s="187">
        <v>5333.4</v>
      </c>
      <c r="G343" s="186">
        <v>3296.4</v>
      </c>
      <c r="H343" s="188"/>
      <c r="I343" s="188"/>
      <c r="J343" s="214">
        <f t="shared" si="96"/>
        <v>63875</v>
      </c>
      <c r="K343" s="186">
        <v>619</v>
      </c>
      <c r="L343" s="186">
        <v>6849</v>
      </c>
      <c r="M343" s="215">
        <f t="shared" si="97"/>
        <v>556</v>
      </c>
      <c r="N343" s="216">
        <f t="shared" si="105"/>
        <v>200294</v>
      </c>
      <c r="O343" s="219">
        <f t="shared" si="105"/>
        <v>164897</v>
      </c>
      <c r="P343" s="218">
        <f t="shared" si="105"/>
        <v>397477</v>
      </c>
      <c r="Q343" s="238">
        <f t="shared" si="106"/>
        <v>20508845.88</v>
      </c>
      <c r="R343" s="217">
        <f t="shared" si="106"/>
        <v>13964734.8</v>
      </c>
      <c r="S343" s="239">
        <f t="shared" si="106"/>
        <v>35635604.4</v>
      </c>
      <c r="T343" s="240">
        <f>N343/'2017'!N343-1</f>
        <v>-0.208245874098231</v>
      </c>
      <c r="U343" s="241">
        <f>O343/'2017'!O343-1</f>
        <v>0.123138852184337</v>
      </c>
      <c r="V343" s="241">
        <f>P343/'2017'!P343-1</f>
        <v>-0.0215661754931838</v>
      </c>
      <c r="W343" s="241">
        <f>Q343/'2017'!Q343-1</f>
        <v>0.00781249943565343</v>
      </c>
      <c r="X343" s="241">
        <f>R343/'2017'!R343-1</f>
        <v>0.163471257631754</v>
      </c>
      <c r="Y343" s="262">
        <f>S343/'2017'!S343-1</f>
        <v>0.0760196707430167</v>
      </c>
      <c r="Z343" s="263"/>
      <c r="AA343" s="264">
        <f t="shared" si="103"/>
        <v>2050.884588</v>
      </c>
      <c r="AB343" s="265"/>
      <c r="AC343" s="266" t="e">
        <f t="shared" si="104"/>
        <v>#DIV/0!</v>
      </c>
      <c r="AD343" s="265">
        <f t="shared" si="98"/>
        <v>21670869.6</v>
      </c>
      <c r="AE343" s="186">
        <f t="shared" si="101"/>
        <v>209409.22</v>
      </c>
      <c r="AF343" s="186">
        <f t="shared" ref="AF343:AF358" si="107">AF342+L343</f>
        <v>669011.94</v>
      </c>
      <c r="AG343" s="266">
        <f t="shared" si="99"/>
        <v>283602.559999999</v>
      </c>
      <c r="AH343" s="281"/>
      <c r="AI343" s="282"/>
      <c r="AJ343" s="282"/>
      <c r="AK343" s="282"/>
      <c r="AL343" s="282"/>
      <c r="AM343" s="282"/>
      <c r="AN343" s="282"/>
      <c r="AO343" s="282"/>
      <c r="AP343" s="282"/>
      <c r="AQ343" s="282"/>
      <c r="AR343" s="282"/>
      <c r="AS343" s="282"/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</row>
    <row r="344" spans="1:55">
      <c r="A344" s="189">
        <v>43074</v>
      </c>
      <c r="B344" s="184" t="s">
        <v>35</v>
      </c>
      <c r="C344" s="185">
        <v>57107</v>
      </c>
      <c r="D344" s="186">
        <f>31546+9642</f>
        <v>41188</v>
      </c>
      <c r="E344" s="186">
        <v>106402</v>
      </c>
      <c r="F344" s="330">
        <v>5447.4</v>
      </c>
      <c r="G344" s="186">
        <v>3335.2</v>
      </c>
      <c r="H344" s="188"/>
      <c r="I344" s="188"/>
      <c r="J344" s="214">
        <f t="shared" si="96"/>
        <v>65214</v>
      </c>
      <c r="K344" s="186">
        <v>785</v>
      </c>
      <c r="L344" s="186">
        <v>6848</v>
      </c>
      <c r="M344" s="215">
        <f t="shared" si="97"/>
        <v>474</v>
      </c>
      <c r="N344" s="216">
        <f t="shared" si="105"/>
        <v>257401</v>
      </c>
      <c r="O344" s="219">
        <f t="shared" si="105"/>
        <v>206085</v>
      </c>
      <c r="P344" s="218">
        <f t="shared" si="105"/>
        <v>503879</v>
      </c>
      <c r="Q344" s="238">
        <f t="shared" si="106"/>
        <v>20565952.88</v>
      </c>
      <c r="R344" s="217">
        <f t="shared" si="106"/>
        <v>14005922.8</v>
      </c>
      <c r="S344" s="239">
        <f t="shared" si="106"/>
        <v>35742006.4</v>
      </c>
      <c r="T344" s="240">
        <f>N344/'2017'!N344-1</f>
        <v>-0.189479650476265</v>
      </c>
      <c r="U344" s="241">
        <f>O344/'2017'!O344-1</f>
        <v>0.108728984532616</v>
      </c>
      <c r="V344" s="241">
        <f>P344/'2017'!P344-1</f>
        <v>-0.0161092224810546</v>
      </c>
      <c r="W344" s="241">
        <f>Q344/'2017'!Q344-1</f>
        <v>0.00742073367506646</v>
      </c>
      <c r="X344" s="241">
        <f>R344/'2017'!R344-1</f>
        <v>0.163118010540701</v>
      </c>
      <c r="Y344" s="262">
        <f>S344/'2017'!S344-1</f>
        <v>0.0757927616753955</v>
      </c>
      <c r="Z344" s="263"/>
      <c r="AA344" s="264">
        <f t="shared" si="103"/>
        <v>2056.595288</v>
      </c>
      <c r="AB344" s="265"/>
      <c r="AC344" s="266" t="e">
        <f t="shared" si="104"/>
        <v>#DIV/0!</v>
      </c>
      <c r="AD344" s="265">
        <f t="shared" si="98"/>
        <v>21736083.6</v>
      </c>
      <c r="AE344" s="186">
        <f t="shared" si="101"/>
        <v>210194.22</v>
      </c>
      <c r="AF344" s="186">
        <f t="shared" si="107"/>
        <v>675859.94</v>
      </c>
      <c r="AG344" s="266">
        <f t="shared" si="99"/>
        <v>284076.559999999</v>
      </c>
      <c r="AH344" s="281"/>
      <c r="AI344" s="282"/>
      <c r="AJ344" s="282"/>
      <c r="AK344" s="282"/>
      <c r="AL344" s="282"/>
      <c r="AM344" s="282"/>
      <c r="AN344" s="282"/>
      <c r="AO344" s="282"/>
      <c r="AP344" s="282"/>
      <c r="AQ344" s="282"/>
      <c r="AR344" s="282"/>
      <c r="AS344" s="282"/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</row>
    <row r="345" s="163" customFormat="1" spans="1:55">
      <c r="A345" s="190">
        <v>43075</v>
      </c>
      <c r="B345" s="191" t="s">
        <v>36</v>
      </c>
      <c r="C345" s="192">
        <v>58148</v>
      </c>
      <c r="D345" s="193">
        <v>41487</v>
      </c>
      <c r="E345" s="193">
        <v>107739</v>
      </c>
      <c r="F345" s="194">
        <v>5495</v>
      </c>
      <c r="G345" s="193">
        <v>3373</v>
      </c>
      <c r="H345" s="195"/>
      <c r="I345" s="195"/>
      <c r="J345" s="220">
        <f t="shared" si="96"/>
        <v>66252</v>
      </c>
      <c r="K345" s="193">
        <v>718</v>
      </c>
      <c r="L345" s="193">
        <v>6850</v>
      </c>
      <c r="M345" s="221">
        <f t="shared" si="97"/>
        <v>536</v>
      </c>
      <c r="N345" s="222">
        <f t="shared" si="105"/>
        <v>315549</v>
      </c>
      <c r="O345" s="225">
        <f t="shared" si="105"/>
        <v>247572</v>
      </c>
      <c r="P345" s="224">
        <f t="shared" si="105"/>
        <v>611618</v>
      </c>
      <c r="Q345" s="242">
        <f t="shared" si="106"/>
        <v>20624100.88</v>
      </c>
      <c r="R345" s="223">
        <f t="shared" si="106"/>
        <v>14047409.8</v>
      </c>
      <c r="S345" s="243">
        <f t="shared" si="106"/>
        <v>35849745.4</v>
      </c>
      <c r="T345" s="244">
        <f>N345/'2017'!N345-1</f>
        <v>-0.17928584247336</v>
      </c>
      <c r="U345" s="245">
        <f>O345/'2017'!O345-1</f>
        <v>0.0995429896206681</v>
      </c>
      <c r="V345" s="245">
        <f>P345/'2017'!P345-1</f>
        <v>-0.0137404678628501</v>
      </c>
      <c r="W345" s="245">
        <f>Q345/'2017'!Q345-1</f>
        <v>0.00696888439719245</v>
      </c>
      <c r="X345" s="245">
        <f>R345/'2017'!R345-1</f>
        <v>0.162769948947884</v>
      </c>
      <c r="Y345" s="267">
        <f>S345/'2017'!S345-1</f>
        <v>0.0755390293803553</v>
      </c>
      <c r="Z345" s="268">
        <v>135.59</v>
      </c>
      <c r="AA345" s="269">
        <f t="shared" si="103"/>
        <v>1926.820088</v>
      </c>
      <c r="AB345" s="270">
        <v>4286.88</v>
      </c>
      <c r="AC345" s="221">
        <f t="shared" si="104"/>
        <v>4494.69098271937</v>
      </c>
      <c r="AD345" s="270">
        <f t="shared" si="98"/>
        <v>21802335.6</v>
      </c>
      <c r="AE345" s="193">
        <f t="shared" si="101"/>
        <v>210912.22</v>
      </c>
      <c r="AF345" s="193">
        <f t="shared" si="107"/>
        <v>682709.94</v>
      </c>
      <c r="AG345" s="221">
        <f t="shared" si="99"/>
        <v>284612.559999999</v>
      </c>
      <c r="AH345" s="283">
        <f>AD345/'2017'!AD345-1</f>
        <v>0.025948859471423</v>
      </c>
      <c r="AI345" s="288">
        <f>(AD345-AD338)/('2017'!AD345-'2017'!AD338)-1</f>
        <v>-0.0801230216221533</v>
      </c>
      <c r="AJ345" s="282"/>
      <c r="AK345" s="282"/>
      <c r="AL345" s="282"/>
      <c r="AM345" s="282"/>
      <c r="AN345" s="282"/>
      <c r="AO345" s="282"/>
      <c r="AP345" s="282"/>
      <c r="AQ345" s="282"/>
      <c r="AR345" s="282"/>
      <c r="AS345" s="282"/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</row>
    <row r="346" spans="1:55">
      <c r="A346" s="189">
        <v>43076</v>
      </c>
      <c r="B346" s="184" t="s">
        <v>37</v>
      </c>
      <c r="C346" s="185">
        <v>66196</v>
      </c>
      <c r="D346" s="186">
        <f>29225+9481</f>
        <v>38706</v>
      </c>
      <c r="E346" s="186">
        <v>112954</v>
      </c>
      <c r="F346" s="187">
        <v>5754.8</v>
      </c>
      <c r="G346" s="186">
        <v>3382.6</v>
      </c>
      <c r="H346" s="188"/>
      <c r="I346" s="188"/>
      <c r="J346" s="214">
        <f t="shared" si="96"/>
        <v>74248</v>
      </c>
      <c r="K346" s="186">
        <v>625</v>
      </c>
      <c r="L346" s="186">
        <v>6851</v>
      </c>
      <c r="M346" s="215">
        <f t="shared" si="97"/>
        <v>576</v>
      </c>
      <c r="N346" s="216">
        <f t="shared" si="105"/>
        <v>381745</v>
      </c>
      <c r="O346" s="219">
        <f t="shared" si="105"/>
        <v>286278</v>
      </c>
      <c r="P346" s="218">
        <f t="shared" si="105"/>
        <v>724572</v>
      </c>
      <c r="Q346" s="238">
        <f t="shared" si="106"/>
        <v>20690296.88</v>
      </c>
      <c r="R346" s="217">
        <f t="shared" si="106"/>
        <v>14086115.8</v>
      </c>
      <c r="S346" s="239">
        <f t="shared" si="106"/>
        <v>35962699.4</v>
      </c>
      <c r="T346" s="240">
        <f>N346/'2017'!N346-1</f>
        <v>-0.160219280781914</v>
      </c>
      <c r="U346" s="241">
        <f>O346/'2017'!O346-1</f>
        <v>0.0895825166228339</v>
      </c>
      <c r="V346" s="241">
        <f>P346/'2017'!P346-1</f>
        <v>-0.00661369132816747</v>
      </c>
      <c r="W346" s="241">
        <f>Q346/'2017'!Q346-1</f>
        <v>0.00675534774624054</v>
      </c>
      <c r="X346" s="241">
        <f>R346/'2017'!R346-1</f>
        <v>0.162357918467278</v>
      </c>
      <c r="Y346" s="262">
        <f>S346/'2017'!S346-1</f>
        <v>0.0754027850063017</v>
      </c>
      <c r="Z346" s="263"/>
      <c r="AA346" s="264">
        <f t="shared" si="103"/>
        <v>2069.029688</v>
      </c>
      <c r="AB346" s="265"/>
      <c r="AC346" s="266" t="e">
        <f t="shared" si="104"/>
        <v>#DIV/0!</v>
      </c>
      <c r="AD346" s="265">
        <f t="shared" si="98"/>
        <v>21876583.6</v>
      </c>
      <c r="AE346" s="186">
        <f t="shared" si="101"/>
        <v>211537.22</v>
      </c>
      <c r="AF346" s="186">
        <f t="shared" si="107"/>
        <v>689560.94</v>
      </c>
      <c r="AG346" s="266">
        <f t="shared" si="99"/>
        <v>285188.559999999</v>
      </c>
      <c r="AH346" s="281"/>
      <c r="AI346" s="282"/>
      <c r="AJ346" s="282"/>
      <c r="AK346" s="282"/>
      <c r="AL346" s="282"/>
      <c r="AM346" s="282"/>
      <c r="AN346" s="282"/>
      <c r="AO346" s="282"/>
      <c r="AP346" s="282"/>
      <c r="AQ346" s="282"/>
      <c r="AR346" s="282"/>
      <c r="AS346" s="282"/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</row>
    <row r="347" spans="1:55">
      <c r="A347" s="189">
        <v>43077</v>
      </c>
      <c r="B347" s="184" t="s">
        <v>38</v>
      </c>
      <c r="C347" s="185">
        <v>70997</v>
      </c>
      <c r="D347" s="186">
        <f>28772+9532</f>
        <v>38304</v>
      </c>
      <c r="E347" s="186">
        <v>117777</v>
      </c>
      <c r="F347" s="187">
        <v>5957.2</v>
      </c>
      <c r="G347" s="186">
        <v>3560.5</v>
      </c>
      <c r="H347" s="188"/>
      <c r="I347" s="188"/>
      <c r="J347" s="214">
        <f t="shared" si="96"/>
        <v>79473</v>
      </c>
      <c r="K347" s="186">
        <v>1229</v>
      </c>
      <c r="L347" s="186">
        <v>6857</v>
      </c>
      <c r="M347" s="215">
        <f t="shared" si="97"/>
        <v>390</v>
      </c>
      <c r="N347" s="216">
        <f t="shared" si="105"/>
        <v>452742</v>
      </c>
      <c r="O347" s="219">
        <f t="shared" si="105"/>
        <v>324582</v>
      </c>
      <c r="P347" s="218">
        <f t="shared" si="105"/>
        <v>842349</v>
      </c>
      <c r="Q347" s="238">
        <f t="shared" si="106"/>
        <v>20761293.88</v>
      </c>
      <c r="R347" s="217">
        <f t="shared" si="106"/>
        <v>14124419.8</v>
      </c>
      <c r="S347" s="239">
        <f t="shared" si="106"/>
        <v>36080476.4</v>
      </c>
      <c r="T347" s="240">
        <f>N347/'2017'!N347-1</f>
        <v>-0.135716399247855</v>
      </c>
      <c r="U347" s="241">
        <f>O347/'2017'!O347-1</f>
        <v>0.0802368266033886</v>
      </c>
      <c r="V347" s="241">
        <f>P347/'2017'!P347-1</f>
        <v>0.00448491988914701</v>
      </c>
      <c r="W347" s="241">
        <f>Q347/'2017'!Q347-1</f>
        <v>0.00681699146993853</v>
      </c>
      <c r="X347" s="241">
        <f>R347/'2017'!R347-1</f>
        <v>0.16190102878326</v>
      </c>
      <c r="Y347" s="262">
        <f>S347/'2017'!S347-1</f>
        <v>0.0754132653514019</v>
      </c>
      <c r="Z347" s="263"/>
      <c r="AA347" s="264">
        <f t="shared" si="103"/>
        <v>2076.129388</v>
      </c>
      <c r="AB347" s="265"/>
      <c r="AC347" s="266" t="e">
        <f t="shared" si="104"/>
        <v>#DIV/0!</v>
      </c>
      <c r="AD347" s="265">
        <f t="shared" si="98"/>
        <v>21956056.6</v>
      </c>
      <c r="AE347" s="186">
        <f t="shared" si="101"/>
        <v>212766.22</v>
      </c>
      <c r="AF347" s="186">
        <f t="shared" si="107"/>
        <v>696417.94</v>
      </c>
      <c r="AG347" s="266">
        <f t="shared" si="99"/>
        <v>285578.559999999</v>
      </c>
      <c r="AH347" s="281"/>
      <c r="AI347" s="282"/>
      <c r="AJ347" s="282"/>
      <c r="AK347" s="282"/>
      <c r="AL347" s="282"/>
      <c r="AM347" s="282"/>
      <c r="AN347" s="282"/>
      <c r="AO347" s="282"/>
      <c r="AP347" s="282"/>
      <c r="AQ347" s="282"/>
      <c r="AR347" s="282"/>
      <c r="AS347" s="282"/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</row>
    <row r="348" spans="1:55">
      <c r="A348" s="189">
        <v>43078</v>
      </c>
      <c r="B348" s="184" t="s">
        <v>1</v>
      </c>
      <c r="C348" s="185">
        <v>71176</v>
      </c>
      <c r="D348" s="186">
        <f>26297+9517</f>
        <v>35814</v>
      </c>
      <c r="E348" s="186">
        <v>115036</v>
      </c>
      <c r="F348" s="187">
        <v>5742.2</v>
      </c>
      <c r="G348" s="186">
        <v>3630.6</v>
      </c>
      <c r="H348" s="188"/>
      <c r="I348" s="188"/>
      <c r="J348" s="214">
        <f t="shared" si="96"/>
        <v>79222</v>
      </c>
      <c r="K348" s="186">
        <v>828</v>
      </c>
      <c r="L348" s="186">
        <v>6856</v>
      </c>
      <c r="M348" s="215">
        <f t="shared" si="97"/>
        <v>362</v>
      </c>
      <c r="N348" s="216">
        <f t="shared" si="105"/>
        <v>523918</v>
      </c>
      <c r="O348" s="219">
        <f t="shared" si="105"/>
        <v>360396</v>
      </c>
      <c r="P348" s="218">
        <f t="shared" si="105"/>
        <v>957385</v>
      </c>
      <c r="Q348" s="238">
        <f t="shared" si="106"/>
        <v>20832469.88</v>
      </c>
      <c r="R348" s="217">
        <f t="shared" si="106"/>
        <v>14160233.8</v>
      </c>
      <c r="S348" s="239">
        <f t="shared" si="106"/>
        <v>36195512.4</v>
      </c>
      <c r="T348" s="240">
        <f>N348/'2017'!N348-1</f>
        <v>-0.11389125202746</v>
      </c>
      <c r="U348" s="241">
        <f>O348/'2017'!O348-1</f>
        <v>0.0604716856213863</v>
      </c>
      <c r="V348" s="241">
        <f>P348/'2017'!P348-1</f>
        <v>0.0108541291620254</v>
      </c>
      <c r="W348" s="241">
        <f>Q348/'2017'!Q348-1</f>
        <v>0.00697623169502415</v>
      </c>
      <c r="X348" s="241">
        <f>R348/'2017'!R348-1</f>
        <v>0.161086611531269</v>
      </c>
      <c r="Y348" s="262">
        <f>S348/'2017'!S348-1</f>
        <v>0.0753638096757809</v>
      </c>
      <c r="Z348" s="263"/>
      <c r="AA348" s="264">
        <f t="shared" si="103"/>
        <v>2083.246988</v>
      </c>
      <c r="AB348" s="265"/>
      <c r="AC348" s="266" t="e">
        <f t="shared" si="104"/>
        <v>#DIV/0!</v>
      </c>
      <c r="AD348" s="265">
        <f t="shared" si="98"/>
        <v>22035278.6</v>
      </c>
      <c r="AE348" s="186">
        <f t="shared" si="101"/>
        <v>213594.22</v>
      </c>
      <c r="AF348" s="186">
        <f t="shared" si="107"/>
        <v>703273.94</v>
      </c>
      <c r="AG348" s="266">
        <f t="shared" si="99"/>
        <v>285940.559999999</v>
      </c>
      <c r="AH348" s="281"/>
      <c r="AI348" s="282"/>
      <c r="AJ348" s="282"/>
      <c r="AK348" s="282"/>
      <c r="AL348" s="282"/>
      <c r="AM348" s="282"/>
      <c r="AN348" s="282"/>
      <c r="AO348" s="282"/>
      <c r="AP348" s="282"/>
      <c r="AQ348" s="282"/>
      <c r="AR348" s="282"/>
      <c r="AS348" s="282"/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</row>
    <row r="349" spans="1:55">
      <c r="A349" s="189">
        <v>43079</v>
      </c>
      <c r="B349" s="184" t="s">
        <v>39</v>
      </c>
      <c r="C349" s="185">
        <v>73228</v>
      </c>
      <c r="D349" s="186">
        <f>29087+9554</f>
        <v>38641</v>
      </c>
      <c r="E349" s="186">
        <v>120221</v>
      </c>
      <c r="F349" s="187">
        <v>6251.3</v>
      </c>
      <c r="G349" s="186">
        <v>3504.8</v>
      </c>
      <c r="H349" s="188"/>
      <c r="I349" s="188"/>
      <c r="J349" s="214">
        <f t="shared" si="96"/>
        <v>81580</v>
      </c>
      <c r="K349" s="186">
        <v>1026</v>
      </c>
      <c r="L349" s="186">
        <v>6856</v>
      </c>
      <c r="M349" s="215">
        <f t="shared" si="97"/>
        <v>470</v>
      </c>
      <c r="N349" s="216">
        <f t="shared" si="105"/>
        <v>597146</v>
      </c>
      <c r="O349" s="219">
        <f t="shared" si="105"/>
        <v>399037</v>
      </c>
      <c r="P349" s="218">
        <f t="shared" si="105"/>
        <v>1077606</v>
      </c>
      <c r="Q349" s="238">
        <f t="shared" si="106"/>
        <v>20905697.88</v>
      </c>
      <c r="R349" s="217">
        <f t="shared" si="106"/>
        <v>14198874.8</v>
      </c>
      <c r="S349" s="239">
        <f t="shared" si="106"/>
        <v>36315733.4</v>
      </c>
      <c r="T349" s="240">
        <f>N349/'2017'!N349-1</f>
        <v>-0.084750958324201</v>
      </c>
      <c r="U349" s="241">
        <f>O349/'2017'!O349-1</f>
        <v>0.0537410942046972</v>
      </c>
      <c r="V349" s="241">
        <f>P349/'2017'!P349-1</f>
        <v>0.0272286524276435</v>
      </c>
      <c r="W349" s="241">
        <f>Q349/'2017'!Q349-1</f>
        <v>0.00753611324442383</v>
      </c>
      <c r="X349" s="241">
        <f>R349/'2017'!R349-1</f>
        <v>0.16055886154866</v>
      </c>
      <c r="Y349" s="262">
        <f>S349/'2017'!S349-1</f>
        <v>0.0756778319285352</v>
      </c>
      <c r="Z349" s="263"/>
      <c r="AA349" s="264">
        <f t="shared" si="103"/>
        <v>2090.569788</v>
      </c>
      <c r="AB349" s="265"/>
      <c r="AC349" s="266" t="e">
        <f t="shared" si="104"/>
        <v>#DIV/0!</v>
      </c>
      <c r="AD349" s="265">
        <f t="shared" si="98"/>
        <v>22116858.6</v>
      </c>
      <c r="AE349" s="186">
        <f t="shared" si="101"/>
        <v>214620.22</v>
      </c>
      <c r="AF349" s="186">
        <f t="shared" si="107"/>
        <v>710129.94</v>
      </c>
      <c r="AG349" s="266">
        <f t="shared" si="99"/>
        <v>286410.559999999</v>
      </c>
      <c r="AH349" s="281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282"/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</row>
    <row r="350" spans="1:55">
      <c r="A350" s="189">
        <v>43080</v>
      </c>
      <c r="B350" s="184" t="s">
        <v>34</v>
      </c>
      <c r="C350" s="185">
        <v>71342</v>
      </c>
      <c r="D350" s="186">
        <f>29550+10115</f>
        <v>39665</v>
      </c>
      <c r="E350" s="186">
        <v>119373</v>
      </c>
      <c r="F350" s="187">
        <v>6069.5</v>
      </c>
      <c r="G350" s="186">
        <v>3593.1</v>
      </c>
      <c r="H350" s="188"/>
      <c r="I350" s="188"/>
      <c r="J350" s="214">
        <f t="shared" si="96"/>
        <v>79708</v>
      </c>
      <c r="K350" s="186">
        <v>699</v>
      </c>
      <c r="L350" s="186">
        <v>6859</v>
      </c>
      <c r="M350" s="215">
        <f t="shared" si="97"/>
        <v>808</v>
      </c>
      <c r="N350" s="216">
        <f t="shared" si="105"/>
        <v>668488</v>
      </c>
      <c r="O350" s="219">
        <f t="shared" si="105"/>
        <v>438702</v>
      </c>
      <c r="P350" s="218">
        <f t="shared" si="105"/>
        <v>1196979</v>
      </c>
      <c r="Q350" s="238">
        <f t="shared" si="106"/>
        <v>20977039.88</v>
      </c>
      <c r="R350" s="217">
        <f t="shared" si="106"/>
        <v>14238539.8</v>
      </c>
      <c r="S350" s="239">
        <f t="shared" si="106"/>
        <v>36435106.4</v>
      </c>
      <c r="T350" s="240">
        <f>N350/'2017'!N350-1</f>
        <v>-0.0720419330747682</v>
      </c>
      <c r="U350" s="241">
        <f>O350/'2017'!O350-1</f>
        <v>0.051581679982166</v>
      </c>
      <c r="V350" s="241">
        <f>P350/'2017'!P350-1</f>
        <v>0.0343001372178307</v>
      </c>
      <c r="W350" s="241">
        <f>Q350/'2017'!Q350-1</f>
        <v>0.00767469809671639</v>
      </c>
      <c r="X350" s="241">
        <f>R350/'2017'!R350-1</f>
        <v>0.160150401547721</v>
      </c>
      <c r="Y350" s="262">
        <f>S350/'2017'!S350-1</f>
        <v>0.0757646215396377</v>
      </c>
      <c r="Z350" s="263"/>
      <c r="AA350" s="264">
        <f t="shared" si="103"/>
        <v>2097.703988</v>
      </c>
      <c r="AB350" s="265"/>
      <c r="AC350" s="266" t="e">
        <f t="shared" si="104"/>
        <v>#DIV/0!</v>
      </c>
      <c r="AD350" s="265">
        <f t="shared" si="98"/>
        <v>22196566.6</v>
      </c>
      <c r="AE350" s="186">
        <f t="shared" si="101"/>
        <v>215319.22</v>
      </c>
      <c r="AF350" s="186">
        <f t="shared" si="107"/>
        <v>716988.94</v>
      </c>
      <c r="AG350" s="266">
        <f t="shared" si="99"/>
        <v>287218.559999999</v>
      </c>
      <c r="AH350" s="281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282"/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</row>
    <row r="351" spans="1:55">
      <c r="A351" s="189">
        <v>43081</v>
      </c>
      <c r="B351" s="184" t="s">
        <v>35</v>
      </c>
      <c r="C351" s="185">
        <f>68702+4378</f>
        <v>73080</v>
      </c>
      <c r="D351" s="186">
        <f>26682+13368</f>
        <v>40050</v>
      </c>
      <c r="E351" s="186">
        <f>94677+26682</f>
        <v>121359</v>
      </c>
      <c r="F351" s="187">
        <v>6071</v>
      </c>
      <c r="G351" s="186">
        <v>3670</v>
      </c>
      <c r="H351" s="188"/>
      <c r="I351" s="188"/>
      <c r="J351" s="214">
        <f t="shared" si="96"/>
        <v>81309</v>
      </c>
      <c r="K351" s="186">
        <v>585</v>
      </c>
      <c r="L351" s="186">
        <v>6856</v>
      </c>
      <c r="M351" s="215">
        <f t="shared" si="97"/>
        <v>788</v>
      </c>
      <c r="N351" s="216">
        <f t="shared" si="105"/>
        <v>741568</v>
      </c>
      <c r="O351" s="219">
        <f t="shared" si="105"/>
        <v>478752</v>
      </c>
      <c r="P351" s="218">
        <f t="shared" si="105"/>
        <v>1318338</v>
      </c>
      <c r="Q351" s="238">
        <f t="shared" si="106"/>
        <v>21050119.88</v>
      </c>
      <c r="R351" s="217">
        <f t="shared" si="106"/>
        <v>14278589.8</v>
      </c>
      <c r="S351" s="239">
        <f t="shared" si="106"/>
        <v>36556465.4</v>
      </c>
      <c r="T351" s="240">
        <f>N351/'2017'!N351-1</f>
        <v>-0.0633752028746629</v>
      </c>
      <c r="U351" s="241">
        <f>O351/'2017'!O351-1</f>
        <v>0.0517052381841547</v>
      </c>
      <c r="V351" s="241">
        <f>P351/'2017'!P351-1</f>
        <v>0.039214372480965</v>
      </c>
      <c r="W351" s="241">
        <f>Q351/'2017'!Q351-1</f>
        <v>0.00773086937616529</v>
      </c>
      <c r="X351" s="241">
        <f>R351/'2017'!R351-1</f>
        <v>0.159819573384678</v>
      </c>
      <c r="Y351" s="262">
        <f>S351/'2017'!S351-1</f>
        <v>0.0758122628321483</v>
      </c>
      <c r="Z351" s="263">
        <v>139.37</v>
      </c>
      <c r="AA351" s="264">
        <f t="shared" si="103"/>
        <v>1965.641988</v>
      </c>
      <c r="AB351" s="265"/>
      <c r="AC351" s="266" t="e">
        <f t="shared" si="104"/>
        <v>#DIV/0!</v>
      </c>
      <c r="AD351" s="265">
        <f t="shared" si="98"/>
        <v>22277875.6</v>
      </c>
      <c r="AE351" s="186">
        <f t="shared" si="101"/>
        <v>215904.22</v>
      </c>
      <c r="AF351" s="186">
        <f t="shared" si="107"/>
        <v>723844.94</v>
      </c>
      <c r="AG351" s="266">
        <f t="shared" si="99"/>
        <v>288006.559999999</v>
      </c>
      <c r="AH351" s="281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282"/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</row>
    <row r="352" s="163" customFormat="1" spans="1:55">
      <c r="A352" s="190">
        <v>43082</v>
      </c>
      <c r="B352" s="191" t="s">
        <v>36</v>
      </c>
      <c r="C352" s="192">
        <f>71929+4434</f>
        <v>76363</v>
      </c>
      <c r="D352" s="193">
        <f>13888+26580</f>
        <v>40468</v>
      </c>
      <c r="E352" s="193">
        <f>98225+26580</f>
        <v>124805</v>
      </c>
      <c r="F352" s="194">
        <v>6293</v>
      </c>
      <c r="G352" s="193">
        <v>3764</v>
      </c>
      <c r="H352" s="195"/>
      <c r="I352" s="195"/>
      <c r="J352" s="220">
        <f t="shared" si="96"/>
        <v>84337</v>
      </c>
      <c r="K352" s="193">
        <v>687</v>
      </c>
      <c r="L352" s="193">
        <v>6841</v>
      </c>
      <c r="M352" s="221">
        <f t="shared" si="97"/>
        <v>446</v>
      </c>
      <c r="N352" s="222">
        <f t="shared" si="105"/>
        <v>817931</v>
      </c>
      <c r="O352" s="225">
        <f t="shared" si="105"/>
        <v>519220</v>
      </c>
      <c r="P352" s="224">
        <f t="shared" si="105"/>
        <v>1443143</v>
      </c>
      <c r="Q352" s="242">
        <f t="shared" si="106"/>
        <v>21126482.88</v>
      </c>
      <c r="R352" s="223">
        <f t="shared" si="106"/>
        <v>14319057.8</v>
      </c>
      <c r="S352" s="243">
        <f t="shared" si="106"/>
        <v>36681270.4</v>
      </c>
      <c r="T352" s="244">
        <f>N352/'2017'!N352-1</f>
        <v>-0.055353123314535</v>
      </c>
      <c r="U352" s="245">
        <f>O352/'2017'!O352-1</f>
        <v>0.0538985844365147</v>
      </c>
      <c r="V352" s="245">
        <f>P352/'2017'!P352-1</f>
        <v>0.0443066324629229</v>
      </c>
      <c r="W352" s="245">
        <f>Q352/'2017'!Q352-1</f>
        <v>0.00781082236991337</v>
      </c>
      <c r="X352" s="245">
        <f>R352/'2017'!R352-1</f>
        <v>0.159579187585208</v>
      </c>
      <c r="Y352" s="267">
        <f>S352/'2017'!S352-1</f>
        <v>0.0758970190851249</v>
      </c>
      <c r="Z352" s="268">
        <v>139.81</v>
      </c>
      <c r="AA352" s="269">
        <f t="shared" si="103"/>
        <v>1972.838288</v>
      </c>
      <c r="AB352" s="270">
        <v>4286.88</v>
      </c>
      <c r="AC352" s="221">
        <f t="shared" si="104"/>
        <v>4602.0375844437</v>
      </c>
      <c r="AD352" s="270">
        <f t="shared" si="98"/>
        <v>22362212.6</v>
      </c>
      <c r="AE352" s="193">
        <f t="shared" si="101"/>
        <v>216591.22</v>
      </c>
      <c r="AF352" s="193">
        <f t="shared" si="107"/>
        <v>730685.94</v>
      </c>
      <c r="AG352" s="221">
        <f t="shared" si="99"/>
        <v>288452.559999999</v>
      </c>
      <c r="AH352" s="281"/>
      <c r="AI352" s="282"/>
      <c r="AJ352" s="282"/>
      <c r="AK352" s="282"/>
      <c r="AL352" s="282"/>
      <c r="AM352" s="282"/>
      <c r="AN352" s="282"/>
      <c r="AO352" s="282"/>
      <c r="AP352" s="282"/>
      <c r="AQ352" s="282"/>
      <c r="AR352" s="282"/>
      <c r="AS352" s="282"/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</row>
    <row r="353" spans="1:55">
      <c r="A353" s="189">
        <v>43083</v>
      </c>
      <c r="B353" s="184" t="s">
        <v>37</v>
      </c>
      <c r="C353" s="185">
        <v>77209</v>
      </c>
      <c r="D353" s="186">
        <f>30096+10987</f>
        <v>41083</v>
      </c>
      <c r="E353" s="186">
        <v>126225</v>
      </c>
      <c r="F353" s="187">
        <v>6407.8</v>
      </c>
      <c r="G353" s="186">
        <v>3836.2</v>
      </c>
      <c r="H353" s="188"/>
      <c r="I353" s="188"/>
      <c r="J353" s="214">
        <f t="shared" si="96"/>
        <v>85142</v>
      </c>
      <c r="K353" s="186">
        <v>659</v>
      </c>
      <c r="L353" s="186">
        <v>6856</v>
      </c>
      <c r="M353" s="215">
        <f t="shared" si="97"/>
        <v>418</v>
      </c>
      <c r="N353" s="216">
        <f t="shared" si="105"/>
        <v>895140</v>
      </c>
      <c r="O353" s="219">
        <f t="shared" si="105"/>
        <v>560303</v>
      </c>
      <c r="P353" s="218">
        <f t="shared" si="105"/>
        <v>1569368</v>
      </c>
      <c r="Q353" s="238">
        <f t="shared" si="106"/>
        <v>21203691.88</v>
      </c>
      <c r="R353" s="217">
        <f t="shared" si="106"/>
        <v>14360140.8</v>
      </c>
      <c r="S353" s="239">
        <f t="shared" si="106"/>
        <v>36807495.4</v>
      </c>
      <c r="T353" s="240">
        <f>N353/'2017'!N353-1</f>
        <v>-0.046977207686018</v>
      </c>
      <c r="U353" s="241">
        <f>O353/'2017'!O353-1</f>
        <v>0.0525660268897903</v>
      </c>
      <c r="V353" s="241">
        <f>P353/'2017'!P353-1</f>
        <v>0.0487273213271409</v>
      </c>
      <c r="W353" s="241">
        <f>Q353/'2017'!Q353-1</f>
        <v>0.00796439830180939</v>
      </c>
      <c r="X353" s="241">
        <f>R353/'2017'!R353-1</f>
        <v>0.159183639203594</v>
      </c>
      <c r="Y353" s="262">
        <f>S353/'2017'!S353-1</f>
        <v>0.0759846336071874</v>
      </c>
      <c r="Z353" s="263"/>
      <c r="AA353" s="264">
        <f t="shared" si="103"/>
        <v>2120.369188</v>
      </c>
      <c r="AB353" s="265"/>
      <c r="AC353" s="266" t="e">
        <f t="shared" si="104"/>
        <v>#DIV/0!</v>
      </c>
      <c r="AD353" s="265">
        <f t="shared" si="98"/>
        <v>22447354.6</v>
      </c>
      <c r="AE353" s="186">
        <f t="shared" si="101"/>
        <v>217250.22</v>
      </c>
      <c r="AF353" s="186">
        <f t="shared" si="107"/>
        <v>737541.94</v>
      </c>
      <c r="AG353" s="266">
        <f t="shared" si="99"/>
        <v>288870.559999999</v>
      </c>
      <c r="AH353" s="281"/>
      <c r="AI353" s="282"/>
      <c r="AJ353" s="282"/>
      <c r="AK353" s="282"/>
      <c r="AL353" s="282"/>
      <c r="AM353" s="282"/>
      <c r="AN353" s="282"/>
      <c r="AO353" s="282"/>
      <c r="AP353" s="282"/>
      <c r="AQ353" s="282"/>
      <c r="AR353" s="282"/>
      <c r="AS353" s="282"/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</row>
    <row r="354" spans="1:55">
      <c r="A354" s="189">
        <v>43084</v>
      </c>
      <c r="B354" s="184" t="s">
        <v>38</v>
      </c>
      <c r="C354" s="185">
        <v>73402</v>
      </c>
      <c r="D354" s="186">
        <f>28774+11322</f>
        <v>40096</v>
      </c>
      <c r="E354" s="186">
        <v>121350</v>
      </c>
      <c r="F354" s="187">
        <v>6120.6</v>
      </c>
      <c r="G354" s="186">
        <v>3800.5</v>
      </c>
      <c r="H354" s="188"/>
      <c r="I354" s="188"/>
      <c r="J354" s="214">
        <f t="shared" si="96"/>
        <v>81254</v>
      </c>
      <c r="K354" s="186">
        <v>615</v>
      </c>
      <c r="L354" s="186">
        <v>6858</v>
      </c>
      <c r="M354" s="215">
        <f t="shared" si="97"/>
        <v>379</v>
      </c>
      <c r="N354" s="216">
        <f t="shared" si="105"/>
        <v>968542</v>
      </c>
      <c r="O354" s="219">
        <f t="shared" si="105"/>
        <v>600399</v>
      </c>
      <c r="P354" s="218">
        <f t="shared" si="105"/>
        <v>1690718</v>
      </c>
      <c r="Q354" s="238">
        <f t="shared" si="106"/>
        <v>21277093.88</v>
      </c>
      <c r="R354" s="217">
        <f t="shared" si="106"/>
        <v>14400236.8</v>
      </c>
      <c r="S354" s="239">
        <f t="shared" si="106"/>
        <v>36928845.4</v>
      </c>
      <c r="T354" s="240">
        <f>N354/'2017'!N354-1</f>
        <v>-0.0432083581535166</v>
      </c>
      <c r="U354" s="241">
        <f>O354/'2017'!O354-1</f>
        <v>0.0502306348098509</v>
      </c>
      <c r="V354" s="241">
        <f>P354/'2017'!P354-1</f>
        <v>0.049989318256342</v>
      </c>
      <c r="W354" s="241">
        <f>Q354/'2017'!Q354-1</f>
        <v>0.00795508782281229</v>
      </c>
      <c r="X354" s="241">
        <f>R354/'2017'!R354-1</f>
        <v>0.158738514998014</v>
      </c>
      <c r="Y354" s="262">
        <f>S354/'2017'!S354-1</f>
        <v>0.0759534851724828</v>
      </c>
      <c r="Z354" s="263"/>
      <c r="AA354" s="264">
        <f t="shared" si="103"/>
        <v>2127.709388</v>
      </c>
      <c r="AB354" s="265"/>
      <c r="AC354" s="266" t="e">
        <f t="shared" si="104"/>
        <v>#DIV/0!</v>
      </c>
      <c r="AD354" s="265">
        <f t="shared" si="98"/>
        <v>22528608.6</v>
      </c>
      <c r="AE354" s="186">
        <f t="shared" si="101"/>
        <v>217865.22</v>
      </c>
      <c r="AF354" s="186">
        <f t="shared" si="107"/>
        <v>744399.94</v>
      </c>
      <c r="AG354" s="266">
        <f t="shared" si="99"/>
        <v>289249.559999999</v>
      </c>
      <c r="AH354" s="281"/>
      <c r="AI354" s="282"/>
      <c r="AJ354" s="282"/>
      <c r="AK354" s="282"/>
      <c r="AL354" s="282"/>
      <c r="AM354" s="282"/>
      <c r="AN354" s="282"/>
      <c r="AO354" s="282"/>
      <c r="AP354" s="282"/>
      <c r="AQ354" s="282"/>
      <c r="AR354" s="282"/>
      <c r="AS354" s="282"/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</row>
    <row r="355" spans="1:55">
      <c r="A355" s="189">
        <v>43085</v>
      </c>
      <c r="B355" s="184" t="s">
        <v>1</v>
      </c>
      <c r="C355" s="185">
        <v>62082</v>
      </c>
      <c r="D355" s="186">
        <f>28584+11246</f>
        <v>39830</v>
      </c>
      <c r="E355" s="186">
        <v>110459</v>
      </c>
      <c r="F355" s="187">
        <v>5432.2</v>
      </c>
      <c r="G355" s="186">
        <v>3660.9</v>
      </c>
      <c r="H355" s="188"/>
      <c r="I355" s="188"/>
      <c r="J355" s="214">
        <f t="shared" si="96"/>
        <v>70629</v>
      </c>
      <c r="K355" s="186">
        <v>569</v>
      </c>
      <c r="L355" s="186">
        <v>6860</v>
      </c>
      <c r="M355" s="215">
        <f t="shared" si="97"/>
        <v>1118</v>
      </c>
      <c r="N355" s="216">
        <f t="shared" si="105"/>
        <v>1030624</v>
      </c>
      <c r="O355" s="219">
        <f t="shared" si="105"/>
        <v>640229</v>
      </c>
      <c r="P355" s="218">
        <f t="shared" si="105"/>
        <v>1801177</v>
      </c>
      <c r="Q355" s="238">
        <f t="shared" si="106"/>
        <v>21339175.88</v>
      </c>
      <c r="R355" s="217">
        <f t="shared" si="106"/>
        <v>14440066.8</v>
      </c>
      <c r="S355" s="239">
        <f t="shared" si="106"/>
        <v>37039304.4</v>
      </c>
      <c r="T355" s="240">
        <f>N355/'2017'!N355-1</f>
        <v>-0.0474674740730677</v>
      </c>
      <c r="U355" s="241">
        <f>O355/'2017'!O355-1</f>
        <v>0.0455176400655828</v>
      </c>
      <c r="V355" s="241">
        <f>P355/'2017'!P355-1</f>
        <v>0.0459426234030038</v>
      </c>
      <c r="W355" s="241">
        <f>Q355/'2017'!Q355-1</f>
        <v>0.00756911419420492</v>
      </c>
      <c r="X355" s="241">
        <f>R355/'2017'!R355-1</f>
        <v>0.158153075207017</v>
      </c>
      <c r="Y355" s="262">
        <f>S355/'2017'!S355-1</f>
        <v>0.0756667782932368</v>
      </c>
      <c r="Z355" s="263"/>
      <c r="AA355" s="264">
        <f t="shared" si="103"/>
        <v>2133.917588</v>
      </c>
      <c r="AB355" s="265"/>
      <c r="AC355" s="266" t="e">
        <f t="shared" si="104"/>
        <v>#DIV/0!</v>
      </c>
      <c r="AD355" s="265">
        <f t="shared" si="98"/>
        <v>22599237.6</v>
      </c>
      <c r="AE355" s="186">
        <f t="shared" si="101"/>
        <v>218434.22</v>
      </c>
      <c r="AF355" s="186">
        <f t="shared" si="107"/>
        <v>751259.94</v>
      </c>
      <c r="AG355" s="266">
        <f t="shared" si="99"/>
        <v>290367.559999999</v>
      </c>
      <c r="AH355" s="281"/>
      <c r="AI355" s="282"/>
      <c r="AJ355" s="282"/>
      <c r="AK355" s="282"/>
      <c r="AL355" s="282"/>
      <c r="AM355" s="282"/>
      <c r="AN355" s="282"/>
      <c r="AO355" s="282"/>
      <c r="AP355" s="282"/>
      <c r="AQ355" s="282"/>
      <c r="AR355" s="282"/>
      <c r="AS355" s="282"/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</row>
    <row r="356" spans="1:55">
      <c r="A356" s="189">
        <v>43086</v>
      </c>
      <c r="B356" s="184" t="s">
        <v>39</v>
      </c>
      <c r="C356" s="185">
        <v>66151</v>
      </c>
      <c r="D356" s="186">
        <f>28553+11227</f>
        <v>39780</v>
      </c>
      <c r="E356" s="186">
        <v>114547</v>
      </c>
      <c r="F356" s="187">
        <v>5713.6</v>
      </c>
      <c r="G356" s="186">
        <v>3514.8</v>
      </c>
      <c r="H356" s="188"/>
      <c r="I356" s="188"/>
      <c r="J356" s="214">
        <f t="shared" si="96"/>
        <v>74767</v>
      </c>
      <c r="K356" s="186">
        <v>476</v>
      </c>
      <c r="L356" s="186">
        <v>6857</v>
      </c>
      <c r="M356" s="215">
        <f t="shared" si="97"/>
        <v>1283</v>
      </c>
      <c r="N356" s="216">
        <f t="shared" si="105"/>
        <v>1096775</v>
      </c>
      <c r="O356" s="219">
        <f t="shared" si="105"/>
        <v>680009</v>
      </c>
      <c r="P356" s="218">
        <f t="shared" si="105"/>
        <v>1915724</v>
      </c>
      <c r="Q356" s="238">
        <f t="shared" si="106"/>
        <v>21405326.88</v>
      </c>
      <c r="R356" s="217">
        <f t="shared" si="106"/>
        <v>14479846.8</v>
      </c>
      <c r="S356" s="239">
        <f t="shared" si="106"/>
        <v>37153851.4</v>
      </c>
      <c r="T356" s="240">
        <f>N356/'2017'!N356-1</f>
        <v>-0.0440598400105986</v>
      </c>
      <c r="U356" s="241">
        <f>O356/'2017'!O356-1</f>
        <v>0.0407541694662072</v>
      </c>
      <c r="V356" s="241">
        <f>P356/'2017'!P356-1</f>
        <v>0.046612660374431</v>
      </c>
      <c r="W356" s="241">
        <f>Q356/'2017'!Q356-1</f>
        <v>0.00758386698182312</v>
      </c>
      <c r="X356" s="241">
        <f>R356/'2017'!R356-1</f>
        <v>0.157534872306085</v>
      </c>
      <c r="Y356" s="262">
        <f>S356/'2017'!S356-1</f>
        <v>0.075609052713193</v>
      </c>
      <c r="Z356" s="263"/>
      <c r="AA356" s="264">
        <f t="shared" si="103"/>
        <v>2140.532688</v>
      </c>
      <c r="AB356" s="265"/>
      <c r="AC356" s="266" t="e">
        <f t="shared" si="104"/>
        <v>#DIV/0!</v>
      </c>
      <c r="AD356" s="265">
        <f t="shared" si="98"/>
        <v>22674004.6</v>
      </c>
      <c r="AE356" s="186">
        <f t="shared" si="101"/>
        <v>218910.22</v>
      </c>
      <c r="AF356" s="186">
        <f t="shared" si="107"/>
        <v>758116.94</v>
      </c>
      <c r="AG356" s="266">
        <f t="shared" si="99"/>
        <v>291650.559999999</v>
      </c>
      <c r="AH356" s="281"/>
      <c r="AI356" s="282"/>
      <c r="AJ356" s="282"/>
      <c r="AK356" s="282"/>
      <c r="AL356" s="282"/>
      <c r="AM356" s="282"/>
      <c r="AN356" s="282"/>
      <c r="AO356" s="282"/>
      <c r="AP356" s="282"/>
      <c r="AQ356" s="282"/>
      <c r="AR356" s="282"/>
      <c r="AS356" s="282"/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</row>
    <row r="357" spans="1:55">
      <c r="A357" s="189">
        <v>43087</v>
      </c>
      <c r="B357" s="184" t="s">
        <v>34</v>
      </c>
      <c r="C357" s="185">
        <v>64757</v>
      </c>
      <c r="D357" s="186">
        <f>30239+11275</f>
        <v>41514</v>
      </c>
      <c r="E357" s="186">
        <v>114550</v>
      </c>
      <c r="F357" s="187">
        <v>5691.6</v>
      </c>
      <c r="G357" s="186">
        <v>3742.6</v>
      </c>
      <c r="H357" s="188"/>
      <c r="I357" s="188"/>
      <c r="J357" s="214">
        <f t="shared" si="96"/>
        <v>73036</v>
      </c>
      <c r="K357" s="186">
        <v>473</v>
      </c>
      <c r="L357" s="186">
        <v>6857</v>
      </c>
      <c r="M357" s="215">
        <f t="shared" si="97"/>
        <v>949</v>
      </c>
      <c r="N357" s="216">
        <f t="shared" ref="N357:P369" si="108">N356+C357</f>
        <v>1161532</v>
      </c>
      <c r="O357" s="219">
        <f t="shared" si="108"/>
        <v>721523</v>
      </c>
      <c r="P357" s="218">
        <f t="shared" si="108"/>
        <v>2030274</v>
      </c>
      <c r="Q357" s="238">
        <f t="shared" si="106"/>
        <v>21470083.88</v>
      </c>
      <c r="R357" s="217">
        <f t="shared" si="106"/>
        <v>14521360.8</v>
      </c>
      <c r="S357" s="239">
        <f t="shared" si="106"/>
        <v>37268401.4</v>
      </c>
      <c r="T357" s="240">
        <f>N357/'2017'!N357-1</f>
        <v>-0.0467259652710867</v>
      </c>
      <c r="U357" s="241">
        <f>O357/'2017'!O357-1</f>
        <v>0.0389548864601783</v>
      </c>
      <c r="V357" s="241">
        <f>P357/'2017'!P357-1</f>
        <v>0.04397847123559</v>
      </c>
      <c r="W357" s="241">
        <f>Q357/'2017'!Q357-1</f>
        <v>0.0072591003168998</v>
      </c>
      <c r="X357" s="241">
        <f>R357/'2017'!R357-1</f>
        <v>0.157052975391264</v>
      </c>
      <c r="Y357" s="262">
        <f>S357/'2017'!S357-1</f>
        <v>0.0753655668698485</v>
      </c>
      <c r="Z357" s="263"/>
      <c r="AA357" s="264">
        <f t="shared" si="103"/>
        <v>2147.008388</v>
      </c>
      <c r="AB357" s="265"/>
      <c r="AC357" s="266" t="e">
        <f t="shared" si="104"/>
        <v>#DIV/0!</v>
      </c>
      <c r="AD357" s="265">
        <f t="shared" si="98"/>
        <v>22747040.6</v>
      </c>
      <c r="AE357" s="186">
        <f t="shared" si="101"/>
        <v>219383.22</v>
      </c>
      <c r="AF357" s="186">
        <f t="shared" si="107"/>
        <v>764973.94</v>
      </c>
      <c r="AG357" s="266">
        <f t="shared" si="99"/>
        <v>292599.559999999</v>
      </c>
      <c r="AH357" s="281"/>
      <c r="AI357" s="282"/>
      <c r="AJ357" s="282"/>
      <c r="AK357" s="282"/>
      <c r="AL357" s="282"/>
      <c r="AM357" s="282"/>
      <c r="AN357" s="282"/>
      <c r="AO357" s="282"/>
      <c r="AP357" s="282"/>
      <c r="AQ357" s="282"/>
      <c r="AR357" s="282"/>
      <c r="AS357" s="282"/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</row>
    <row r="358" spans="1:55">
      <c r="A358" s="189">
        <v>43088</v>
      </c>
      <c r="B358" s="184" t="s">
        <v>35</v>
      </c>
      <c r="C358" s="185">
        <v>67965</v>
      </c>
      <c r="D358" s="186">
        <f>28174+11156</f>
        <v>39330</v>
      </c>
      <c r="E358" s="186">
        <v>115162</v>
      </c>
      <c r="F358" s="187">
        <v>5773.1</v>
      </c>
      <c r="G358" s="186">
        <v>3641.1</v>
      </c>
      <c r="H358" s="188"/>
      <c r="I358" s="188"/>
      <c r="J358" s="214">
        <f t="shared" si="96"/>
        <v>75832</v>
      </c>
      <c r="K358" s="186">
        <v>435</v>
      </c>
      <c r="L358" s="186">
        <v>6858</v>
      </c>
      <c r="M358" s="215">
        <f t="shared" si="97"/>
        <v>574</v>
      </c>
      <c r="N358" s="216">
        <f t="shared" si="108"/>
        <v>1229497</v>
      </c>
      <c r="O358" s="219">
        <f t="shared" si="108"/>
        <v>760853</v>
      </c>
      <c r="P358" s="218">
        <f t="shared" si="108"/>
        <v>2145436</v>
      </c>
      <c r="Q358" s="238">
        <f t="shared" si="106"/>
        <v>21538048.88</v>
      </c>
      <c r="R358" s="217">
        <f t="shared" si="106"/>
        <v>14560690.8</v>
      </c>
      <c r="S358" s="239">
        <f t="shared" si="106"/>
        <v>37383563.4</v>
      </c>
      <c r="T358" s="240">
        <f>N358/'2017'!N358-1</f>
        <v>-0.047222097371892</v>
      </c>
      <c r="U358" s="241">
        <f>O358/'2017'!O358-1</f>
        <v>0.03846190592529</v>
      </c>
      <c r="V358" s="241">
        <f>P358/'2017'!P358-1</f>
        <v>0.041546087908044</v>
      </c>
      <c r="W358" s="241">
        <f>Q358/'2017'!Q358-1</f>
        <v>0.00704750659710807</v>
      </c>
      <c r="X358" s="241">
        <f>R358/'2017'!R358-1</f>
        <v>0.156665884471401</v>
      </c>
      <c r="Y358" s="262">
        <f>S358/'2017'!S358-1</f>
        <v>0.0751175676647384</v>
      </c>
      <c r="Z358" s="263"/>
      <c r="AA358" s="264">
        <f t="shared" si="103"/>
        <v>2153.804888</v>
      </c>
      <c r="AB358" s="265"/>
      <c r="AC358" s="266" t="e">
        <f t="shared" si="104"/>
        <v>#DIV/0!</v>
      </c>
      <c r="AD358" s="265">
        <f t="shared" si="98"/>
        <v>22822872.6</v>
      </c>
      <c r="AE358" s="186">
        <f t="shared" si="101"/>
        <v>219818.22</v>
      </c>
      <c r="AF358" s="186">
        <f t="shared" si="107"/>
        <v>771831.94</v>
      </c>
      <c r="AG358" s="266">
        <f t="shared" si="99"/>
        <v>293173.559999999</v>
      </c>
      <c r="AH358" s="281"/>
      <c r="AI358" s="282"/>
      <c r="AJ358" s="282"/>
      <c r="AK358" s="282"/>
      <c r="AL358" s="282"/>
      <c r="AM358" s="282"/>
      <c r="AN358" s="282"/>
      <c r="AO358" s="282"/>
      <c r="AP358" s="282"/>
      <c r="AQ358" s="282"/>
      <c r="AR358" s="282"/>
      <c r="AS358" s="282"/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</row>
    <row r="359" s="163" customFormat="1" spans="1:55">
      <c r="A359" s="190">
        <v>43089</v>
      </c>
      <c r="B359" s="191" t="s">
        <v>36</v>
      </c>
      <c r="C359" s="192">
        <v>70712</v>
      </c>
      <c r="D359" s="193">
        <f>28233+9750</f>
        <v>37983</v>
      </c>
      <c r="E359" s="193">
        <v>116247</v>
      </c>
      <c r="F359" s="194">
        <v>5926</v>
      </c>
      <c r="G359" s="193">
        <v>3606.4</v>
      </c>
      <c r="H359" s="195"/>
      <c r="I359" s="195"/>
      <c r="J359" s="220">
        <f t="shared" si="96"/>
        <v>78264</v>
      </c>
      <c r="K359" s="193">
        <v>522</v>
      </c>
      <c r="L359" s="193">
        <v>6844</v>
      </c>
      <c r="M359" s="221">
        <f t="shared" si="97"/>
        <v>186</v>
      </c>
      <c r="N359" s="222">
        <f t="shared" si="108"/>
        <v>1300209</v>
      </c>
      <c r="O359" s="225">
        <f t="shared" si="108"/>
        <v>798836</v>
      </c>
      <c r="P359" s="224">
        <f t="shared" si="108"/>
        <v>2261683</v>
      </c>
      <c r="Q359" s="242">
        <f t="shared" si="106"/>
        <v>21608760.88</v>
      </c>
      <c r="R359" s="223">
        <f t="shared" si="106"/>
        <v>14598673.8</v>
      </c>
      <c r="S359" s="243">
        <f t="shared" si="106"/>
        <v>37499810.4</v>
      </c>
      <c r="T359" s="244">
        <f>N359/'2017'!N359-1</f>
        <v>-0.0450053360930691</v>
      </c>
      <c r="U359" s="245">
        <f>O359/'2017'!O359-1</f>
        <v>0.0359935778555329</v>
      </c>
      <c r="V359" s="245">
        <f>P359/'2017'!P359-1</f>
        <v>0.0400201779318357</v>
      </c>
      <c r="W359" s="245">
        <f>Q359/'2017'!Q359-1</f>
        <v>0.00700846736564809</v>
      </c>
      <c r="X359" s="245">
        <f>R359/'2017'!R359-1</f>
        <v>0.156155594982811</v>
      </c>
      <c r="Y359" s="267">
        <f>S359/'2017'!S359-1</f>
        <v>0.0749119804992411</v>
      </c>
      <c r="Z359" s="268">
        <v>143.03</v>
      </c>
      <c r="AA359" s="269">
        <f t="shared" si="103"/>
        <v>2017.846088</v>
      </c>
      <c r="AB359" s="270">
        <v>4286.88</v>
      </c>
      <c r="AC359" s="221">
        <f t="shared" si="104"/>
        <v>4707.02722726085</v>
      </c>
      <c r="AD359" s="270">
        <f t="shared" si="98"/>
        <v>22901136.6</v>
      </c>
      <c r="AE359" s="193">
        <f t="shared" si="101"/>
        <v>220340.22</v>
      </c>
      <c r="AF359" s="193">
        <f t="shared" ref="AF359:AF369" si="109">AF358+L359</f>
        <v>778675.94</v>
      </c>
      <c r="AG359" s="221">
        <f t="shared" si="99"/>
        <v>293359.559999999</v>
      </c>
      <c r="AH359" s="281"/>
      <c r="AI359" s="282"/>
      <c r="AJ359" s="282"/>
      <c r="AK359" s="282"/>
      <c r="AL359" s="282"/>
      <c r="AM359" s="282"/>
      <c r="AN359" s="282"/>
      <c r="AO359" s="282"/>
      <c r="AP359" s="282"/>
      <c r="AQ359" s="282"/>
      <c r="AR359" s="282"/>
      <c r="AS359" s="282"/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</row>
    <row r="360" spans="1:55">
      <c r="A360" s="189">
        <v>43090</v>
      </c>
      <c r="B360" s="184" t="s">
        <v>37</v>
      </c>
      <c r="C360" s="185">
        <v>68899</v>
      </c>
      <c r="D360" s="186">
        <f>28236+9414</f>
        <v>37650</v>
      </c>
      <c r="E360" s="186">
        <v>114150</v>
      </c>
      <c r="F360" s="187">
        <v>5778.5</v>
      </c>
      <c r="G360" s="186">
        <v>3627.1</v>
      </c>
      <c r="H360" s="188"/>
      <c r="I360" s="188"/>
      <c r="J360" s="214">
        <f t="shared" si="96"/>
        <v>76500</v>
      </c>
      <c r="K360" s="186">
        <v>431</v>
      </c>
      <c r="L360" s="186">
        <v>6859</v>
      </c>
      <c r="M360" s="215">
        <f t="shared" si="97"/>
        <v>311</v>
      </c>
      <c r="N360" s="216">
        <f t="shared" si="108"/>
        <v>1369108</v>
      </c>
      <c r="O360" s="219">
        <f t="shared" si="108"/>
        <v>836486</v>
      </c>
      <c r="P360" s="218">
        <f t="shared" si="108"/>
        <v>2375833</v>
      </c>
      <c r="Q360" s="238">
        <f t="shared" si="106"/>
        <v>21677659.88</v>
      </c>
      <c r="R360" s="217">
        <f t="shared" si="106"/>
        <v>14636323.8</v>
      </c>
      <c r="S360" s="239">
        <f t="shared" si="106"/>
        <v>37613960.4</v>
      </c>
      <c r="T360" s="240">
        <f>N360/'2017'!N360-1</f>
        <v>-0.0443527728335602</v>
      </c>
      <c r="U360" s="241">
        <f>O360/'2017'!O360-1</f>
        <v>0.0295643140759121</v>
      </c>
      <c r="V360" s="241">
        <f>P360/'2017'!P360-1</f>
        <v>0.0378138504595575</v>
      </c>
      <c r="W360" s="241">
        <f>Q360/'2017'!Q360-1</f>
        <v>0.00687995686766629</v>
      </c>
      <c r="X360" s="241">
        <f>R360/'2017'!R360-1</f>
        <v>0.155350723992455</v>
      </c>
      <c r="Y360" s="262">
        <f>S360/'2017'!S360-1</f>
        <v>0.0746534176623954</v>
      </c>
      <c r="Z360" s="263"/>
      <c r="AA360" s="264">
        <f t="shared" si="103"/>
        <v>2167.765988</v>
      </c>
      <c r="AB360" s="265"/>
      <c r="AC360" s="266" t="e">
        <f t="shared" si="104"/>
        <v>#DIV/0!</v>
      </c>
      <c r="AD360" s="265">
        <f t="shared" si="98"/>
        <v>22977636.6</v>
      </c>
      <c r="AE360" s="186">
        <f t="shared" si="101"/>
        <v>220771.22</v>
      </c>
      <c r="AF360" s="186">
        <f t="shared" si="109"/>
        <v>785534.94</v>
      </c>
      <c r="AG360" s="266">
        <f t="shared" si="99"/>
        <v>293670.559999999</v>
      </c>
      <c r="AH360" s="281"/>
      <c r="AI360" s="282"/>
      <c r="AJ360" s="282"/>
      <c r="AK360" s="282"/>
      <c r="AL360" s="282"/>
      <c r="AM360" s="282"/>
      <c r="AN360" s="282"/>
      <c r="AO360" s="282"/>
      <c r="AP360" s="282"/>
      <c r="AQ360" s="282"/>
      <c r="AR360" s="282"/>
      <c r="AS360" s="282"/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</row>
    <row r="361" spans="1:55">
      <c r="A361" s="189">
        <v>43091</v>
      </c>
      <c r="B361" s="184" t="s">
        <v>38</v>
      </c>
      <c r="C361" s="185">
        <v>65099</v>
      </c>
      <c r="D361" s="186">
        <f>28170+9861</f>
        <v>38031</v>
      </c>
      <c r="E361" s="186">
        <v>110451</v>
      </c>
      <c r="F361" s="187">
        <v>5583.6</v>
      </c>
      <c r="G361" s="186">
        <v>3577.7</v>
      </c>
      <c r="H361" s="188"/>
      <c r="I361" s="188"/>
      <c r="J361" s="214">
        <f t="shared" si="96"/>
        <v>72420</v>
      </c>
      <c r="K361" s="186">
        <v>294</v>
      </c>
      <c r="L361" s="186">
        <v>6695</v>
      </c>
      <c r="M361" s="215">
        <f t="shared" si="97"/>
        <v>332</v>
      </c>
      <c r="N361" s="216">
        <f t="shared" si="108"/>
        <v>1434207</v>
      </c>
      <c r="O361" s="219">
        <f t="shared" si="108"/>
        <v>874517</v>
      </c>
      <c r="P361" s="218">
        <f t="shared" si="108"/>
        <v>2486284</v>
      </c>
      <c r="Q361" s="238">
        <f t="shared" si="106"/>
        <v>21742758.88</v>
      </c>
      <c r="R361" s="217">
        <f t="shared" si="106"/>
        <v>14674354.8</v>
      </c>
      <c r="S361" s="239">
        <f t="shared" si="106"/>
        <v>37724411.4</v>
      </c>
      <c r="T361" s="240">
        <f>N361/'2017'!N361-1</f>
        <v>-0.0447414746823092</v>
      </c>
      <c r="U361" s="241">
        <f>O361/'2017'!O361-1</f>
        <v>0.0244672463863191</v>
      </c>
      <c r="V361" s="241">
        <f>P361/'2017'!P361-1</f>
        <v>0.035420150989159</v>
      </c>
      <c r="W361" s="241">
        <f>Q361/'2017'!Q361-1</f>
        <v>0.0066899015260371</v>
      </c>
      <c r="X361" s="241">
        <f>R361/'2017'!R361-1</f>
        <v>0.154600966524148</v>
      </c>
      <c r="Y361" s="262">
        <f>S361/'2017'!S361-1</f>
        <v>0.074372251839776</v>
      </c>
      <c r="Z361" s="263"/>
      <c r="AA361" s="264">
        <f t="shared" si="103"/>
        <v>2174.275888</v>
      </c>
      <c r="AB361" s="265"/>
      <c r="AC361" s="266" t="e">
        <f t="shared" si="104"/>
        <v>#DIV/0!</v>
      </c>
      <c r="AD361" s="265">
        <f t="shared" si="98"/>
        <v>23050056.6</v>
      </c>
      <c r="AE361" s="186">
        <f t="shared" si="101"/>
        <v>221065.22</v>
      </c>
      <c r="AF361" s="186">
        <f t="shared" si="109"/>
        <v>792229.94</v>
      </c>
      <c r="AG361" s="266">
        <f t="shared" si="99"/>
        <v>294002.559999999</v>
      </c>
      <c r="AH361" s="281"/>
      <c r="AI361" s="282"/>
      <c r="AJ361" s="282"/>
      <c r="AK361" s="282"/>
      <c r="AL361" s="282"/>
      <c r="AM361" s="282"/>
      <c r="AN361" s="282"/>
      <c r="AO361" s="282"/>
      <c r="AP361" s="282"/>
      <c r="AQ361" s="282"/>
      <c r="AR361" s="282"/>
      <c r="AS361" s="282"/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</row>
    <row r="362" spans="1:55">
      <c r="A362" s="189">
        <v>43092</v>
      </c>
      <c r="B362" s="184" t="s">
        <v>1</v>
      </c>
      <c r="C362" s="185">
        <v>62877</v>
      </c>
      <c r="D362" s="186">
        <f>28085+9720</f>
        <v>37805</v>
      </c>
      <c r="E362" s="186">
        <v>105793</v>
      </c>
      <c r="F362" s="187">
        <v>5298.4</v>
      </c>
      <c r="G362" s="186">
        <v>3421.3</v>
      </c>
      <c r="H362" s="188"/>
      <c r="I362" s="188"/>
      <c r="J362" s="214">
        <f t="shared" si="96"/>
        <v>67988</v>
      </c>
      <c r="K362" s="186">
        <v>413</v>
      </c>
      <c r="L362" s="186">
        <v>3839</v>
      </c>
      <c r="M362" s="215">
        <f t="shared" si="97"/>
        <v>859</v>
      </c>
      <c r="N362" s="216">
        <f t="shared" si="108"/>
        <v>1497084</v>
      </c>
      <c r="O362" s="219">
        <f t="shared" si="108"/>
        <v>912322</v>
      </c>
      <c r="P362" s="218">
        <f t="shared" si="108"/>
        <v>2592077</v>
      </c>
      <c r="Q362" s="238">
        <f t="shared" si="106"/>
        <v>21805635.88</v>
      </c>
      <c r="R362" s="217">
        <f t="shared" si="106"/>
        <v>14712159.8</v>
      </c>
      <c r="S362" s="239">
        <f t="shared" si="106"/>
        <v>37830204.4</v>
      </c>
      <c r="T362" s="240">
        <f>N362/'2017'!N362-1</f>
        <v>-0.0472025157024561</v>
      </c>
      <c r="U362" s="241">
        <f>O362/'2017'!O362-1</f>
        <v>0.0233481060720779</v>
      </c>
      <c r="V362" s="241">
        <f>P362/'2017'!P362-1</f>
        <v>0.032449908548049</v>
      </c>
      <c r="W362" s="241">
        <f>Q362/'2017'!Q362-1</f>
        <v>0.0063455976815403</v>
      </c>
      <c r="X362" s="241">
        <f>R362/'2017'!R362-1</f>
        <v>0.154136032815013</v>
      </c>
      <c r="Y362" s="262">
        <f>S362/'2017'!S362-1</f>
        <v>0.0740395784827024</v>
      </c>
      <c r="Z362" s="263"/>
      <c r="AA362" s="264">
        <f t="shared" si="103"/>
        <v>2180.563588</v>
      </c>
      <c r="AB362" s="265"/>
      <c r="AC362" s="266" t="e">
        <f t="shared" si="104"/>
        <v>#DIV/0!</v>
      </c>
      <c r="AD362" s="265">
        <f t="shared" si="98"/>
        <v>23118044.6</v>
      </c>
      <c r="AE362" s="186">
        <f t="shared" si="101"/>
        <v>221478.22</v>
      </c>
      <c r="AF362" s="186">
        <f t="shared" si="109"/>
        <v>796068.94</v>
      </c>
      <c r="AG362" s="266">
        <f t="shared" si="99"/>
        <v>294861.559999999</v>
      </c>
      <c r="AH362" s="281"/>
      <c r="AI362" s="282"/>
      <c r="AJ362" s="282"/>
      <c r="AK362" s="282"/>
      <c r="AL362" s="282"/>
      <c r="AM362" s="282"/>
      <c r="AN362" s="282"/>
      <c r="AO362" s="282"/>
      <c r="AP362" s="282"/>
      <c r="AQ362" s="282"/>
      <c r="AR362" s="282"/>
      <c r="AS362" s="282"/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</row>
    <row r="363" spans="1:55">
      <c r="A363" s="189">
        <v>43093</v>
      </c>
      <c r="B363" s="184" t="s">
        <v>39</v>
      </c>
      <c r="C363" s="185">
        <v>68638</v>
      </c>
      <c r="D363" s="186">
        <f>27215+9798</f>
        <v>37013</v>
      </c>
      <c r="E363" s="186">
        <v>110682</v>
      </c>
      <c r="F363" s="187">
        <v>5521.2</v>
      </c>
      <c r="G363" s="186">
        <v>3411.5</v>
      </c>
      <c r="H363" s="188"/>
      <c r="I363" s="188"/>
      <c r="J363" s="214">
        <f t="shared" si="96"/>
        <v>73669</v>
      </c>
      <c r="K363" s="186">
        <v>272</v>
      </c>
      <c r="L363" s="186">
        <v>3843</v>
      </c>
      <c r="M363" s="215">
        <f t="shared" si="97"/>
        <v>916</v>
      </c>
      <c r="N363" s="216">
        <f t="shared" si="108"/>
        <v>1565722</v>
      </c>
      <c r="O363" s="219">
        <f t="shared" si="108"/>
        <v>949335</v>
      </c>
      <c r="P363" s="218">
        <f t="shared" si="108"/>
        <v>2702759</v>
      </c>
      <c r="Q363" s="238">
        <f t="shared" si="106"/>
        <v>21874273.88</v>
      </c>
      <c r="R363" s="217">
        <f t="shared" si="106"/>
        <v>14749172.8</v>
      </c>
      <c r="S363" s="239">
        <f t="shared" si="106"/>
        <v>37940886.4</v>
      </c>
      <c r="T363" s="240">
        <f>N363/'2017'!N363-1</f>
        <v>-0.041541787872555</v>
      </c>
      <c r="U363" s="241">
        <f>O363/'2017'!O363-1</f>
        <v>0.0219804352810853</v>
      </c>
      <c r="V363" s="241">
        <f>P363/'2017'!P363-1</f>
        <v>0.0345987978750362</v>
      </c>
      <c r="W363" s="241">
        <f>Q363/'2017'!Q363-1</f>
        <v>0.00661754115203705</v>
      </c>
      <c r="X363" s="241">
        <f>R363/'2017'!R363-1</f>
        <v>0.153653956050437</v>
      </c>
      <c r="Y363" s="262">
        <f>S363/'2017'!S363-1</f>
        <v>0.0740786817406918</v>
      </c>
      <c r="Z363" s="263"/>
      <c r="AA363" s="264">
        <f t="shared" si="103"/>
        <v>2187.427388</v>
      </c>
      <c r="AB363" s="265"/>
      <c r="AC363" s="266" t="e">
        <f t="shared" si="104"/>
        <v>#DIV/0!</v>
      </c>
      <c r="AD363" s="265">
        <f t="shared" si="98"/>
        <v>23191713.6</v>
      </c>
      <c r="AE363" s="186">
        <f t="shared" si="101"/>
        <v>221750.22</v>
      </c>
      <c r="AF363" s="186">
        <f t="shared" si="109"/>
        <v>799911.94</v>
      </c>
      <c r="AG363" s="266">
        <f t="shared" si="99"/>
        <v>295777.559999999</v>
      </c>
      <c r="AH363" s="281"/>
      <c r="AI363" s="282"/>
      <c r="AJ363" s="282"/>
      <c r="AK363" s="282"/>
      <c r="AL363" s="282"/>
      <c r="AM363" s="282"/>
      <c r="AN363" s="282"/>
      <c r="AO363" s="282"/>
      <c r="AP363" s="282"/>
      <c r="AQ363" s="282"/>
      <c r="AR363" s="282"/>
      <c r="AS363" s="282"/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</row>
    <row r="364" spans="1:55">
      <c r="A364" s="189">
        <v>43094</v>
      </c>
      <c r="B364" s="184" t="s">
        <v>34</v>
      </c>
      <c r="C364" s="185">
        <v>71756</v>
      </c>
      <c r="D364" s="186">
        <f>26997+11160</f>
        <v>38157</v>
      </c>
      <c r="E364" s="186">
        <v>114497</v>
      </c>
      <c r="F364" s="187">
        <v>5799.2</v>
      </c>
      <c r="G364" s="186">
        <v>3572.3</v>
      </c>
      <c r="H364" s="188"/>
      <c r="I364" s="188"/>
      <c r="J364" s="214">
        <f t="shared" si="96"/>
        <v>76340</v>
      </c>
      <c r="K364" s="186">
        <v>420</v>
      </c>
      <c r="L364" s="186">
        <v>3845</v>
      </c>
      <c r="M364" s="215">
        <f t="shared" si="97"/>
        <v>319</v>
      </c>
      <c r="N364" s="216">
        <f t="shared" si="108"/>
        <v>1637478</v>
      </c>
      <c r="O364" s="219">
        <f t="shared" si="108"/>
        <v>987492</v>
      </c>
      <c r="P364" s="218">
        <f t="shared" si="108"/>
        <v>2817256</v>
      </c>
      <c r="Q364" s="238">
        <f t="shared" si="106"/>
        <v>21946029.88</v>
      </c>
      <c r="R364" s="217">
        <f t="shared" si="106"/>
        <v>14787329.8</v>
      </c>
      <c r="S364" s="239">
        <f t="shared" si="106"/>
        <v>38055383.4</v>
      </c>
      <c r="T364" s="240">
        <f>N364/'2017'!N364-1</f>
        <v>-0.0379038654751203</v>
      </c>
      <c r="U364" s="241">
        <f>O364/'2017'!O364-1</f>
        <v>0.0201563873671073</v>
      </c>
      <c r="V364" s="241">
        <f>P364/'2017'!P364-1</f>
        <v>0.0350480921134813</v>
      </c>
      <c r="W364" s="241">
        <f>Q364/'2017'!Q364-1</f>
        <v>0.00675045260438112</v>
      </c>
      <c r="X364" s="241">
        <f>R364/'2017'!R364-1</f>
        <v>0.153115166241546</v>
      </c>
      <c r="Y364" s="262">
        <f>S364/'2017'!S364-1</f>
        <v>0.0739912060721579</v>
      </c>
      <c r="Z364" s="263"/>
      <c r="AA364" s="264">
        <f t="shared" si="103"/>
        <v>2194.602988</v>
      </c>
      <c r="AB364" s="265"/>
      <c r="AC364" s="266" t="e">
        <f t="shared" si="104"/>
        <v>#DIV/0!</v>
      </c>
      <c r="AD364" s="265">
        <f t="shared" si="98"/>
        <v>23268053.6</v>
      </c>
      <c r="AE364" s="186">
        <f t="shared" si="101"/>
        <v>222170.22</v>
      </c>
      <c r="AF364" s="186">
        <f t="shared" si="109"/>
        <v>803756.94</v>
      </c>
      <c r="AG364" s="266">
        <f t="shared" si="99"/>
        <v>296096.559999999</v>
      </c>
      <c r="AH364" s="281"/>
      <c r="AI364" s="282"/>
      <c r="AJ364" s="282"/>
      <c r="AK364" s="282"/>
      <c r="AL364" s="282"/>
      <c r="AM364" s="282"/>
      <c r="AN364" s="282"/>
      <c r="AO364" s="282"/>
      <c r="AP364" s="282"/>
      <c r="AQ364" s="282"/>
      <c r="AR364" s="282"/>
      <c r="AS364" s="282"/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</row>
    <row r="365" spans="1:55">
      <c r="A365" s="189">
        <v>43095</v>
      </c>
      <c r="B365" s="184" t="s">
        <v>35</v>
      </c>
      <c r="C365" s="185">
        <v>72621</v>
      </c>
      <c r="D365" s="186">
        <f>27233+11070</f>
        <v>38303</v>
      </c>
      <c r="E365" s="186">
        <v>115430</v>
      </c>
      <c r="F365" s="187">
        <v>5868.8</v>
      </c>
      <c r="G365" s="186">
        <v>3577.7</v>
      </c>
      <c r="H365" s="188"/>
      <c r="I365" s="188"/>
      <c r="J365" s="214">
        <f t="shared" si="96"/>
        <v>77127</v>
      </c>
      <c r="K365" s="186">
        <v>279</v>
      </c>
      <c r="L365" s="186">
        <v>3844</v>
      </c>
      <c r="M365" s="215">
        <f t="shared" si="97"/>
        <v>383</v>
      </c>
      <c r="N365" s="216">
        <f t="shared" si="108"/>
        <v>1710099</v>
      </c>
      <c r="O365" s="219">
        <f t="shared" si="108"/>
        <v>1025795</v>
      </c>
      <c r="P365" s="218">
        <f t="shared" si="108"/>
        <v>2932686</v>
      </c>
      <c r="Q365" s="238">
        <f t="shared" si="106"/>
        <v>22018650.88</v>
      </c>
      <c r="R365" s="217">
        <f t="shared" si="106"/>
        <v>14825632.8</v>
      </c>
      <c r="S365" s="239">
        <f t="shared" si="106"/>
        <v>38170813.4</v>
      </c>
      <c r="T365" s="240">
        <f>N365/'2017'!N365-1</f>
        <v>-0.0356000870729394</v>
      </c>
      <c r="U365" s="241">
        <f>O365/'2017'!O365-1</f>
        <v>0.0184610618933063</v>
      </c>
      <c r="V365" s="241">
        <f>P365/'2017'!P365-1</f>
        <v>0.0348236200756811</v>
      </c>
      <c r="W365" s="241">
        <f>Q365/'2017'!Q365-1</f>
        <v>0.00679179325652512</v>
      </c>
      <c r="X365" s="241">
        <f>R365/'2017'!R365-1</f>
        <v>0.152577021121773</v>
      </c>
      <c r="Y365" s="262">
        <f>S365/'2017'!S365-1</f>
        <v>0.0738504556666248</v>
      </c>
      <c r="Z365" s="263"/>
      <c r="AA365" s="264">
        <f t="shared" si="103"/>
        <v>2201.865088</v>
      </c>
      <c r="AB365" s="265"/>
      <c r="AC365" s="266" t="e">
        <f t="shared" si="104"/>
        <v>#DIV/0!</v>
      </c>
      <c r="AD365" s="265">
        <f t="shared" si="98"/>
        <v>23345180.6</v>
      </c>
      <c r="AE365" s="186">
        <f t="shared" si="101"/>
        <v>222449.22</v>
      </c>
      <c r="AF365" s="186">
        <f t="shared" si="109"/>
        <v>807600.94</v>
      </c>
      <c r="AG365" s="266">
        <f t="shared" si="99"/>
        <v>296479.559999999</v>
      </c>
      <c r="AH365" s="281"/>
      <c r="AI365" s="282"/>
      <c r="AJ365" s="282"/>
      <c r="AK365" s="282"/>
      <c r="AL365" s="282"/>
      <c r="AM365" s="282"/>
      <c r="AN365" s="282"/>
      <c r="AO365" s="282"/>
      <c r="AP365" s="282"/>
      <c r="AQ365" s="282"/>
      <c r="AR365" s="282"/>
      <c r="AS365" s="282"/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</row>
    <row r="366" s="163" customFormat="1" spans="1:55">
      <c r="A366" s="190">
        <v>43096</v>
      </c>
      <c r="B366" s="191" t="s">
        <v>36</v>
      </c>
      <c r="C366" s="192">
        <v>77007</v>
      </c>
      <c r="D366" s="193">
        <f>26667+11327</f>
        <v>37994</v>
      </c>
      <c r="E366" s="193">
        <v>119817</v>
      </c>
      <c r="F366" s="194">
        <v>6071</v>
      </c>
      <c r="G366" s="193">
        <v>3586.3</v>
      </c>
      <c r="H366" s="195"/>
      <c r="I366" s="195"/>
      <c r="J366" s="220">
        <f t="shared" si="96"/>
        <v>81823</v>
      </c>
      <c r="K366" s="193">
        <v>353</v>
      </c>
      <c r="L366" s="193">
        <v>3845</v>
      </c>
      <c r="M366" s="221">
        <f t="shared" si="97"/>
        <v>618</v>
      </c>
      <c r="N366" s="222">
        <f t="shared" si="108"/>
        <v>1787106</v>
      </c>
      <c r="O366" s="225">
        <f t="shared" si="108"/>
        <v>1063789</v>
      </c>
      <c r="P366" s="224">
        <f t="shared" si="108"/>
        <v>3052503</v>
      </c>
      <c r="Q366" s="242">
        <f t="shared" si="106"/>
        <v>22095657.88</v>
      </c>
      <c r="R366" s="223">
        <f t="shared" si="106"/>
        <v>14863626.8</v>
      </c>
      <c r="S366" s="243">
        <f t="shared" si="106"/>
        <v>38290630.4</v>
      </c>
      <c r="T366" s="244">
        <f>N366/'2017'!N366-1</f>
        <v>-0.0321898290104877</v>
      </c>
      <c r="U366" s="245">
        <f>O366/'2017'!O366-1</f>
        <v>0.0176429622345138</v>
      </c>
      <c r="V366" s="245">
        <f>P366/'2017'!P366-1</f>
        <v>0.0357793990551258</v>
      </c>
      <c r="W366" s="245">
        <f>Q366/'2017'!Q366-1</f>
        <v>0.00693712264198121</v>
      </c>
      <c r="X366" s="245">
        <f>R366/'2017'!R366-1</f>
        <v>0.152114191149256</v>
      </c>
      <c r="Y366" s="267">
        <f>S366/'2017'!S366-1</f>
        <v>0.0738057050368945</v>
      </c>
      <c r="Z366" s="268">
        <v>147.67</v>
      </c>
      <c r="AA366" s="269">
        <f t="shared" si="103"/>
        <v>2061.895788</v>
      </c>
      <c r="AB366" s="270">
        <v>4286.88</v>
      </c>
      <c r="AC366" s="221">
        <f t="shared" si="104"/>
        <v>4809.78191132012</v>
      </c>
      <c r="AD366" s="270">
        <f t="shared" si="98"/>
        <v>23427003.6</v>
      </c>
      <c r="AE366" s="193">
        <f t="shared" si="101"/>
        <v>222802.22</v>
      </c>
      <c r="AF366" s="193">
        <f t="shared" si="109"/>
        <v>811445.94</v>
      </c>
      <c r="AG366" s="221">
        <f t="shared" si="99"/>
        <v>297097.559999999</v>
      </c>
      <c r="AH366" s="281"/>
      <c r="AI366" s="282"/>
      <c r="AJ366" s="282"/>
      <c r="AK366" s="282"/>
      <c r="AL366" s="282"/>
      <c r="AM366" s="282"/>
      <c r="AN366" s="282"/>
      <c r="AO366" s="282"/>
      <c r="AP366" s="282"/>
      <c r="AQ366" s="282"/>
      <c r="AR366" s="282"/>
      <c r="AS366" s="282"/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</row>
    <row r="367" spans="1:55">
      <c r="A367" s="189">
        <v>43097</v>
      </c>
      <c r="B367" s="184" t="s">
        <v>37</v>
      </c>
      <c r="C367" s="185">
        <f>75774+7148</f>
        <v>82922</v>
      </c>
      <c r="D367" s="186">
        <f>23881+14558</f>
        <v>38439</v>
      </c>
      <c r="E367" s="186">
        <f>102389+23881</f>
        <v>126270</v>
      </c>
      <c r="F367" s="187">
        <v>6344</v>
      </c>
      <c r="G367" s="186">
        <v>3716</v>
      </c>
      <c r="H367" s="188"/>
      <c r="I367" s="188"/>
      <c r="J367" s="214">
        <f t="shared" si="96"/>
        <v>87831</v>
      </c>
      <c r="K367" s="186">
        <v>264</v>
      </c>
      <c r="L367" s="186">
        <v>3865</v>
      </c>
      <c r="M367" s="215">
        <f t="shared" si="97"/>
        <v>780</v>
      </c>
      <c r="N367" s="216">
        <f t="shared" si="108"/>
        <v>1870028</v>
      </c>
      <c r="O367" s="219">
        <f t="shared" si="108"/>
        <v>1102228</v>
      </c>
      <c r="P367" s="218">
        <f t="shared" si="108"/>
        <v>3178773</v>
      </c>
      <c r="Q367" s="238">
        <f t="shared" si="106"/>
        <v>22178579.88</v>
      </c>
      <c r="R367" s="217">
        <f t="shared" si="106"/>
        <v>14902065.8</v>
      </c>
      <c r="S367" s="239">
        <f t="shared" si="106"/>
        <v>38416900.4</v>
      </c>
      <c r="T367" s="240">
        <f>N367/'2017'!N367-1</f>
        <v>-0.0256099225814385</v>
      </c>
      <c r="U367" s="241">
        <f>O367/'2017'!O367-1</f>
        <v>0.0165182322143802</v>
      </c>
      <c r="V367" s="241">
        <f>P367/'2017'!P367-1</f>
        <v>0.0387882269667637</v>
      </c>
      <c r="W367" s="241">
        <f>Q367/'2017'!Q367-1</f>
        <v>0.00738162272162812</v>
      </c>
      <c r="X367" s="241">
        <f>R367/'2017'!R367-1</f>
        <v>0.151614966322637</v>
      </c>
      <c r="Y367" s="262">
        <f>S367/'2017'!S367-1</f>
        <v>0.0739429514000334</v>
      </c>
      <c r="Z367" s="263"/>
      <c r="AA367" s="264">
        <f t="shared" si="103"/>
        <v>2217.857988</v>
      </c>
      <c r="AB367" s="265"/>
      <c r="AC367" s="266" t="e">
        <f t="shared" si="104"/>
        <v>#DIV/0!</v>
      </c>
      <c r="AD367" s="265">
        <f t="shared" si="98"/>
        <v>23514834.6</v>
      </c>
      <c r="AE367" s="186">
        <f t="shared" si="101"/>
        <v>223066.22</v>
      </c>
      <c r="AF367" s="186">
        <f t="shared" si="109"/>
        <v>815310.94</v>
      </c>
      <c r="AG367" s="266">
        <f t="shared" si="99"/>
        <v>297877.559999999</v>
      </c>
      <c r="AH367" s="281"/>
      <c r="AI367" s="282"/>
      <c r="AJ367" s="282"/>
      <c r="AK367" s="282"/>
      <c r="AL367" s="282"/>
      <c r="AM367" s="282"/>
      <c r="AN367" s="282"/>
      <c r="AO367" s="282"/>
      <c r="AP367" s="282"/>
      <c r="AQ367" s="282"/>
      <c r="AR367" s="282"/>
      <c r="AS367" s="282"/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</row>
    <row r="368" spans="1:55">
      <c r="A368" s="189">
        <v>43098</v>
      </c>
      <c r="B368" s="184" t="s">
        <v>38</v>
      </c>
      <c r="C368" s="185">
        <f>76203+6537</f>
        <v>82740</v>
      </c>
      <c r="D368" s="186">
        <f>23975+14505</f>
        <v>38480</v>
      </c>
      <c r="E368" s="186">
        <f>102896+23975</f>
        <v>126871</v>
      </c>
      <c r="F368" s="187">
        <v>6222</v>
      </c>
      <c r="G368" s="186">
        <v>3906</v>
      </c>
      <c r="H368" s="188"/>
      <c r="I368" s="188"/>
      <c r="J368" s="214">
        <f t="shared" si="96"/>
        <v>88391</v>
      </c>
      <c r="K368" s="186">
        <v>683</v>
      </c>
      <c r="L368" s="186">
        <v>3830</v>
      </c>
      <c r="M368" s="215">
        <f t="shared" si="97"/>
        <v>1138</v>
      </c>
      <c r="N368" s="216">
        <f t="shared" si="108"/>
        <v>1952768</v>
      </c>
      <c r="O368" s="219">
        <f t="shared" si="108"/>
        <v>1140708</v>
      </c>
      <c r="P368" s="218">
        <f t="shared" si="108"/>
        <v>3305644</v>
      </c>
      <c r="Q368" s="238">
        <f t="shared" si="106"/>
        <v>22261319.88</v>
      </c>
      <c r="R368" s="217">
        <f t="shared" si="106"/>
        <v>14940545.8</v>
      </c>
      <c r="S368" s="239">
        <f t="shared" si="106"/>
        <v>38543771.4</v>
      </c>
      <c r="T368" s="240">
        <f>N368/'2017'!N368-1</f>
        <v>-0.0192004403826025</v>
      </c>
      <c r="U368" s="241">
        <f>O368/'2017'!O368-1</f>
        <v>0.0159955608956233</v>
      </c>
      <c r="V368" s="241">
        <f>P368/'2017'!P368-1</f>
        <v>0.0422796157843226</v>
      </c>
      <c r="W368" s="241">
        <f>Q368/'2017'!Q368-1</f>
        <v>0.00785210087210531</v>
      </c>
      <c r="X368" s="241">
        <f>R368/'2017'!R368-1</f>
        <v>0.151169704416</v>
      </c>
      <c r="Y368" s="262">
        <f>S368/'2017'!S368-1</f>
        <v>0.0741423278072768</v>
      </c>
      <c r="Z368" s="263"/>
      <c r="AA368" s="264">
        <f t="shared" si="103"/>
        <v>2226.131988</v>
      </c>
      <c r="AB368" s="265"/>
      <c r="AC368" s="266" t="e">
        <f t="shared" si="104"/>
        <v>#DIV/0!</v>
      </c>
      <c r="AD368" s="265">
        <f t="shared" si="98"/>
        <v>23603225.6</v>
      </c>
      <c r="AE368" s="186">
        <f t="shared" si="101"/>
        <v>223749.22</v>
      </c>
      <c r="AF368" s="186">
        <f t="shared" si="109"/>
        <v>819140.94</v>
      </c>
      <c r="AG368" s="266">
        <f t="shared" si="99"/>
        <v>299015.559999999</v>
      </c>
      <c r="AH368" s="281"/>
      <c r="AI368" s="282"/>
      <c r="AJ368" s="282"/>
      <c r="AK368" s="282"/>
      <c r="AL368" s="282"/>
      <c r="AM368" s="282"/>
      <c r="AN368" s="282"/>
      <c r="AO368" s="282"/>
      <c r="AP368" s="282"/>
      <c r="AQ368" s="282"/>
      <c r="AR368" s="282"/>
      <c r="AS368" s="282"/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</row>
    <row r="369" ht="15" customHeight="1" spans="1:55">
      <c r="A369" s="189">
        <v>43099</v>
      </c>
      <c r="B369" s="184" t="s">
        <v>1</v>
      </c>
      <c r="C369" s="185">
        <f>78298+6538</f>
        <v>84836</v>
      </c>
      <c r="D369" s="186">
        <f>23677+13980</f>
        <v>37657</v>
      </c>
      <c r="E369" s="186">
        <f>104226+23677</f>
        <v>127903</v>
      </c>
      <c r="F369" s="187">
        <v>6305</v>
      </c>
      <c r="G369" s="186">
        <v>3892</v>
      </c>
      <c r="H369" s="188"/>
      <c r="I369" s="188"/>
      <c r="J369" s="214">
        <f t="shared" si="96"/>
        <v>90246</v>
      </c>
      <c r="K369" s="186">
        <v>962</v>
      </c>
      <c r="L369" s="186">
        <v>3847</v>
      </c>
      <c r="M369" s="215">
        <f t="shared" si="97"/>
        <v>601</v>
      </c>
      <c r="N369" s="216">
        <f t="shared" si="108"/>
        <v>2037604</v>
      </c>
      <c r="O369" s="219">
        <f t="shared" si="108"/>
        <v>1178365</v>
      </c>
      <c r="P369" s="218">
        <f t="shared" si="108"/>
        <v>3433547</v>
      </c>
      <c r="Q369" s="238">
        <f t="shared" si="106"/>
        <v>22346155.88</v>
      </c>
      <c r="R369" s="217">
        <f t="shared" si="106"/>
        <v>14978202.8</v>
      </c>
      <c r="S369" s="239">
        <f t="shared" si="106"/>
        <v>38671674.4</v>
      </c>
      <c r="T369" s="240">
        <f>N369/'2017'!N369-1</f>
        <v>-0.0108939314947336</v>
      </c>
      <c r="U369" s="241">
        <f>O369/'2017'!O369-1</f>
        <v>0.0150767144787973</v>
      </c>
      <c r="V369" s="241">
        <f>P369/'2017'!P369-1</f>
        <v>0.0467371574867432</v>
      </c>
      <c r="W369" s="241">
        <f>Q369/'2017'!Q369-1</f>
        <v>0.00854009374678988</v>
      </c>
      <c r="X369" s="241">
        <f>R369/'2017'!R369-1</f>
        <v>0.150691957680185</v>
      </c>
      <c r="Y369" s="262">
        <f>S369/'2017'!S369-1</f>
        <v>0.0744523625732789</v>
      </c>
      <c r="Z369" s="263"/>
      <c r="AA369" s="264">
        <f t="shared" si="103"/>
        <v>2234.615588</v>
      </c>
      <c r="AB369" s="265"/>
      <c r="AC369" s="266" t="e">
        <f t="shared" si="104"/>
        <v>#DIV/0!</v>
      </c>
      <c r="AD369" s="265">
        <f t="shared" si="98"/>
        <v>23693471.6</v>
      </c>
      <c r="AE369" s="186">
        <f t="shared" si="101"/>
        <v>224711.22</v>
      </c>
      <c r="AF369" s="186">
        <f t="shared" si="109"/>
        <v>822987.94</v>
      </c>
      <c r="AG369" s="266">
        <f t="shared" si="99"/>
        <v>299616.559999999</v>
      </c>
      <c r="AH369" s="281"/>
      <c r="AI369" s="282"/>
      <c r="AJ369" s="282"/>
      <c r="AK369" s="282"/>
      <c r="AL369" s="282"/>
      <c r="AM369" s="282"/>
      <c r="AN369" s="282"/>
      <c r="AO369" s="282"/>
      <c r="AP369" s="282"/>
      <c r="AQ369" s="282"/>
      <c r="AR369" s="282"/>
      <c r="AS369" s="282"/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</row>
    <row r="370" ht="15" customHeight="1" spans="1:55">
      <c r="A370" s="204">
        <v>43100</v>
      </c>
      <c r="B370" s="197" t="s">
        <v>39</v>
      </c>
      <c r="C370" s="331">
        <f>75704+6224</f>
        <v>81928</v>
      </c>
      <c r="D370" s="332">
        <f>23111+14011</f>
        <v>37122</v>
      </c>
      <c r="E370" s="332">
        <f>100709+23111</f>
        <v>123820</v>
      </c>
      <c r="F370" s="333">
        <v>6214</v>
      </c>
      <c r="G370" s="332">
        <v>3889</v>
      </c>
      <c r="H370" s="334"/>
      <c r="I370" s="334"/>
      <c r="J370" s="339">
        <f t="shared" si="96"/>
        <v>86698</v>
      </c>
      <c r="K370" s="332">
        <v>448</v>
      </c>
      <c r="L370" s="332">
        <v>3847</v>
      </c>
      <c r="M370" s="340">
        <f t="shared" si="97"/>
        <v>475</v>
      </c>
      <c r="N370" s="341">
        <f>[11]表2、统调口径电量!$D$10</f>
        <v>2119531.64</v>
      </c>
      <c r="O370" s="342">
        <f>[11]表2、统调口径电量!$D$14</f>
        <v>1215397</v>
      </c>
      <c r="P370" s="343">
        <f>[11]表2、统调口径电量!$D$3</f>
        <v>3557368.74</v>
      </c>
      <c r="Q370" s="346">
        <f>[11]表2、统调口径电量!$I$10</f>
        <v>22428083.52</v>
      </c>
      <c r="R370" s="347">
        <f>[11]表2、统调口径电量!$I$14</f>
        <v>15015234.8</v>
      </c>
      <c r="S370" s="348">
        <f>[11]表2、统调口径电量!$I$3</f>
        <v>38795496.14</v>
      </c>
      <c r="T370" s="349">
        <f>N370/'2017'!N370-1</f>
        <v>-0.0015596023299761</v>
      </c>
      <c r="U370" s="350">
        <f>O370/'2017'!O370-1</f>
        <v>0.0105108687970534</v>
      </c>
      <c r="V370" s="350">
        <f>P370/'2017'!P370-1</f>
        <v>0.052327368710062</v>
      </c>
      <c r="W370" s="350">
        <f>Q370/'2017'!Q370-1</f>
        <v>0.00937695911752567</v>
      </c>
      <c r="X370" s="350">
        <f>R370/'2017'!R370-1</f>
        <v>0.149847462847451</v>
      </c>
      <c r="Y370" s="351">
        <f>S370/'2017'!S370-1</f>
        <v>0.0749027328606258</v>
      </c>
      <c r="Z370" s="352">
        <f>[11]表2、统调口径电量!$I$12/10000</f>
        <v>150.467131</v>
      </c>
      <c r="AA370" s="353">
        <f>[11]表2、统调口径电量!$I$11/10000</f>
        <v>2092.341221</v>
      </c>
      <c r="AB370" s="354">
        <v>4286.88</v>
      </c>
      <c r="AC370" s="355">
        <f t="shared" si="104"/>
        <v>4880.80193753966</v>
      </c>
      <c r="AD370" s="354">
        <f>[11]表2、统调口径电量!$I$4</f>
        <v>23780261.34</v>
      </c>
      <c r="AE370" s="332">
        <f>[11]表2、统调口径电量!$I$13</f>
        <v>225160.47</v>
      </c>
      <c r="AF370" s="332">
        <f>[11]表2、统调口径电量!$I$17</f>
        <v>826835.81</v>
      </c>
      <c r="AG370" s="355">
        <f t="shared" si="99"/>
        <v>300181.54</v>
      </c>
      <c r="AH370" s="281"/>
      <c r="AI370" s="282"/>
      <c r="AJ370" s="282"/>
      <c r="AK370" s="282"/>
      <c r="AL370" s="282"/>
      <c r="AM370" s="282"/>
      <c r="AN370" s="282"/>
      <c r="AO370" s="282"/>
      <c r="AP370" s="282"/>
      <c r="AQ370" s="282"/>
      <c r="AR370" s="282"/>
      <c r="AS370" s="282"/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</row>
    <row r="371" s="164" customFormat="1" ht="15" customHeight="1" spans="1:55">
      <c r="A371" s="335" t="s">
        <v>40</v>
      </c>
      <c r="B371" s="335"/>
      <c r="C371" s="336">
        <f>MAX(C5:C370)</f>
        <v>86071</v>
      </c>
      <c r="D371" s="336">
        <f t="shared" ref="D371:M371" si="110">MAX(D5:D370)</f>
        <v>60662</v>
      </c>
      <c r="E371" s="336">
        <f t="shared" si="110"/>
        <v>144458</v>
      </c>
      <c r="F371" s="336">
        <f t="shared" si="110"/>
        <v>7140.5</v>
      </c>
      <c r="G371" s="336">
        <f t="shared" si="110"/>
        <v>5630</v>
      </c>
      <c r="H371" s="336">
        <f t="shared" si="110"/>
        <v>5069</v>
      </c>
      <c r="I371" s="336">
        <f t="shared" si="110"/>
        <v>0</v>
      </c>
      <c r="J371" s="336">
        <f t="shared" si="110"/>
        <v>90246</v>
      </c>
      <c r="K371" s="336">
        <f t="shared" si="110"/>
        <v>2931</v>
      </c>
      <c r="L371" s="336">
        <f t="shared" si="110"/>
        <v>6860</v>
      </c>
      <c r="M371" s="336">
        <f t="shared" si="110"/>
        <v>9339</v>
      </c>
      <c r="N371" s="344"/>
      <c r="O371" s="345"/>
      <c r="P371" s="345"/>
      <c r="Q371" s="345"/>
      <c r="R371" s="345"/>
      <c r="S371" s="345"/>
      <c r="T371" s="345"/>
      <c r="U371" s="345"/>
      <c r="V371" s="345"/>
      <c r="W371" s="345"/>
      <c r="X371" s="345"/>
      <c r="Y371" s="345"/>
      <c r="Z371" s="356"/>
      <c r="AA371" s="356"/>
      <c r="AB371" s="357"/>
      <c r="AC371" s="357"/>
      <c r="AD371" s="357"/>
      <c r="AE371" s="357"/>
      <c r="AF371" s="357"/>
      <c r="AG371" s="357"/>
      <c r="AH371" s="361"/>
      <c r="AI371" s="362"/>
      <c r="AJ371" s="362"/>
      <c r="AK371" s="362"/>
      <c r="AL371" s="362"/>
      <c r="AM371" s="362"/>
      <c r="AN371" s="362"/>
      <c r="AO371" s="362"/>
      <c r="AP371" s="362"/>
      <c r="AQ371" s="362"/>
      <c r="AR371" s="362"/>
      <c r="AS371" s="362"/>
      <c r="AT371" s="362"/>
      <c r="AU371" s="362"/>
      <c r="AV371" s="362"/>
      <c r="AW371" s="362"/>
      <c r="AX371" s="362"/>
      <c r="AY371" s="362"/>
      <c r="AZ371" s="362"/>
      <c r="BA371" s="362"/>
      <c r="BB371" s="362"/>
      <c r="BC371" s="362"/>
    </row>
    <row r="372" spans="1:55">
      <c r="A372" s="282"/>
      <c r="B372" s="282"/>
      <c r="C372" s="289">
        <f t="shared" ref="C372:D372" si="111">AVERAGE(C5:C370)</f>
        <v>61424.3835616438</v>
      </c>
      <c r="D372" s="289">
        <f t="shared" si="111"/>
        <v>41080.0191780822</v>
      </c>
      <c r="E372" s="289">
        <f t="shared" ref="E372:M372" si="112">AVERAGE(E5:E370)</f>
        <v>106256.605479452</v>
      </c>
      <c r="F372" s="289">
        <f t="shared" si="112"/>
        <v>5249.52465753425</v>
      </c>
      <c r="G372" s="289">
        <f t="shared" si="112"/>
        <v>3464.3898630137</v>
      </c>
      <c r="H372" s="289">
        <f t="shared" si="112"/>
        <v>4798.57142857143</v>
      </c>
      <c r="I372" s="289" t="e">
        <f t="shared" si="112"/>
        <v>#DIV/0!</v>
      </c>
      <c r="J372" s="289">
        <f t="shared" si="112"/>
        <v>65176.5863013699</v>
      </c>
      <c r="K372" s="289">
        <f t="shared" si="112"/>
        <v>615.08095890411</v>
      </c>
      <c r="L372" s="289">
        <f t="shared" si="112"/>
        <v>2265.28336986301</v>
      </c>
      <c r="M372" s="289">
        <f t="shared" si="112"/>
        <v>871.838410958904</v>
      </c>
      <c r="N372" s="282"/>
      <c r="O372" s="282"/>
      <c r="P372" s="282"/>
      <c r="Q372" s="282"/>
      <c r="R372" s="282"/>
      <c r="S372" s="282"/>
      <c r="T372" s="282"/>
      <c r="U372" s="282"/>
      <c r="V372" s="282"/>
      <c r="W372" s="282"/>
      <c r="X372" s="282"/>
      <c r="Y372" s="282"/>
      <c r="Z372" s="282"/>
      <c r="AA372" s="282"/>
      <c r="AB372" s="282"/>
      <c r="AC372" s="282"/>
      <c r="AD372" s="282"/>
      <c r="AE372" s="282"/>
      <c r="AF372" s="282"/>
      <c r="AG372" s="282"/>
      <c r="AH372" s="281"/>
      <c r="AI372" s="282"/>
      <c r="AJ372" s="282"/>
      <c r="AK372" s="282"/>
      <c r="AL372" s="282"/>
      <c r="AM372" s="282"/>
      <c r="AN372" s="282"/>
      <c r="AO372" s="282"/>
      <c r="AP372" s="282"/>
      <c r="AQ372" s="282"/>
      <c r="AR372" s="282"/>
      <c r="AS372" s="282"/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</row>
    <row r="373" spans="1:55">
      <c r="A373" s="282"/>
      <c r="B373" s="282"/>
      <c r="C373" s="282"/>
      <c r="D373" s="282"/>
      <c r="E373" s="282"/>
      <c r="F373" s="282"/>
      <c r="G373" s="282"/>
      <c r="H373" s="282"/>
      <c r="I373" s="282"/>
      <c r="J373" s="282"/>
      <c r="K373" s="282"/>
      <c r="L373" s="282"/>
      <c r="M373" s="282"/>
      <c r="N373" s="282"/>
      <c r="O373" s="282"/>
      <c r="P373" s="282"/>
      <c r="Q373" s="282"/>
      <c r="R373" s="282"/>
      <c r="S373" s="282"/>
      <c r="T373" s="282"/>
      <c r="U373" s="282"/>
      <c r="V373" s="282"/>
      <c r="W373" s="282"/>
      <c r="X373" s="282"/>
      <c r="Y373" s="282"/>
      <c r="Z373" s="282"/>
      <c r="AA373" s="282"/>
      <c r="AB373" s="282"/>
      <c r="AC373" s="282"/>
      <c r="AD373" s="282"/>
      <c r="AE373" s="282"/>
      <c r="AF373" s="282"/>
      <c r="AG373" s="282"/>
      <c r="AH373" s="281"/>
      <c r="AI373" s="282"/>
      <c r="AJ373" s="282"/>
      <c r="AK373" s="282"/>
      <c r="AL373" s="282"/>
      <c r="AM373" s="282"/>
      <c r="AN373" s="282"/>
      <c r="AO373" s="282"/>
      <c r="AP373" s="282"/>
      <c r="AQ373" s="282"/>
      <c r="AR373" s="282"/>
      <c r="AS373" s="282"/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</row>
    <row r="374" spans="1:55">
      <c r="A374" s="282"/>
      <c r="B374" s="282"/>
      <c r="C374" s="282"/>
      <c r="D374" s="282"/>
      <c r="E374" s="282"/>
      <c r="F374" s="282"/>
      <c r="G374" s="282"/>
      <c r="H374" s="282"/>
      <c r="I374" s="282" t="e">
        <f>I372/H372</f>
        <v>#DIV/0!</v>
      </c>
      <c r="J374" s="282"/>
      <c r="K374" s="282"/>
      <c r="L374" s="282"/>
      <c r="M374" s="282"/>
      <c r="N374" s="282"/>
      <c r="O374" s="282"/>
      <c r="P374" s="282"/>
      <c r="Q374" s="282"/>
      <c r="R374" s="282"/>
      <c r="S374" s="282"/>
      <c r="T374" s="282"/>
      <c r="U374" s="282"/>
      <c r="V374" s="282"/>
      <c r="W374" s="282"/>
      <c r="X374" s="282"/>
      <c r="Y374" s="282"/>
      <c r="Z374" s="282"/>
      <c r="AA374" s="282"/>
      <c r="AB374" s="282"/>
      <c r="AC374" s="282"/>
      <c r="AD374" s="282"/>
      <c r="AE374" s="282"/>
      <c r="AF374" s="282"/>
      <c r="AG374" s="282"/>
      <c r="AH374" s="281"/>
      <c r="AI374" s="282"/>
      <c r="AJ374" s="282"/>
      <c r="AK374" s="282"/>
      <c r="AL374" s="282"/>
      <c r="AM374" s="282"/>
      <c r="AN374" s="282"/>
      <c r="AO374" s="282"/>
      <c r="AP374" s="282"/>
      <c r="AQ374" s="282"/>
      <c r="AR374" s="282"/>
      <c r="AS374" s="282"/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</row>
    <row r="375" hidden="1" spans="1:29">
      <c r="A375" s="282" t="s">
        <v>41</v>
      </c>
      <c r="B375" s="282"/>
      <c r="C375" s="188">
        <f>MAX(C5:C35)</f>
        <v>84333</v>
      </c>
      <c r="D375" s="188">
        <f t="shared" ref="D375:AC375" si="113">MAX(D5:D35)</f>
        <v>41229</v>
      </c>
      <c r="E375" s="188">
        <f t="shared" si="113"/>
        <v>124335</v>
      </c>
      <c r="F375" s="187">
        <f t="shared" si="113"/>
        <v>6322</v>
      </c>
      <c r="G375" s="188">
        <f t="shared" si="113"/>
        <v>3848</v>
      </c>
      <c r="H375" s="188">
        <f t="shared" si="113"/>
        <v>0</v>
      </c>
      <c r="I375" s="188">
        <f t="shared" si="113"/>
        <v>0</v>
      </c>
      <c r="J375" s="188">
        <f t="shared" si="113"/>
        <v>85334</v>
      </c>
      <c r="K375" s="188">
        <f>SUM(K5:K35)</f>
        <v>9135</v>
      </c>
      <c r="L375" s="188">
        <f>SUM(L5:L35)</f>
        <v>24499</v>
      </c>
      <c r="M375" s="337"/>
      <c r="N375" s="188">
        <f t="shared" si="113"/>
        <v>2339744.04</v>
      </c>
      <c r="O375" s="188">
        <f t="shared" si="113"/>
        <v>1171254</v>
      </c>
      <c r="P375" s="188">
        <f t="shared" si="113"/>
        <v>3558081.12</v>
      </c>
      <c r="Q375" s="188">
        <f t="shared" si="113"/>
        <v>2339744.04</v>
      </c>
      <c r="R375" s="188">
        <f t="shared" si="113"/>
        <v>1171254</v>
      </c>
      <c r="S375" s="188">
        <f t="shared" si="113"/>
        <v>3558081.12</v>
      </c>
      <c r="T375" s="188"/>
      <c r="U375" s="188"/>
      <c r="V375" s="188"/>
      <c r="W375" s="188"/>
      <c r="X375" s="188"/>
      <c r="Y375" s="188"/>
      <c r="Z375" s="358">
        <f t="shared" si="113"/>
        <v>7.88784</v>
      </c>
      <c r="AA375" s="358">
        <f t="shared" si="113"/>
        <v>226.086564</v>
      </c>
      <c r="AB375" s="188">
        <f t="shared" si="113"/>
        <v>4269.48</v>
      </c>
      <c r="AC375" s="188">
        <f t="shared" si="113"/>
        <v>529.541218134293</v>
      </c>
    </row>
    <row r="376" hidden="1" spans="1:29">
      <c r="A376" s="282" t="s">
        <v>42</v>
      </c>
      <c r="B376" s="282"/>
      <c r="C376" s="188">
        <f>MAX(C36:C64)</f>
        <v>75088</v>
      </c>
      <c r="D376" s="188">
        <f t="shared" ref="D376:AC376" si="114">MAX(D36:D64)</f>
        <v>34325</v>
      </c>
      <c r="E376" s="188">
        <f t="shared" si="114"/>
        <v>111325</v>
      </c>
      <c r="F376" s="187">
        <f t="shared" si="114"/>
        <v>5522</v>
      </c>
      <c r="G376" s="188">
        <f t="shared" si="114"/>
        <v>3521</v>
      </c>
      <c r="H376" s="188">
        <f t="shared" si="114"/>
        <v>0</v>
      </c>
      <c r="I376" s="188">
        <f t="shared" si="114"/>
        <v>0</v>
      </c>
      <c r="J376" s="188">
        <f t="shared" si="114"/>
        <v>77000</v>
      </c>
      <c r="K376" s="188">
        <f>SUM(K36:K64)</f>
        <v>8363</v>
      </c>
      <c r="L376" s="188">
        <f>SUM(L36:L64)</f>
        <v>18659</v>
      </c>
      <c r="M376" s="337"/>
      <c r="N376" s="188">
        <f t="shared" si="114"/>
        <v>1127028.26</v>
      </c>
      <c r="O376" s="188">
        <f t="shared" si="114"/>
        <v>677349</v>
      </c>
      <c r="P376" s="188">
        <f t="shared" si="114"/>
        <v>1851437.35</v>
      </c>
      <c r="Q376" s="188">
        <f t="shared" si="114"/>
        <v>3466772.3</v>
      </c>
      <c r="R376" s="188">
        <f t="shared" si="114"/>
        <v>1848603</v>
      </c>
      <c r="S376" s="188">
        <f t="shared" si="114"/>
        <v>5409518.47</v>
      </c>
      <c r="T376" s="188"/>
      <c r="U376" s="188"/>
      <c r="V376" s="188"/>
      <c r="W376" s="188"/>
      <c r="X376" s="188"/>
      <c r="Y376" s="188"/>
      <c r="Z376" s="358">
        <f t="shared" si="114"/>
        <v>13.282399</v>
      </c>
      <c r="AA376" s="358">
        <f t="shared" si="114"/>
        <v>342.286904</v>
      </c>
      <c r="AB376" s="188">
        <f t="shared" si="114"/>
        <v>4269.48</v>
      </c>
      <c r="AC376" s="188">
        <f t="shared" si="114"/>
        <v>780.879242905459</v>
      </c>
    </row>
    <row r="377" hidden="1" spans="1:29">
      <c r="A377" s="282" t="s">
        <v>43</v>
      </c>
      <c r="B377" s="282"/>
      <c r="C377" s="188">
        <f>MAX(C65:C95)</f>
        <v>69479</v>
      </c>
      <c r="D377" s="188">
        <f t="shared" ref="D377:AC377" si="115">MAX(D65:D95)</f>
        <v>36502</v>
      </c>
      <c r="E377" s="188">
        <f t="shared" si="115"/>
        <v>105649</v>
      </c>
      <c r="F377" s="187">
        <f t="shared" si="115"/>
        <v>5404</v>
      </c>
      <c r="G377" s="188">
        <f t="shared" si="115"/>
        <v>3447</v>
      </c>
      <c r="H377" s="188">
        <f t="shared" si="115"/>
        <v>0</v>
      </c>
      <c r="I377" s="188">
        <f t="shared" si="115"/>
        <v>0</v>
      </c>
      <c r="J377" s="188">
        <f t="shared" si="115"/>
        <v>70655</v>
      </c>
      <c r="K377" s="188">
        <f>SUM(K65:K95)</f>
        <v>12860</v>
      </c>
      <c r="L377" s="188">
        <f>SUM(L65:L95)</f>
        <v>0</v>
      </c>
      <c r="M377" s="337"/>
      <c r="N377" s="188">
        <f t="shared" si="115"/>
        <v>1923299</v>
      </c>
      <c r="O377" s="188">
        <f t="shared" si="115"/>
        <v>975458</v>
      </c>
      <c r="P377" s="188">
        <f t="shared" si="115"/>
        <v>2936964</v>
      </c>
      <c r="Q377" s="188">
        <f t="shared" si="115"/>
        <v>5390071.3</v>
      </c>
      <c r="R377" s="188">
        <f t="shared" si="115"/>
        <v>2824061</v>
      </c>
      <c r="S377" s="188">
        <f t="shared" si="115"/>
        <v>8346482.47</v>
      </c>
      <c r="T377" s="188"/>
      <c r="U377" s="188"/>
      <c r="V377" s="188"/>
      <c r="W377" s="188"/>
      <c r="X377" s="188"/>
      <c r="Y377" s="188"/>
      <c r="Z377" s="358">
        <f t="shared" si="115"/>
        <v>23.59</v>
      </c>
      <c r="AA377" s="358">
        <f t="shared" si="115"/>
        <v>539.00713</v>
      </c>
      <c r="AB377" s="188">
        <f t="shared" si="115"/>
        <v>4269.48</v>
      </c>
      <c r="AC377" s="188">
        <f t="shared" si="115"/>
        <v>1175.58890075606</v>
      </c>
    </row>
    <row r="378" hidden="1" spans="1:29">
      <c r="A378" s="282" t="s">
        <v>44</v>
      </c>
      <c r="B378" s="282"/>
      <c r="C378" s="188">
        <f>MAX(C96:C125)</f>
        <v>72928</v>
      </c>
      <c r="D378" s="188">
        <f t="shared" ref="D378:AC378" si="116">MAX(D96:D125)</f>
        <v>34407</v>
      </c>
      <c r="E378" s="188">
        <f t="shared" si="116"/>
        <v>104029</v>
      </c>
      <c r="F378" s="187">
        <f t="shared" si="116"/>
        <v>5299.1</v>
      </c>
      <c r="G378" s="188">
        <f t="shared" si="116"/>
        <v>3442</v>
      </c>
      <c r="H378" s="188">
        <f t="shared" si="116"/>
        <v>0</v>
      </c>
      <c r="I378" s="188">
        <f t="shared" si="116"/>
        <v>0</v>
      </c>
      <c r="J378" s="188">
        <f t="shared" si="116"/>
        <v>74067</v>
      </c>
      <c r="K378" s="188">
        <f>SUM(K96:K125)</f>
        <v>21556</v>
      </c>
      <c r="L378" s="188">
        <f>SUM(L96:L125)</f>
        <v>0</v>
      </c>
      <c r="M378" s="337"/>
      <c r="N378" s="188">
        <f t="shared" si="116"/>
        <v>2000577.88</v>
      </c>
      <c r="O378" s="188">
        <f t="shared" si="116"/>
        <v>921258</v>
      </c>
      <c r="P378" s="188">
        <f t="shared" si="116"/>
        <v>2971268.14</v>
      </c>
      <c r="Q378" s="188">
        <f t="shared" si="116"/>
        <v>7390704.48</v>
      </c>
      <c r="R378" s="188">
        <f t="shared" si="116"/>
        <v>3745318</v>
      </c>
      <c r="S378" s="188">
        <f t="shared" si="116"/>
        <v>11317748.98</v>
      </c>
      <c r="T378" s="188"/>
      <c r="U378" s="188"/>
      <c r="V378" s="188"/>
      <c r="W378" s="188"/>
      <c r="X378" s="188"/>
      <c r="Y378" s="188"/>
      <c r="Z378" s="358">
        <f t="shared" si="116"/>
        <v>37.157039</v>
      </c>
      <c r="AA378" s="358">
        <f t="shared" si="116"/>
        <v>732.68003</v>
      </c>
      <c r="AB378" s="188">
        <f t="shared" si="116"/>
        <v>4283.88</v>
      </c>
      <c r="AC378" s="188">
        <f t="shared" si="116"/>
        <v>1638.49923200463</v>
      </c>
    </row>
    <row r="379" hidden="1" spans="1:29">
      <c r="A379" s="282" t="s">
        <v>45</v>
      </c>
      <c r="B379" s="282"/>
      <c r="C379" s="188">
        <f>MAX(C126:C156)</f>
        <v>83611</v>
      </c>
      <c r="D379" s="188">
        <f t="shared" ref="D379:AC379" si="117">MAX(D126:D156)</f>
        <v>41581</v>
      </c>
      <c r="E379" s="188">
        <f t="shared" si="117"/>
        <v>126200</v>
      </c>
      <c r="F379" s="187">
        <f t="shared" si="117"/>
        <v>6174</v>
      </c>
      <c r="G379" s="188">
        <f t="shared" si="117"/>
        <v>4232</v>
      </c>
      <c r="H379" s="188">
        <f t="shared" si="117"/>
        <v>5069</v>
      </c>
      <c r="I379" s="188">
        <f t="shared" si="117"/>
        <v>0</v>
      </c>
      <c r="J379" s="188">
        <f t="shared" si="117"/>
        <v>86461</v>
      </c>
      <c r="K379" s="188">
        <f>SUM(K126:K156)</f>
        <v>23665</v>
      </c>
      <c r="L379" s="188">
        <f>SUM(L126:L156)</f>
        <v>0</v>
      </c>
      <c r="M379" s="337"/>
      <c r="N379" s="188">
        <f t="shared" si="117"/>
        <v>2165250.76</v>
      </c>
      <c r="O379" s="188">
        <f t="shared" si="117"/>
        <v>1022170</v>
      </c>
      <c r="P379" s="188">
        <f t="shared" si="117"/>
        <v>3236304.25</v>
      </c>
      <c r="Q379" s="188">
        <f t="shared" si="117"/>
        <v>9556059.18</v>
      </c>
      <c r="R379" s="188">
        <f t="shared" si="117"/>
        <v>4767488</v>
      </c>
      <c r="S379" s="188">
        <f t="shared" si="117"/>
        <v>14554202.57</v>
      </c>
      <c r="T379" s="188"/>
      <c r="U379" s="188"/>
      <c r="V379" s="188"/>
      <c r="W379" s="188"/>
      <c r="X379" s="188"/>
      <c r="Y379" s="188"/>
      <c r="Z379" s="358">
        <f t="shared" si="117"/>
        <v>44.996719</v>
      </c>
      <c r="AA379" s="358">
        <f t="shared" si="117"/>
        <v>949.061448</v>
      </c>
      <c r="AB379" s="188">
        <f t="shared" si="117"/>
        <v>4283.88</v>
      </c>
      <c r="AC379" s="188">
        <f t="shared" si="117"/>
        <v>2125.60142440965</v>
      </c>
    </row>
    <row r="380" hidden="1" spans="1:29">
      <c r="A380" s="282" t="s">
        <v>46</v>
      </c>
      <c r="B380" s="282"/>
      <c r="C380" s="188">
        <f>MAX(C157:C186)</f>
        <v>86071</v>
      </c>
      <c r="D380" s="188">
        <f t="shared" ref="D380:AC380" si="118">MAX(D157:D186)</f>
        <v>50031</v>
      </c>
      <c r="E380" s="188">
        <f t="shared" si="118"/>
        <v>137438</v>
      </c>
      <c r="F380" s="187">
        <f t="shared" si="118"/>
        <v>6648</v>
      </c>
      <c r="G380" s="188">
        <f t="shared" si="118"/>
        <v>4560</v>
      </c>
      <c r="H380" s="188">
        <f t="shared" si="118"/>
        <v>0</v>
      </c>
      <c r="I380" s="188">
        <f t="shared" si="118"/>
        <v>0</v>
      </c>
      <c r="J380" s="188">
        <f t="shared" si="118"/>
        <v>87407</v>
      </c>
      <c r="K380" s="188">
        <f>SUM(K157:K186)</f>
        <v>36725.55</v>
      </c>
      <c r="L380" s="188">
        <f>SUM(L157:L186)</f>
        <v>34.56</v>
      </c>
      <c r="M380" s="337"/>
      <c r="N380" s="188">
        <f t="shared" si="118"/>
        <v>2022262.82</v>
      </c>
      <c r="O380" s="188">
        <f t="shared" si="118"/>
        <v>1137803</v>
      </c>
      <c r="P380" s="188">
        <f t="shared" si="118"/>
        <v>3222478.17</v>
      </c>
      <c r="Q380" s="188">
        <f t="shared" si="118"/>
        <v>11578322</v>
      </c>
      <c r="R380" s="188">
        <f t="shared" si="118"/>
        <v>5905291</v>
      </c>
      <c r="S380" s="188">
        <f t="shared" si="118"/>
        <v>17776680.74</v>
      </c>
      <c r="T380" s="188"/>
      <c r="U380" s="188"/>
      <c r="V380" s="188"/>
      <c r="W380" s="188"/>
      <c r="X380" s="188"/>
      <c r="Y380" s="188"/>
      <c r="Z380" s="358">
        <f t="shared" si="118"/>
        <v>53.76403</v>
      </c>
      <c r="AA380" s="358">
        <f t="shared" si="118"/>
        <v>1150.836518</v>
      </c>
      <c r="AB380" s="188">
        <f t="shared" si="118"/>
        <v>4283.88</v>
      </c>
      <c r="AC380" s="188">
        <f t="shared" si="118"/>
        <v>2543.63151628897</v>
      </c>
    </row>
    <row r="381" hidden="1" spans="1:29">
      <c r="A381" s="282" t="s">
        <v>47</v>
      </c>
      <c r="B381" s="282"/>
      <c r="C381" s="188">
        <f>MAX(C187:C217)</f>
        <v>82087</v>
      </c>
      <c r="D381" s="188">
        <f t="shared" ref="D381:AC381" si="119">MAX(D187:D217)</f>
        <v>59208</v>
      </c>
      <c r="E381" s="188">
        <f t="shared" si="119"/>
        <v>141867</v>
      </c>
      <c r="F381" s="188">
        <f t="shared" si="119"/>
        <v>7140.5</v>
      </c>
      <c r="G381" s="188">
        <f t="shared" si="119"/>
        <v>5630</v>
      </c>
      <c r="H381" s="188">
        <f t="shared" si="119"/>
        <v>0</v>
      </c>
      <c r="I381" s="188">
        <f t="shared" si="119"/>
        <v>0</v>
      </c>
      <c r="J381" s="188">
        <f t="shared" si="119"/>
        <v>83708</v>
      </c>
      <c r="K381" s="188">
        <f>SUM(K187:K217)</f>
        <v>22731</v>
      </c>
      <c r="L381" s="188">
        <f>SUM(L187:L217)</f>
        <v>22839.87</v>
      </c>
      <c r="M381" s="337"/>
      <c r="N381" s="188">
        <f t="shared" si="119"/>
        <v>2299564.7</v>
      </c>
      <c r="O381" s="188">
        <f t="shared" si="119"/>
        <v>1614262</v>
      </c>
      <c r="P381" s="188">
        <f t="shared" si="119"/>
        <v>3992595.62</v>
      </c>
      <c r="Q381" s="188">
        <f t="shared" si="119"/>
        <v>13879287.72</v>
      </c>
      <c r="R381" s="188">
        <f t="shared" si="119"/>
        <v>7519553</v>
      </c>
      <c r="S381" s="188">
        <f t="shared" si="119"/>
        <v>21771111.72</v>
      </c>
      <c r="T381" s="188"/>
      <c r="U381" s="188"/>
      <c r="V381" s="188"/>
      <c r="W381" s="188"/>
      <c r="X381" s="188"/>
      <c r="Y381" s="188"/>
      <c r="Z381" s="358">
        <f t="shared" si="119"/>
        <v>69.430069</v>
      </c>
      <c r="AA381" s="358">
        <f t="shared" si="119"/>
        <v>1380.4485</v>
      </c>
      <c r="AB381" s="188">
        <f t="shared" si="119"/>
        <v>4283.88</v>
      </c>
      <c r="AC381" s="188">
        <f t="shared" si="119"/>
        <v>2997.23895160462</v>
      </c>
    </row>
    <row r="382" s="163" customFormat="1" hidden="1" spans="1:34">
      <c r="A382" s="282" t="s">
        <v>48</v>
      </c>
      <c r="B382" s="282"/>
      <c r="C382" s="337">
        <f>MAX(C218:C248)</f>
        <v>79715</v>
      </c>
      <c r="D382" s="337">
        <f t="shared" ref="D382:J382" si="120">MAX(D218:D248)</f>
        <v>60360</v>
      </c>
      <c r="E382" s="337">
        <f t="shared" si="120"/>
        <v>144458</v>
      </c>
      <c r="F382" s="337">
        <f t="shared" si="120"/>
        <v>6964.6</v>
      </c>
      <c r="G382" s="337">
        <f t="shared" si="120"/>
        <v>4732.4</v>
      </c>
      <c r="H382" s="337">
        <f t="shared" si="120"/>
        <v>0</v>
      </c>
      <c r="I382" s="337">
        <f t="shared" si="120"/>
        <v>0</v>
      </c>
      <c r="J382" s="337">
        <f t="shared" si="120"/>
        <v>84994</v>
      </c>
      <c r="K382" s="337">
        <f>SUM(K218:K248)</f>
        <v>15328</v>
      </c>
      <c r="L382" s="337">
        <f>SUM(L218:L248)</f>
        <v>94684</v>
      </c>
      <c r="M382" s="337"/>
      <c r="N382" s="337">
        <f t="shared" ref="N382:S382" si="121">MAX(N218:N248)</f>
        <v>2142873.35</v>
      </c>
      <c r="O382" s="337">
        <f t="shared" si="121"/>
        <v>1772476.8</v>
      </c>
      <c r="P382" s="337">
        <f t="shared" si="121"/>
        <v>4060084.02</v>
      </c>
      <c r="Q382" s="337">
        <f t="shared" si="121"/>
        <v>16022161.07</v>
      </c>
      <c r="R382" s="337">
        <f t="shared" si="121"/>
        <v>9292029.8</v>
      </c>
      <c r="S382" s="337">
        <f t="shared" si="121"/>
        <v>25831195.74</v>
      </c>
      <c r="T382" s="337"/>
      <c r="U382" s="337"/>
      <c r="V382" s="337"/>
      <c r="W382" s="337"/>
      <c r="X382" s="337"/>
      <c r="Y382" s="337"/>
      <c r="Z382" s="359">
        <f>MAX(Z218:Z248)</f>
        <v>83.221087</v>
      </c>
      <c r="AA382" s="359">
        <f>MAX(AA218:AA248)</f>
        <v>1588.052972</v>
      </c>
      <c r="AB382" s="337">
        <f>MAX(AB218:AB248)</f>
        <v>4283.88</v>
      </c>
      <c r="AC382" s="337">
        <f>MAX(AC218:AC248)</f>
        <v>3545.83933256767</v>
      </c>
      <c r="AH382" s="363"/>
    </row>
    <row r="383" s="163" customFormat="1" hidden="1" spans="1:34">
      <c r="A383" s="282" t="s">
        <v>49</v>
      </c>
      <c r="B383" s="282"/>
      <c r="C383" s="195">
        <f t="shared" ref="C383:J386" si="122">MAX(C189:C219)</f>
        <v>82087</v>
      </c>
      <c r="D383" s="195">
        <f t="shared" si="122"/>
        <v>59353</v>
      </c>
      <c r="E383" s="195">
        <f t="shared" si="122"/>
        <v>141867</v>
      </c>
      <c r="F383" s="194">
        <f t="shared" si="122"/>
        <v>7140.5</v>
      </c>
      <c r="G383" s="195">
        <f t="shared" si="122"/>
        <v>5630</v>
      </c>
      <c r="H383" s="195">
        <f t="shared" si="122"/>
        <v>0</v>
      </c>
      <c r="I383" s="195">
        <f t="shared" si="122"/>
        <v>0</v>
      </c>
      <c r="J383" s="195">
        <f t="shared" si="122"/>
        <v>83708</v>
      </c>
      <c r="K383" s="195">
        <f t="shared" ref="K383:L386" si="123">SUM(K189:K219)</f>
        <v>22712</v>
      </c>
      <c r="L383" s="195">
        <f t="shared" si="123"/>
        <v>27515.6</v>
      </c>
      <c r="M383" s="195"/>
      <c r="N383" s="195">
        <f t="shared" ref="N383:AC386" si="124">MAX(N189:N219)</f>
        <v>2299564.7</v>
      </c>
      <c r="O383" s="195">
        <f t="shared" si="124"/>
        <v>1614262</v>
      </c>
      <c r="P383" s="195">
        <f t="shared" si="124"/>
        <v>3992595.62</v>
      </c>
      <c r="Q383" s="195">
        <f t="shared" si="124"/>
        <v>14019611.72</v>
      </c>
      <c r="R383" s="195">
        <f t="shared" si="124"/>
        <v>7638243</v>
      </c>
      <c r="S383" s="195">
        <f t="shared" si="124"/>
        <v>22037269.72</v>
      </c>
      <c r="T383" s="195"/>
      <c r="U383" s="195"/>
      <c r="V383" s="195"/>
      <c r="W383" s="195"/>
      <c r="X383" s="195"/>
      <c r="Y383" s="195"/>
      <c r="Z383" s="360">
        <f t="shared" si="124"/>
        <v>70.14</v>
      </c>
      <c r="AA383" s="360">
        <f t="shared" si="124"/>
        <v>1394.928672</v>
      </c>
      <c r="AB383" s="195">
        <f t="shared" si="124"/>
        <v>4283.88</v>
      </c>
      <c r="AC383" s="195">
        <f t="shared" si="124"/>
        <v>3108.91334958029</v>
      </c>
      <c r="AH383" s="363"/>
    </row>
    <row r="384" s="163" customFormat="1" hidden="1" spans="1:34">
      <c r="A384" s="282" t="s">
        <v>50</v>
      </c>
      <c r="B384" s="282"/>
      <c r="C384" s="195">
        <f t="shared" si="122"/>
        <v>82087</v>
      </c>
      <c r="D384" s="195">
        <f t="shared" si="122"/>
        <v>59353</v>
      </c>
      <c r="E384" s="195">
        <f t="shared" si="122"/>
        <v>141867</v>
      </c>
      <c r="F384" s="194">
        <f t="shared" si="122"/>
        <v>7140.5</v>
      </c>
      <c r="G384" s="195">
        <f t="shared" si="122"/>
        <v>5630</v>
      </c>
      <c r="H384" s="195">
        <f t="shared" si="122"/>
        <v>0</v>
      </c>
      <c r="I384" s="195">
        <f t="shared" si="122"/>
        <v>0</v>
      </c>
      <c r="J384" s="195">
        <f t="shared" si="122"/>
        <v>83708</v>
      </c>
      <c r="K384" s="195">
        <f t="shared" si="123"/>
        <v>23121</v>
      </c>
      <c r="L384" s="195">
        <f t="shared" si="123"/>
        <v>29973</v>
      </c>
      <c r="M384" s="195"/>
      <c r="N384" s="195">
        <f t="shared" si="124"/>
        <v>2299564.7</v>
      </c>
      <c r="O384" s="195">
        <f t="shared" si="124"/>
        <v>1614262</v>
      </c>
      <c r="P384" s="195">
        <f t="shared" si="124"/>
        <v>3992595.62</v>
      </c>
      <c r="Q384" s="195">
        <f t="shared" si="124"/>
        <v>14086898.72</v>
      </c>
      <c r="R384" s="195">
        <f t="shared" si="124"/>
        <v>7694160</v>
      </c>
      <c r="S384" s="195">
        <f t="shared" si="124"/>
        <v>22164493.72</v>
      </c>
      <c r="T384" s="195"/>
      <c r="U384" s="195"/>
      <c r="V384" s="195"/>
      <c r="W384" s="195"/>
      <c r="X384" s="195"/>
      <c r="Y384" s="195"/>
      <c r="Z384" s="360">
        <f t="shared" si="124"/>
        <v>70.14</v>
      </c>
      <c r="AA384" s="360">
        <f t="shared" si="124"/>
        <v>1408.689872</v>
      </c>
      <c r="AB384" s="195">
        <f t="shared" si="124"/>
        <v>4283.88</v>
      </c>
      <c r="AC384" s="195">
        <f t="shared" si="124"/>
        <v>3108.91334958029</v>
      </c>
      <c r="AH384" s="363"/>
    </row>
    <row r="385" s="163" customFormat="1" hidden="1" spans="1:34">
      <c r="A385" s="282" t="s">
        <v>52</v>
      </c>
      <c r="B385" s="282"/>
      <c r="C385" s="195">
        <f t="shared" si="122"/>
        <v>82087</v>
      </c>
      <c r="D385" s="195">
        <f t="shared" si="122"/>
        <v>59353</v>
      </c>
      <c r="E385" s="195">
        <f t="shared" si="122"/>
        <v>141867</v>
      </c>
      <c r="F385" s="194">
        <f t="shared" si="122"/>
        <v>7140.5</v>
      </c>
      <c r="G385" s="195">
        <f t="shared" si="122"/>
        <v>5630</v>
      </c>
      <c r="H385" s="195">
        <f t="shared" si="122"/>
        <v>0</v>
      </c>
      <c r="I385" s="195">
        <f t="shared" si="122"/>
        <v>0</v>
      </c>
      <c r="J385" s="195">
        <f t="shared" si="122"/>
        <v>83708</v>
      </c>
      <c r="K385" s="195">
        <f t="shared" si="123"/>
        <v>23497</v>
      </c>
      <c r="L385" s="195">
        <f t="shared" si="123"/>
        <v>31378</v>
      </c>
      <c r="M385" s="195"/>
      <c r="N385" s="195">
        <f t="shared" si="124"/>
        <v>2299564.7</v>
      </c>
      <c r="O385" s="195">
        <f t="shared" si="124"/>
        <v>1614262</v>
      </c>
      <c r="P385" s="195">
        <f t="shared" si="124"/>
        <v>3992595.62</v>
      </c>
      <c r="Q385" s="195">
        <f t="shared" si="124"/>
        <v>14153512.72</v>
      </c>
      <c r="R385" s="195">
        <f t="shared" si="124"/>
        <v>7752785</v>
      </c>
      <c r="S385" s="195">
        <f t="shared" si="124"/>
        <v>22293670.72</v>
      </c>
      <c r="T385" s="195"/>
      <c r="U385" s="195"/>
      <c r="V385" s="195"/>
      <c r="W385" s="195"/>
      <c r="X385" s="195"/>
      <c r="Y385" s="195"/>
      <c r="Z385" s="360">
        <f t="shared" si="124"/>
        <v>70.14</v>
      </c>
      <c r="AA385" s="360">
        <f t="shared" si="124"/>
        <v>1415.351272</v>
      </c>
      <c r="AB385" s="195">
        <f t="shared" si="124"/>
        <v>4283.88</v>
      </c>
      <c r="AC385" s="195">
        <f t="shared" si="124"/>
        <v>3108.91334958029</v>
      </c>
      <c r="AH385" s="363"/>
    </row>
    <row r="386" s="163" customFormat="1" hidden="1" spans="1:34">
      <c r="A386" s="282" t="s">
        <v>53</v>
      </c>
      <c r="B386" s="282"/>
      <c r="C386" s="195">
        <f t="shared" si="122"/>
        <v>82087</v>
      </c>
      <c r="D386" s="195">
        <f t="shared" si="122"/>
        <v>59353</v>
      </c>
      <c r="E386" s="195">
        <f t="shared" si="122"/>
        <v>141867</v>
      </c>
      <c r="F386" s="194">
        <f t="shared" si="122"/>
        <v>7140.5</v>
      </c>
      <c r="G386" s="195">
        <f t="shared" si="122"/>
        <v>5630</v>
      </c>
      <c r="H386" s="195">
        <f t="shared" si="122"/>
        <v>0</v>
      </c>
      <c r="I386" s="195">
        <f t="shared" si="122"/>
        <v>0</v>
      </c>
      <c r="J386" s="195">
        <f t="shared" si="122"/>
        <v>83708</v>
      </c>
      <c r="K386" s="195">
        <f t="shared" si="123"/>
        <v>23678</v>
      </c>
      <c r="L386" s="195">
        <f t="shared" si="123"/>
        <v>33520</v>
      </c>
      <c r="M386" s="195"/>
      <c r="N386" s="195">
        <f t="shared" si="124"/>
        <v>2299564.7</v>
      </c>
      <c r="O386" s="195">
        <f t="shared" si="124"/>
        <v>1614262</v>
      </c>
      <c r="P386" s="195">
        <f t="shared" si="124"/>
        <v>3992595.62</v>
      </c>
      <c r="Q386" s="195">
        <f t="shared" si="124"/>
        <v>14219308.72</v>
      </c>
      <c r="R386" s="195">
        <f t="shared" si="124"/>
        <v>7811783</v>
      </c>
      <c r="S386" s="195">
        <f t="shared" si="124"/>
        <v>22422773.72</v>
      </c>
      <c r="T386" s="195"/>
      <c r="U386" s="195"/>
      <c r="V386" s="195"/>
      <c r="W386" s="195"/>
      <c r="X386" s="195"/>
      <c r="Y386" s="195"/>
      <c r="Z386" s="360">
        <f t="shared" si="124"/>
        <v>70.14</v>
      </c>
      <c r="AA386" s="360">
        <f t="shared" si="124"/>
        <v>1421.930872</v>
      </c>
      <c r="AB386" s="195">
        <f t="shared" si="124"/>
        <v>4283.88</v>
      </c>
      <c r="AC386" s="195">
        <f t="shared" si="124"/>
        <v>3108.91334958029</v>
      </c>
      <c r="AH386" s="363"/>
    </row>
    <row r="387" spans="1:53">
      <c r="A387" s="282"/>
      <c r="B387" s="282"/>
      <c r="C387" s="282"/>
      <c r="D387" s="282"/>
      <c r="E387" s="282"/>
      <c r="F387" s="282"/>
      <c r="G387" s="282"/>
      <c r="H387" s="282"/>
      <c r="I387" s="282"/>
      <c r="J387" s="282"/>
      <c r="K387" s="282"/>
      <c r="L387" s="282"/>
      <c r="M387" s="282"/>
      <c r="N387" s="282"/>
      <c r="O387" s="282"/>
      <c r="P387" s="282"/>
      <c r="Q387" s="282"/>
      <c r="R387" s="282"/>
      <c r="S387" s="282"/>
      <c r="T387" s="282"/>
      <c r="U387" s="282"/>
      <c r="V387" s="282"/>
      <c r="W387" s="282"/>
      <c r="X387" s="282"/>
      <c r="Y387" s="282"/>
      <c r="Z387" s="282"/>
      <c r="AA387" s="282"/>
      <c r="AB387" s="282"/>
      <c r="AC387" s="282"/>
      <c r="AD387" s="282"/>
      <c r="AE387" s="282"/>
      <c r="AF387" s="282"/>
      <c r="AG387" s="282"/>
      <c r="AH387" s="281"/>
      <c r="AI387" s="282"/>
      <c r="AJ387" s="282"/>
      <c r="AK387" s="282"/>
      <c r="AL387" s="282"/>
      <c r="AM387" s="282"/>
      <c r="AN387" s="282"/>
      <c r="AO387" s="282"/>
      <c r="AP387" s="282"/>
      <c r="AQ387" s="282"/>
      <c r="AR387" s="282"/>
      <c r="AS387" s="282"/>
      <c r="AT387" s="282"/>
      <c r="AU387" s="282"/>
      <c r="AV387" s="282"/>
      <c r="AW387" s="282"/>
      <c r="AX387" s="282"/>
      <c r="AY387" s="282"/>
      <c r="AZ387" s="282"/>
      <c r="BA387" s="282"/>
    </row>
    <row r="388" spans="1:53">
      <c r="A388" s="282"/>
      <c r="B388" s="282"/>
      <c r="C388" s="282"/>
      <c r="D388" s="282"/>
      <c r="E388" s="282"/>
      <c r="F388" s="282"/>
      <c r="G388" s="282"/>
      <c r="H388" s="282"/>
      <c r="I388" s="282"/>
      <c r="J388" s="282"/>
      <c r="K388" s="282"/>
      <c r="L388" s="282"/>
      <c r="M388" s="282"/>
      <c r="N388" s="282"/>
      <c r="O388" s="282"/>
      <c r="P388" s="282"/>
      <c r="Q388" s="282"/>
      <c r="R388" s="282"/>
      <c r="S388" s="282"/>
      <c r="T388" s="282"/>
      <c r="U388" s="282"/>
      <c r="V388" s="282"/>
      <c r="W388" s="282"/>
      <c r="X388" s="282"/>
      <c r="Y388" s="282"/>
      <c r="Z388" s="282"/>
      <c r="AA388" s="282"/>
      <c r="AB388" s="282"/>
      <c r="AC388" s="282"/>
      <c r="AD388" s="282"/>
      <c r="AE388" s="282"/>
      <c r="AF388" s="282"/>
      <c r="AG388" s="282"/>
      <c r="AH388" s="281"/>
      <c r="AI388" s="282"/>
      <c r="AJ388" s="282"/>
      <c r="AK388" s="282"/>
      <c r="AL388" s="282"/>
      <c r="AM388" s="282"/>
      <c r="AN388" s="282"/>
      <c r="AO388" s="282"/>
      <c r="AP388" s="282"/>
      <c r="AQ388" s="282"/>
      <c r="AR388" s="282"/>
      <c r="AS388" s="282"/>
      <c r="AT388" s="282"/>
      <c r="AU388" s="282"/>
      <c r="AV388" s="282"/>
      <c r="AW388" s="282"/>
      <c r="AX388" s="282"/>
      <c r="AY388" s="282"/>
      <c r="AZ388" s="282"/>
      <c r="BA388" s="282"/>
    </row>
    <row r="389" spans="1:53">
      <c r="A389" s="364" t="s">
        <v>51</v>
      </c>
      <c r="B389" s="282"/>
      <c r="C389" s="282"/>
      <c r="D389" s="282"/>
      <c r="E389" s="282"/>
      <c r="F389" s="282"/>
      <c r="G389" s="282"/>
      <c r="H389" s="282"/>
      <c r="I389" s="282"/>
      <c r="J389" s="282"/>
      <c r="K389" s="282"/>
      <c r="L389" s="282"/>
      <c r="M389" s="282"/>
      <c r="N389" s="282"/>
      <c r="O389" s="282"/>
      <c r="P389" s="282"/>
      <c r="Q389" s="282"/>
      <c r="R389" s="282"/>
      <c r="S389" s="282"/>
      <c r="T389" s="282"/>
      <c r="U389" s="282"/>
      <c r="V389" s="282"/>
      <c r="W389" s="282"/>
      <c r="X389" s="282"/>
      <c r="Y389" s="282"/>
      <c r="Z389" s="282"/>
      <c r="AA389" s="282"/>
      <c r="AB389" s="282"/>
      <c r="AC389" s="282"/>
      <c r="AD389" s="282"/>
      <c r="AE389" s="282"/>
      <c r="AF389" s="282"/>
      <c r="AG389" s="282"/>
      <c r="AH389" s="281"/>
      <c r="AI389" s="282"/>
      <c r="AJ389" s="282"/>
      <c r="AK389" s="282"/>
      <c r="AL389" s="282"/>
      <c r="AM389" s="282"/>
      <c r="AN389" s="282"/>
      <c r="AO389" s="282"/>
      <c r="AP389" s="282"/>
      <c r="AQ389" s="282"/>
      <c r="AR389" s="282"/>
      <c r="AS389" s="282"/>
      <c r="AT389" s="282"/>
      <c r="AU389" s="282"/>
      <c r="AV389" s="282"/>
      <c r="AW389" s="282"/>
      <c r="AX389" s="282"/>
      <c r="AY389" s="282"/>
      <c r="AZ389" s="282"/>
      <c r="BA389" s="282"/>
    </row>
    <row r="390" spans="1:53">
      <c r="A390" s="282"/>
      <c r="B390" s="282"/>
      <c r="C390" s="282"/>
      <c r="D390" s="282"/>
      <c r="E390" s="282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82"/>
      <c r="Q390" s="282"/>
      <c r="R390" s="282"/>
      <c r="S390" s="282"/>
      <c r="T390" s="282"/>
      <c r="U390" s="282"/>
      <c r="V390" s="282"/>
      <c r="W390" s="282"/>
      <c r="X390" s="282"/>
      <c r="Y390" s="282"/>
      <c r="Z390" s="282"/>
      <c r="AA390" s="282"/>
      <c r="AB390" s="282"/>
      <c r="AC390" s="282"/>
      <c r="AD390" s="282"/>
      <c r="AE390" s="282"/>
      <c r="AF390" s="282"/>
      <c r="AG390" s="282"/>
      <c r="AH390" s="281"/>
      <c r="AI390" s="282"/>
      <c r="AJ390" s="282"/>
      <c r="AK390" s="282"/>
      <c r="AL390" s="282"/>
      <c r="AM390" s="282"/>
      <c r="AN390" s="282"/>
      <c r="AO390" s="282"/>
      <c r="AP390" s="282"/>
      <c r="AQ390" s="282"/>
      <c r="AR390" s="282"/>
      <c r="AS390" s="282"/>
      <c r="AT390" s="282"/>
      <c r="AU390" s="282"/>
      <c r="AV390" s="282"/>
      <c r="AW390" s="282"/>
      <c r="AX390" s="282"/>
      <c r="AY390" s="282"/>
      <c r="AZ390" s="282"/>
      <c r="BA390" s="282"/>
    </row>
    <row r="391" spans="1:53">
      <c r="A391" s="282" t="s">
        <v>54</v>
      </c>
      <c r="B391" s="282"/>
      <c r="C391" s="282">
        <f>66758+1538</f>
        <v>68296</v>
      </c>
      <c r="D391" s="282">
        <f>19497+13274</f>
        <v>32771</v>
      </c>
      <c r="E391" s="282">
        <f>86323+19497</f>
        <v>105820</v>
      </c>
      <c r="F391" s="282">
        <v>5029</v>
      </c>
      <c r="G391" s="282">
        <v>3614</v>
      </c>
      <c r="H391" s="282"/>
      <c r="I391" s="282"/>
      <c r="J391" s="282"/>
      <c r="K391" s="282">
        <v>391</v>
      </c>
      <c r="L391" s="282">
        <v>3791</v>
      </c>
      <c r="M391" s="282"/>
      <c r="N391" s="282"/>
      <c r="O391" s="282"/>
      <c r="P391" s="282"/>
      <c r="Q391" s="282"/>
      <c r="R391" s="282"/>
      <c r="S391" s="282"/>
      <c r="T391" s="282"/>
      <c r="U391" s="282"/>
      <c r="V391" s="282"/>
      <c r="W391" s="282"/>
      <c r="X391" s="282"/>
      <c r="Y391" s="282"/>
      <c r="Z391" s="282"/>
      <c r="AA391" s="282"/>
      <c r="AB391" s="282"/>
      <c r="AC391" s="282"/>
      <c r="AD391" s="282"/>
      <c r="AE391" s="282"/>
      <c r="AF391" s="282"/>
      <c r="AG391" s="282"/>
      <c r="AH391" s="281"/>
      <c r="AI391" s="282"/>
      <c r="AJ391" s="282"/>
      <c r="AK391" s="282"/>
      <c r="AL391" s="282"/>
      <c r="AM391" s="282"/>
      <c r="AN391" s="282"/>
      <c r="AO391" s="282"/>
      <c r="AP391" s="282"/>
      <c r="AQ391" s="282"/>
      <c r="AR391" s="282"/>
      <c r="AS391" s="282"/>
      <c r="AT391" s="282"/>
      <c r="AU391" s="282"/>
      <c r="AV391" s="282"/>
      <c r="AW391" s="282"/>
      <c r="AX391" s="282"/>
      <c r="AY391" s="282"/>
      <c r="AZ391" s="282"/>
      <c r="BA391" s="282"/>
    </row>
    <row r="392" spans="1:53">
      <c r="A392" s="282"/>
      <c r="B392" s="282"/>
      <c r="C392" s="282"/>
      <c r="D392" s="282"/>
      <c r="E392" s="282"/>
      <c r="F392" s="282"/>
      <c r="G392" s="282"/>
      <c r="H392" s="282"/>
      <c r="I392" s="282"/>
      <c r="J392" s="282"/>
      <c r="K392" s="282"/>
      <c r="L392" s="282"/>
      <c r="M392" s="282"/>
      <c r="N392" s="282"/>
      <c r="O392" s="282"/>
      <c r="P392" s="282"/>
      <c r="Q392" s="282"/>
      <c r="R392" s="282"/>
      <c r="S392" s="282"/>
      <c r="T392" s="282"/>
      <c r="U392" s="282"/>
      <c r="V392" s="282"/>
      <c r="W392" s="282"/>
      <c r="X392" s="282"/>
      <c r="Y392" s="282"/>
      <c r="Z392" s="282"/>
      <c r="AA392" s="282"/>
      <c r="AB392" s="282"/>
      <c r="AC392" s="282"/>
      <c r="AD392" s="282"/>
      <c r="AE392" s="282"/>
      <c r="AF392" s="282"/>
      <c r="AG392" s="282"/>
      <c r="AH392" s="281"/>
      <c r="AI392" s="282"/>
      <c r="AJ392" s="282"/>
      <c r="AK392" s="282"/>
      <c r="AL392" s="282"/>
      <c r="AM392" s="282"/>
      <c r="AN392" s="282"/>
      <c r="AO392" s="282"/>
      <c r="AP392" s="282"/>
      <c r="AQ392" s="282"/>
      <c r="AR392" s="282"/>
      <c r="AS392" s="282"/>
      <c r="AT392" s="282"/>
      <c r="AU392" s="282"/>
      <c r="AV392" s="282"/>
      <c r="AW392" s="282"/>
      <c r="AX392" s="282"/>
      <c r="AY392" s="282"/>
      <c r="AZ392" s="282"/>
      <c r="BA392" s="282"/>
    </row>
    <row r="393" spans="1:53">
      <c r="A393" s="282"/>
      <c r="B393" s="282"/>
      <c r="C393" s="282"/>
      <c r="D393" s="282"/>
      <c r="E393" s="282"/>
      <c r="F393" s="282"/>
      <c r="G393" s="282"/>
      <c r="H393" s="282"/>
      <c r="I393" s="282"/>
      <c r="J393" s="282"/>
      <c r="K393" s="282"/>
      <c r="L393" s="282"/>
      <c r="M393" s="282"/>
      <c r="N393" s="282"/>
      <c r="O393" s="282"/>
      <c r="P393" s="282"/>
      <c r="Q393" s="282"/>
      <c r="R393" s="282"/>
      <c r="S393" s="282"/>
      <c r="T393" s="282"/>
      <c r="U393" s="282"/>
      <c r="V393" s="282"/>
      <c r="W393" s="282"/>
      <c r="X393" s="282"/>
      <c r="Y393" s="282"/>
      <c r="Z393" s="282"/>
      <c r="AA393" s="282"/>
      <c r="AB393" s="282"/>
      <c r="AC393" s="282"/>
      <c r="AD393" s="282"/>
      <c r="AE393" s="282"/>
      <c r="AF393" s="282"/>
      <c r="AG393" s="282"/>
      <c r="AH393" s="281"/>
      <c r="AI393" s="282"/>
      <c r="AJ393" s="282"/>
      <c r="AK393" s="282"/>
      <c r="AL393" s="282"/>
      <c r="AM393" s="282"/>
      <c r="AN393" s="282"/>
      <c r="AO393" s="282"/>
      <c r="AP393" s="282"/>
      <c r="AQ393" s="282"/>
      <c r="AR393" s="282"/>
      <c r="AS393" s="282"/>
      <c r="AT393" s="282"/>
      <c r="AU393" s="282"/>
      <c r="AV393" s="282"/>
      <c r="AW393" s="282"/>
      <c r="AX393" s="282"/>
      <c r="AY393" s="282"/>
      <c r="AZ393" s="282"/>
      <c r="BA393" s="282"/>
    </row>
    <row r="394" spans="1:53">
      <c r="A394" s="282"/>
      <c r="B394" s="282"/>
      <c r="C394" s="282"/>
      <c r="D394" s="282"/>
      <c r="E394" s="282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  <c r="AA394" s="282"/>
      <c r="AB394" s="282"/>
      <c r="AC394" s="282"/>
      <c r="AD394" s="282"/>
      <c r="AE394" s="282"/>
      <c r="AF394" s="282"/>
      <c r="AG394" s="282"/>
      <c r="AH394" s="281"/>
      <c r="AI394" s="282"/>
      <c r="AJ394" s="282"/>
      <c r="AK394" s="282"/>
      <c r="AL394" s="282"/>
      <c r="AM394" s="282"/>
      <c r="AN394" s="282"/>
      <c r="AO394" s="282"/>
      <c r="AP394" s="282"/>
      <c r="AQ394" s="282"/>
      <c r="AR394" s="282"/>
      <c r="AS394" s="282"/>
      <c r="AT394" s="282"/>
      <c r="AU394" s="282"/>
      <c r="AV394" s="282"/>
      <c r="AW394" s="282"/>
      <c r="AX394" s="282"/>
      <c r="AY394" s="282"/>
      <c r="AZ394" s="282"/>
      <c r="BA394" s="282"/>
    </row>
    <row r="395" spans="1:53">
      <c r="A395" s="282"/>
      <c r="B395" s="282"/>
      <c r="C395" s="282"/>
      <c r="D395" s="282"/>
      <c r="E395" s="282"/>
      <c r="F395" s="282"/>
      <c r="G395" s="282"/>
      <c r="H395" s="282"/>
      <c r="I395" s="282"/>
      <c r="J395" s="282"/>
      <c r="K395" s="282"/>
      <c r="L395" s="282"/>
      <c r="M395" s="282"/>
      <c r="N395" s="282"/>
      <c r="O395" s="282"/>
      <c r="P395" s="282"/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  <c r="AC395" s="282"/>
      <c r="AD395" s="282"/>
      <c r="AE395" s="282"/>
      <c r="AF395" s="282"/>
      <c r="AG395" s="282"/>
      <c r="AH395" s="281"/>
      <c r="AI395" s="282"/>
      <c r="AJ395" s="282"/>
      <c r="AK395" s="282"/>
      <c r="AL395" s="282"/>
      <c r="AM395" s="282"/>
      <c r="AN395" s="282"/>
      <c r="AO395" s="282"/>
      <c r="AP395" s="282"/>
      <c r="AQ395" s="282"/>
      <c r="AR395" s="282"/>
      <c r="AS395" s="282"/>
      <c r="AT395" s="282"/>
      <c r="AU395" s="282"/>
      <c r="AV395" s="282"/>
      <c r="AW395" s="282"/>
      <c r="AX395" s="282"/>
      <c r="AY395" s="282"/>
      <c r="AZ395" s="282"/>
      <c r="BA395" s="282"/>
    </row>
    <row r="396" spans="1:53">
      <c r="A396" s="282"/>
      <c r="B396" s="282"/>
      <c r="C396" s="282"/>
      <c r="D396" s="282"/>
      <c r="E396" s="282"/>
      <c r="F396" s="282"/>
      <c r="G396" s="282"/>
      <c r="H396" s="282"/>
      <c r="I396" s="282"/>
      <c r="J396" s="282"/>
      <c r="K396" s="282"/>
      <c r="L396" s="282"/>
      <c r="M396" s="282"/>
      <c r="N396" s="282"/>
      <c r="O396" s="282"/>
      <c r="P396" s="282"/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  <c r="AC396" s="282"/>
      <c r="AD396" s="282"/>
      <c r="AE396" s="282"/>
      <c r="AF396" s="282"/>
      <c r="AG396" s="282"/>
      <c r="AH396" s="281"/>
      <c r="AI396" s="282"/>
      <c r="AJ396" s="282"/>
      <c r="AK396" s="282"/>
      <c r="AL396" s="282"/>
      <c r="AM396" s="282"/>
      <c r="AN396" s="282"/>
      <c r="AO396" s="282"/>
      <c r="AP396" s="282"/>
      <c r="AQ396" s="282"/>
      <c r="AR396" s="282"/>
      <c r="AS396" s="282"/>
      <c r="AT396" s="282"/>
      <c r="AU396" s="282"/>
      <c r="AV396" s="282"/>
      <c r="AW396" s="282"/>
      <c r="AX396" s="282"/>
      <c r="AY396" s="282"/>
      <c r="AZ396" s="282"/>
      <c r="BA396" s="282"/>
    </row>
    <row r="397" spans="1:53">
      <c r="A397" s="282"/>
      <c r="B397" s="282"/>
      <c r="C397" s="282"/>
      <c r="D397" s="282"/>
      <c r="E397" s="282"/>
      <c r="F397" s="282"/>
      <c r="G397" s="282"/>
      <c r="H397" s="282"/>
      <c r="I397" s="282"/>
      <c r="J397" s="282"/>
      <c r="K397" s="282"/>
      <c r="L397" s="282"/>
      <c r="M397" s="282"/>
      <c r="N397" s="282"/>
      <c r="O397" s="282"/>
      <c r="P397" s="282"/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  <c r="AC397" s="282"/>
      <c r="AD397" s="282"/>
      <c r="AE397" s="282"/>
      <c r="AF397" s="282"/>
      <c r="AG397" s="282"/>
      <c r="AH397" s="281"/>
      <c r="AI397" s="282"/>
      <c r="AJ397" s="282"/>
      <c r="AK397" s="282"/>
      <c r="AL397" s="282"/>
      <c r="AM397" s="282"/>
      <c r="AN397" s="282"/>
      <c r="AO397" s="282"/>
      <c r="AP397" s="282"/>
      <c r="AQ397" s="282"/>
      <c r="AR397" s="282"/>
      <c r="AS397" s="282"/>
      <c r="AT397" s="282"/>
      <c r="AU397" s="282"/>
      <c r="AV397" s="282"/>
      <c r="AW397" s="282"/>
      <c r="AX397" s="282"/>
      <c r="AY397" s="282"/>
      <c r="AZ397" s="282"/>
      <c r="BA397" s="282"/>
    </row>
    <row r="398" spans="1:53">
      <c r="A398" s="282"/>
      <c r="B398" s="282"/>
      <c r="C398" s="282"/>
      <c r="D398" s="282"/>
      <c r="E398" s="282"/>
      <c r="F398" s="282"/>
      <c r="G398" s="282"/>
      <c r="H398" s="282"/>
      <c r="I398" s="282"/>
      <c r="J398" s="282"/>
      <c r="K398" s="282"/>
      <c r="L398" s="282"/>
      <c r="M398" s="282"/>
      <c r="N398" s="282"/>
      <c r="O398" s="282"/>
      <c r="P398" s="282"/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  <c r="AC398" s="282"/>
      <c r="AD398" s="282"/>
      <c r="AE398" s="282"/>
      <c r="AF398" s="282"/>
      <c r="AG398" s="282"/>
      <c r="AH398" s="281"/>
      <c r="AI398" s="282"/>
      <c r="AJ398" s="282"/>
      <c r="AK398" s="282"/>
      <c r="AL398" s="282"/>
      <c r="AM398" s="282"/>
      <c r="AN398" s="282"/>
      <c r="AO398" s="282"/>
      <c r="AP398" s="282"/>
      <c r="AQ398" s="282"/>
      <c r="AR398" s="282"/>
      <c r="AS398" s="282"/>
      <c r="AT398" s="282"/>
      <c r="AU398" s="282"/>
      <c r="AV398" s="282"/>
      <c r="AW398" s="282"/>
      <c r="AX398" s="282"/>
      <c r="AY398" s="282"/>
      <c r="AZ398" s="282"/>
      <c r="BA398" s="282"/>
    </row>
    <row r="399" spans="1:53">
      <c r="A399" s="282"/>
      <c r="B399" s="282"/>
      <c r="C399" s="282"/>
      <c r="D399" s="282"/>
      <c r="E399" s="282"/>
      <c r="F399" s="282"/>
      <c r="G399" s="282"/>
      <c r="H399" s="282"/>
      <c r="I399" s="282"/>
      <c r="J399" s="282"/>
      <c r="K399" s="282"/>
      <c r="L399" s="282"/>
      <c r="M399" s="282"/>
      <c r="N399" s="282"/>
      <c r="O399" s="282"/>
      <c r="P399" s="282"/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  <c r="AA399" s="282"/>
      <c r="AB399" s="282"/>
      <c r="AC399" s="282"/>
      <c r="AD399" s="282"/>
      <c r="AE399" s="282"/>
      <c r="AF399" s="282"/>
      <c r="AG399" s="282"/>
      <c r="AH399" s="281"/>
      <c r="AI399" s="282"/>
      <c r="AJ399" s="282"/>
      <c r="AK399" s="282"/>
      <c r="AL399" s="282"/>
      <c r="AM399" s="282"/>
      <c r="AN399" s="282"/>
      <c r="AO399" s="282"/>
      <c r="AP399" s="282"/>
      <c r="AQ399" s="282"/>
      <c r="AR399" s="282"/>
      <c r="AS399" s="282"/>
      <c r="AT399" s="282"/>
      <c r="AU399" s="282"/>
      <c r="AV399" s="282"/>
      <c r="AW399" s="282"/>
      <c r="AX399" s="282"/>
      <c r="AY399" s="282"/>
      <c r="AZ399" s="282"/>
      <c r="BA399" s="282"/>
    </row>
    <row r="400" spans="1:53">
      <c r="A400" s="282"/>
      <c r="B400" s="282"/>
      <c r="C400" s="282"/>
      <c r="D400" s="282"/>
      <c r="E400" s="282"/>
      <c r="F400" s="282"/>
      <c r="G400" s="282"/>
      <c r="H400" s="282"/>
      <c r="I400" s="282"/>
      <c r="J400" s="282"/>
      <c r="K400" s="282"/>
      <c r="L400" s="282"/>
      <c r="M400" s="282"/>
      <c r="N400" s="282"/>
      <c r="O400" s="282"/>
      <c r="P400" s="282"/>
      <c r="Q400" s="282"/>
      <c r="R400" s="282"/>
      <c r="S400" s="282"/>
      <c r="T400" s="282"/>
      <c r="U400" s="282"/>
      <c r="V400" s="282"/>
      <c r="W400" s="282"/>
      <c r="X400" s="282"/>
      <c r="Y400" s="282"/>
      <c r="Z400" s="282"/>
      <c r="AA400" s="282"/>
      <c r="AB400" s="282"/>
      <c r="AC400" s="282"/>
      <c r="AD400" s="282"/>
      <c r="AE400" s="282"/>
      <c r="AF400" s="282"/>
      <c r="AG400" s="282"/>
      <c r="AH400" s="281"/>
      <c r="AI400" s="282"/>
      <c r="AJ400" s="282"/>
      <c r="AK400" s="282"/>
      <c r="AL400" s="282"/>
      <c r="AM400" s="282"/>
      <c r="AN400" s="282"/>
      <c r="AO400" s="282"/>
      <c r="AP400" s="282"/>
      <c r="AQ400" s="282"/>
      <c r="AR400" s="282"/>
      <c r="AS400" s="282"/>
      <c r="AT400" s="282"/>
      <c r="AU400" s="282"/>
      <c r="AV400" s="282"/>
      <c r="AW400" s="282"/>
      <c r="AX400" s="282"/>
      <c r="AY400" s="282"/>
      <c r="AZ400" s="282"/>
      <c r="BA400" s="282"/>
    </row>
    <row r="401" spans="1:53">
      <c r="A401" s="282"/>
      <c r="B401" s="282"/>
      <c r="C401" s="282"/>
      <c r="D401" s="282"/>
      <c r="E401" s="282"/>
      <c r="F401" s="282"/>
      <c r="G401" s="282"/>
      <c r="H401" s="282"/>
      <c r="I401" s="282"/>
      <c r="J401" s="282"/>
      <c r="K401" s="282"/>
      <c r="L401" s="282"/>
      <c r="M401" s="282"/>
      <c r="N401" s="282"/>
      <c r="O401" s="282"/>
      <c r="P401" s="282"/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  <c r="AC401" s="282"/>
      <c r="AD401" s="282"/>
      <c r="AE401" s="282"/>
      <c r="AF401" s="282"/>
      <c r="AG401" s="282"/>
      <c r="AH401" s="281"/>
      <c r="AI401" s="282"/>
      <c r="AJ401" s="282"/>
      <c r="AK401" s="282"/>
      <c r="AL401" s="282"/>
      <c r="AM401" s="282"/>
      <c r="AN401" s="282"/>
      <c r="AO401" s="282"/>
      <c r="AP401" s="282"/>
      <c r="AQ401" s="282"/>
      <c r="AR401" s="282"/>
      <c r="AS401" s="282"/>
      <c r="AT401" s="282"/>
      <c r="AU401" s="282"/>
      <c r="AV401" s="282"/>
      <c r="AW401" s="282"/>
      <c r="AX401" s="282"/>
      <c r="AY401" s="282"/>
      <c r="AZ401" s="282"/>
      <c r="BA401" s="282"/>
    </row>
    <row r="402" spans="1:53">
      <c r="A402" s="282"/>
      <c r="B402" s="282"/>
      <c r="C402" s="282"/>
      <c r="D402" s="282"/>
      <c r="E402" s="282"/>
      <c r="F402" s="282"/>
      <c r="G402" s="282"/>
      <c r="H402" s="282"/>
      <c r="I402" s="282"/>
      <c r="J402" s="282"/>
      <c r="K402" s="282"/>
      <c r="L402" s="282"/>
      <c r="M402" s="282"/>
      <c r="N402" s="282"/>
      <c r="O402" s="282"/>
      <c r="P402" s="282"/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  <c r="AC402" s="282"/>
      <c r="AD402" s="282"/>
      <c r="AE402" s="282"/>
      <c r="AF402" s="282"/>
      <c r="AG402" s="282"/>
      <c r="AH402" s="281"/>
      <c r="AI402" s="282"/>
      <c r="AJ402" s="282"/>
      <c r="AK402" s="282"/>
      <c r="AL402" s="282"/>
      <c r="AM402" s="282"/>
      <c r="AN402" s="282"/>
      <c r="AO402" s="282"/>
      <c r="AP402" s="282"/>
      <c r="AQ402" s="282"/>
      <c r="AR402" s="282"/>
      <c r="AS402" s="282"/>
      <c r="AT402" s="282"/>
      <c r="AU402" s="282"/>
      <c r="AV402" s="282"/>
      <c r="AW402" s="282"/>
      <c r="AX402" s="282"/>
      <c r="AY402" s="282"/>
      <c r="AZ402" s="282"/>
      <c r="BA402" s="282"/>
    </row>
    <row r="403" spans="1:53">
      <c r="A403" s="282"/>
      <c r="B403" s="282"/>
      <c r="C403" s="282"/>
      <c r="D403" s="282"/>
      <c r="E403" s="282"/>
      <c r="F403" s="282"/>
      <c r="G403" s="282"/>
      <c r="H403" s="282"/>
      <c r="I403" s="282"/>
      <c r="J403" s="282"/>
      <c r="K403" s="282"/>
      <c r="L403" s="282"/>
      <c r="M403" s="282"/>
      <c r="N403" s="282"/>
      <c r="O403" s="282"/>
      <c r="P403" s="282"/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  <c r="AC403" s="282"/>
      <c r="AD403" s="282"/>
      <c r="AE403" s="282"/>
      <c r="AF403" s="282"/>
      <c r="AG403" s="282"/>
      <c r="AH403" s="281"/>
      <c r="AI403" s="282"/>
      <c r="AJ403" s="282"/>
      <c r="AK403" s="282"/>
      <c r="AL403" s="282"/>
      <c r="AM403" s="282"/>
      <c r="AN403" s="282"/>
      <c r="AO403" s="282"/>
      <c r="AP403" s="282"/>
      <c r="AQ403" s="282"/>
      <c r="AR403" s="282"/>
      <c r="AS403" s="282"/>
      <c r="AT403" s="282"/>
      <c r="AU403" s="282"/>
      <c r="AV403" s="282"/>
      <c r="AW403" s="282"/>
      <c r="AX403" s="282"/>
      <c r="AY403" s="282"/>
      <c r="AZ403" s="282"/>
      <c r="BA403" s="282"/>
    </row>
    <row r="404" spans="1:53">
      <c r="A404" s="282"/>
      <c r="B404" s="282"/>
      <c r="C404" s="282"/>
      <c r="D404" s="282"/>
      <c r="E404" s="282"/>
      <c r="F404" s="282"/>
      <c r="G404" s="282"/>
      <c r="H404" s="282"/>
      <c r="I404" s="282"/>
      <c r="J404" s="282"/>
      <c r="K404" s="282"/>
      <c r="L404" s="282"/>
      <c r="M404" s="282"/>
      <c r="N404" s="282"/>
      <c r="O404" s="282"/>
      <c r="P404" s="282"/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  <c r="AC404" s="282"/>
      <c r="AD404" s="282"/>
      <c r="AE404" s="282"/>
      <c r="AF404" s="282"/>
      <c r="AG404" s="282"/>
      <c r="AH404" s="281"/>
      <c r="AI404" s="282"/>
      <c r="AJ404" s="282"/>
      <c r="AK404" s="282"/>
      <c r="AL404" s="282"/>
      <c r="AM404" s="282"/>
      <c r="AN404" s="282"/>
      <c r="AO404" s="282"/>
      <c r="AP404" s="282"/>
      <c r="AQ404" s="282"/>
      <c r="AR404" s="282"/>
      <c r="AS404" s="282"/>
      <c r="AT404" s="282"/>
      <c r="AU404" s="282"/>
      <c r="AV404" s="282"/>
      <c r="AW404" s="282"/>
      <c r="AX404" s="282"/>
      <c r="AY404" s="282"/>
      <c r="AZ404" s="282"/>
      <c r="BA404" s="282"/>
    </row>
    <row r="405" spans="1:53">
      <c r="A405" s="282"/>
      <c r="B405" s="282"/>
      <c r="C405" s="282"/>
      <c r="D405" s="282"/>
      <c r="E405" s="282"/>
      <c r="F405" s="282"/>
      <c r="G405" s="282"/>
      <c r="H405" s="282"/>
      <c r="I405" s="282"/>
      <c r="J405" s="282"/>
      <c r="K405" s="282"/>
      <c r="L405" s="282"/>
      <c r="M405" s="282"/>
      <c r="N405" s="282"/>
      <c r="O405" s="282"/>
      <c r="P405" s="282"/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  <c r="AC405" s="282"/>
      <c r="AD405" s="282"/>
      <c r="AE405" s="282"/>
      <c r="AF405" s="282"/>
      <c r="AG405" s="282"/>
      <c r="AH405" s="281"/>
      <c r="AI405" s="282"/>
      <c r="AJ405" s="282"/>
      <c r="AK405" s="282"/>
      <c r="AL405" s="282"/>
      <c r="AM405" s="282"/>
      <c r="AN405" s="282"/>
      <c r="AO405" s="282"/>
      <c r="AP405" s="282"/>
      <c r="AQ405" s="282"/>
      <c r="AR405" s="282"/>
      <c r="AS405" s="282"/>
      <c r="AT405" s="282"/>
      <c r="AU405" s="282"/>
      <c r="AV405" s="282"/>
      <c r="AW405" s="282"/>
      <c r="AX405" s="282"/>
      <c r="AY405" s="282"/>
      <c r="AZ405" s="282"/>
      <c r="BA405" s="282"/>
    </row>
    <row r="406" spans="1:53">
      <c r="A406" s="282"/>
      <c r="B406" s="282"/>
      <c r="C406" s="282"/>
      <c r="D406" s="282"/>
      <c r="E406" s="282"/>
      <c r="F406" s="282"/>
      <c r="G406" s="282"/>
      <c r="H406" s="282"/>
      <c r="I406" s="282"/>
      <c r="J406" s="282"/>
      <c r="K406" s="282"/>
      <c r="L406" s="282"/>
      <c r="M406" s="282"/>
      <c r="N406" s="282"/>
      <c r="O406" s="282"/>
      <c r="P406" s="282"/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  <c r="AC406" s="282"/>
      <c r="AD406" s="282"/>
      <c r="AE406" s="282"/>
      <c r="AF406" s="282"/>
      <c r="AG406" s="282"/>
      <c r="AH406" s="281"/>
      <c r="AI406" s="282"/>
      <c r="AJ406" s="282"/>
      <c r="AK406" s="282"/>
      <c r="AL406" s="282"/>
      <c r="AM406" s="282"/>
      <c r="AN406" s="282"/>
      <c r="AO406" s="282"/>
      <c r="AP406" s="282"/>
      <c r="AQ406" s="282"/>
      <c r="AR406" s="282"/>
      <c r="AS406" s="282"/>
      <c r="AT406" s="282"/>
      <c r="AU406" s="282"/>
      <c r="AV406" s="282"/>
      <c r="AW406" s="282"/>
      <c r="AX406" s="282"/>
      <c r="AY406" s="282"/>
      <c r="AZ406" s="282"/>
      <c r="BA406" s="282"/>
    </row>
    <row r="407" spans="1:53">
      <c r="A407" s="282"/>
      <c r="B407" s="282"/>
      <c r="C407" s="282"/>
      <c r="D407" s="282"/>
      <c r="E407" s="282"/>
      <c r="F407" s="282"/>
      <c r="G407" s="282"/>
      <c r="H407" s="282"/>
      <c r="I407" s="282"/>
      <c r="J407" s="282"/>
      <c r="K407" s="282"/>
      <c r="L407" s="282"/>
      <c r="M407" s="282"/>
      <c r="N407" s="282"/>
      <c r="O407" s="282"/>
      <c r="P407" s="282"/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  <c r="AC407" s="282"/>
      <c r="AD407" s="282"/>
      <c r="AE407" s="282"/>
      <c r="AF407" s="282"/>
      <c r="AG407" s="282"/>
      <c r="AH407" s="281"/>
      <c r="AI407" s="282"/>
      <c r="AJ407" s="282"/>
      <c r="AK407" s="282"/>
      <c r="AL407" s="282"/>
      <c r="AM407" s="282"/>
      <c r="AN407" s="282"/>
      <c r="AO407" s="282"/>
      <c r="AP407" s="282"/>
      <c r="AQ407" s="282"/>
      <c r="AR407" s="282"/>
      <c r="AS407" s="282"/>
      <c r="AT407" s="282"/>
      <c r="AU407" s="282"/>
      <c r="AV407" s="282"/>
      <c r="AW407" s="282"/>
      <c r="AX407" s="282"/>
      <c r="AY407" s="282"/>
      <c r="AZ407" s="282"/>
      <c r="BA407" s="282"/>
    </row>
    <row r="408" spans="1:53">
      <c r="A408" s="282"/>
      <c r="B408" s="282"/>
      <c r="C408" s="282"/>
      <c r="D408" s="282"/>
      <c r="E408" s="282"/>
      <c r="F408" s="282"/>
      <c r="G408" s="282"/>
      <c r="H408" s="282"/>
      <c r="I408" s="282"/>
      <c r="J408" s="282"/>
      <c r="K408" s="282"/>
      <c r="L408" s="282"/>
      <c r="M408" s="282"/>
      <c r="N408" s="282"/>
      <c r="O408" s="282"/>
      <c r="P408" s="282"/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  <c r="AC408" s="282"/>
      <c r="AD408" s="282"/>
      <c r="AE408" s="282"/>
      <c r="AF408" s="282"/>
      <c r="AG408" s="282"/>
      <c r="AH408" s="281"/>
      <c r="AI408" s="282"/>
      <c r="AJ408" s="282"/>
      <c r="AK408" s="282"/>
      <c r="AL408" s="282"/>
      <c r="AM408" s="282"/>
      <c r="AN408" s="282"/>
      <c r="AO408" s="282"/>
      <c r="AP408" s="282"/>
      <c r="AQ408" s="282"/>
      <c r="AR408" s="282"/>
      <c r="AS408" s="282"/>
      <c r="AT408" s="282"/>
      <c r="AU408" s="282"/>
      <c r="AV408" s="282"/>
      <c r="AW408" s="282"/>
      <c r="AX408" s="282"/>
      <c r="AY408" s="282"/>
      <c r="AZ408" s="282"/>
      <c r="BA408" s="282"/>
    </row>
    <row r="409" spans="1:53">
      <c r="A409" s="282"/>
      <c r="B409" s="282"/>
      <c r="C409" s="282"/>
      <c r="D409" s="282"/>
      <c r="E409" s="282"/>
      <c r="F409" s="282"/>
      <c r="G409" s="282"/>
      <c r="H409" s="282"/>
      <c r="I409" s="282"/>
      <c r="J409" s="282"/>
      <c r="K409" s="282"/>
      <c r="L409" s="282"/>
      <c r="M409" s="282"/>
      <c r="N409" s="282"/>
      <c r="O409" s="282"/>
      <c r="P409" s="282"/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  <c r="AC409" s="282"/>
      <c r="AD409" s="282"/>
      <c r="AE409" s="282"/>
      <c r="AF409" s="282"/>
      <c r="AG409" s="282"/>
      <c r="AH409" s="281"/>
      <c r="AI409" s="282"/>
      <c r="AJ409" s="282"/>
      <c r="AK409" s="282"/>
      <c r="AL409" s="282"/>
      <c r="AM409" s="282"/>
      <c r="AN409" s="282"/>
      <c r="AO409" s="282"/>
      <c r="AP409" s="282"/>
      <c r="AQ409" s="282"/>
      <c r="AR409" s="282"/>
      <c r="AS409" s="282"/>
      <c r="AT409" s="282"/>
      <c r="AU409" s="282"/>
      <c r="AV409" s="282"/>
      <c r="AW409" s="282"/>
      <c r="AX409" s="282"/>
      <c r="AY409" s="282"/>
      <c r="AZ409" s="282"/>
      <c r="BA409" s="282"/>
    </row>
    <row r="410" spans="1:53">
      <c r="A410" s="282"/>
      <c r="B410" s="282"/>
      <c r="C410" s="282"/>
      <c r="D410" s="282"/>
      <c r="E410" s="282"/>
      <c r="F410" s="282"/>
      <c r="G410" s="282"/>
      <c r="H410" s="282"/>
      <c r="I410" s="282"/>
      <c r="J410" s="282"/>
      <c r="K410" s="282"/>
      <c r="L410" s="282"/>
      <c r="M410" s="282"/>
      <c r="N410" s="282"/>
      <c r="O410" s="282"/>
      <c r="P410" s="282"/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  <c r="AA410" s="282"/>
      <c r="AB410" s="282"/>
      <c r="AC410" s="282"/>
      <c r="AD410" s="282"/>
      <c r="AE410" s="282"/>
      <c r="AF410" s="282"/>
      <c r="AG410" s="282"/>
      <c r="AH410" s="281"/>
      <c r="AI410" s="282"/>
      <c r="AJ410" s="282"/>
      <c r="AK410" s="282"/>
      <c r="AL410" s="282"/>
      <c r="AM410" s="282"/>
      <c r="AN410" s="282"/>
      <c r="AO410" s="282"/>
      <c r="AP410" s="282"/>
      <c r="AQ410" s="282"/>
      <c r="AR410" s="282"/>
      <c r="AS410" s="282"/>
      <c r="AT410" s="282"/>
      <c r="AU410" s="282"/>
      <c r="AV410" s="282"/>
      <c r="AW410" s="282"/>
      <c r="AX410" s="282"/>
      <c r="AY410" s="282"/>
      <c r="AZ410" s="282"/>
      <c r="BA410" s="282"/>
    </row>
    <row r="411" spans="1:53">
      <c r="A411" s="282"/>
      <c r="B411" s="282"/>
      <c r="C411" s="282"/>
      <c r="D411" s="282"/>
      <c r="E411" s="282"/>
      <c r="F411" s="282"/>
      <c r="G411" s="282"/>
      <c r="H411" s="282"/>
      <c r="I411" s="282"/>
      <c r="J411" s="282"/>
      <c r="K411" s="282"/>
      <c r="L411" s="282"/>
      <c r="M411" s="282"/>
      <c r="N411" s="282"/>
      <c r="O411" s="282"/>
      <c r="P411" s="282"/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  <c r="AA411" s="282"/>
      <c r="AB411" s="282"/>
      <c r="AC411" s="282"/>
      <c r="AD411" s="282"/>
      <c r="AE411" s="282"/>
      <c r="AF411" s="282"/>
      <c r="AG411" s="282"/>
      <c r="AH411" s="281"/>
      <c r="AI411" s="282"/>
      <c r="AJ411" s="282"/>
      <c r="AK411" s="282"/>
      <c r="AL411" s="282"/>
      <c r="AM411" s="282"/>
      <c r="AN411" s="282"/>
      <c r="AO411" s="282"/>
      <c r="AP411" s="282"/>
      <c r="AQ411" s="282"/>
      <c r="AR411" s="282"/>
      <c r="AS411" s="282"/>
      <c r="AT411" s="282"/>
      <c r="AU411" s="282"/>
      <c r="AV411" s="282"/>
      <c r="AW411" s="282"/>
      <c r="AX411" s="282"/>
      <c r="AY411" s="282"/>
      <c r="AZ411" s="282"/>
      <c r="BA411" s="282"/>
    </row>
    <row r="412" spans="1:53">
      <c r="A412" s="282"/>
      <c r="B412" s="282"/>
      <c r="C412" s="282"/>
      <c r="D412" s="282"/>
      <c r="E412" s="282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  <c r="AD412" s="282"/>
      <c r="AE412" s="282"/>
      <c r="AF412" s="282"/>
      <c r="AG412" s="282"/>
      <c r="AH412" s="281"/>
      <c r="AI412" s="282"/>
      <c r="AJ412" s="282"/>
      <c r="AK412" s="282"/>
      <c r="AL412" s="282"/>
      <c r="AM412" s="282"/>
      <c r="AN412" s="282"/>
      <c r="AO412" s="282"/>
      <c r="AP412" s="282"/>
      <c r="AQ412" s="282"/>
      <c r="AR412" s="282"/>
      <c r="AS412" s="282"/>
      <c r="AT412" s="282"/>
      <c r="AU412" s="282"/>
      <c r="AV412" s="282"/>
      <c r="AW412" s="282"/>
      <c r="AX412" s="282"/>
      <c r="AY412" s="282"/>
      <c r="AZ412" s="282"/>
      <c r="BA412" s="282"/>
    </row>
    <row r="413" spans="1:53">
      <c r="A413" s="282"/>
      <c r="B413" s="282"/>
      <c r="C413" s="282"/>
      <c r="D413" s="282"/>
      <c r="E413" s="282"/>
      <c r="F413" s="282"/>
      <c r="G413" s="282"/>
      <c r="H413" s="282"/>
      <c r="I413" s="282"/>
      <c r="J413" s="282"/>
      <c r="K413" s="282"/>
      <c r="L413" s="282"/>
      <c r="M413" s="282"/>
      <c r="N413" s="282"/>
      <c r="O413" s="282"/>
      <c r="P413" s="282"/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  <c r="AC413" s="282"/>
      <c r="AD413" s="282"/>
      <c r="AE413" s="282"/>
      <c r="AF413" s="282"/>
      <c r="AG413" s="282"/>
      <c r="AH413" s="281"/>
      <c r="AI413" s="282"/>
      <c r="AJ413" s="282"/>
      <c r="AK413" s="282"/>
      <c r="AL413" s="282"/>
      <c r="AM413" s="282"/>
      <c r="AN413" s="282"/>
      <c r="AO413" s="282"/>
      <c r="AP413" s="282"/>
      <c r="AQ413" s="282"/>
      <c r="AR413" s="282"/>
      <c r="AS413" s="282"/>
      <c r="AT413" s="282"/>
      <c r="AU413" s="282"/>
      <c r="AV413" s="282"/>
      <c r="AW413" s="282"/>
      <c r="AX413" s="282"/>
      <c r="AY413" s="282"/>
      <c r="AZ413" s="282"/>
      <c r="BA413" s="282"/>
    </row>
    <row r="414" spans="1:53">
      <c r="A414" s="282"/>
      <c r="B414" s="282"/>
      <c r="C414" s="282"/>
      <c r="D414" s="282"/>
      <c r="E414" s="282"/>
      <c r="F414" s="282"/>
      <c r="G414" s="282"/>
      <c r="H414" s="282"/>
      <c r="I414" s="282"/>
      <c r="J414" s="282"/>
      <c r="K414" s="282"/>
      <c r="L414" s="282"/>
      <c r="M414" s="282"/>
      <c r="N414" s="282"/>
      <c r="O414" s="282"/>
      <c r="P414" s="282"/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  <c r="AC414" s="282"/>
      <c r="AD414" s="282"/>
      <c r="AE414" s="282"/>
      <c r="AF414" s="282"/>
      <c r="AG414" s="282"/>
      <c r="AH414" s="281"/>
      <c r="AI414" s="282"/>
      <c r="AJ414" s="282"/>
      <c r="AK414" s="282"/>
      <c r="AL414" s="282"/>
      <c r="AM414" s="282"/>
      <c r="AN414" s="282"/>
      <c r="AO414" s="282"/>
      <c r="AP414" s="282"/>
      <c r="AQ414" s="282"/>
      <c r="AR414" s="282"/>
      <c r="AS414" s="282"/>
      <c r="AT414" s="282"/>
      <c r="AU414" s="282"/>
      <c r="AV414" s="282"/>
      <c r="AW414" s="282"/>
      <c r="AX414" s="282"/>
      <c r="AY414" s="282"/>
      <c r="AZ414" s="282"/>
      <c r="BA414" s="282"/>
    </row>
    <row r="415" spans="1:53">
      <c r="A415" s="282"/>
      <c r="B415" s="282"/>
      <c r="C415" s="282"/>
      <c r="D415" s="282"/>
      <c r="E415" s="282"/>
      <c r="F415" s="282"/>
      <c r="G415" s="282"/>
      <c r="H415" s="282"/>
      <c r="I415" s="282"/>
      <c r="J415" s="282"/>
      <c r="K415" s="282"/>
      <c r="L415" s="282"/>
      <c r="M415" s="282"/>
      <c r="N415" s="282"/>
      <c r="O415" s="282"/>
      <c r="P415" s="282"/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  <c r="AC415" s="282"/>
      <c r="AD415" s="282"/>
      <c r="AE415" s="282"/>
      <c r="AF415" s="282"/>
      <c r="AG415" s="282"/>
      <c r="AH415" s="281"/>
      <c r="AI415" s="282"/>
      <c r="AJ415" s="282"/>
      <c r="AK415" s="282"/>
      <c r="AL415" s="282"/>
      <c r="AM415" s="282"/>
      <c r="AN415" s="282"/>
      <c r="AO415" s="282"/>
      <c r="AP415" s="282"/>
      <c r="AQ415" s="282"/>
      <c r="AR415" s="282"/>
      <c r="AS415" s="282"/>
      <c r="AT415" s="282"/>
      <c r="AU415" s="282"/>
      <c r="AV415" s="282"/>
      <c r="AW415" s="282"/>
      <c r="AX415" s="282"/>
      <c r="AY415" s="282"/>
      <c r="AZ415" s="282"/>
      <c r="BA415" s="282"/>
    </row>
    <row r="416" spans="1:53">
      <c r="A416" s="282"/>
      <c r="B416" s="282"/>
      <c r="C416" s="282"/>
      <c r="D416" s="282"/>
      <c r="E416" s="282"/>
      <c r="F416" s="282"/>
      <c r="G416" s="282"/>
      <c r="H416" s="282"/>
      <c r="I416" s="282"/>
      <c r="J416" s="282"/>
      <c r="K416" s="282"/>
      <c r="L416" s="282"/>
      <c r="M416" s="282"/>
      <c r="N416" s="282"/>
      <c r="O416" s="282"/>
      <c r="P416" s="282"/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  <c r="AC416" s="282"/>
      <c r="AD416" s="282"/>
      <c r="AE416" s="282"/>
      <c r="AF416" s="282"/>
      <c r="AG416" s="282"/>
      <c r="AH416" s="281"/>
      <c r="AI416" s="282"/>
      <c r="AJ416" s="282"/>
      <c r="AK416" s="282"/>
      <c r="AL416" s="282"/>
      <c r="AM416" s="282"/>
      <c r="AN416" s="282"/>
      <c r="AO416" s="282"/>
      <c r="AP416" s="282"/>
      <c r="AQ416" s="282"/>
      <c r="AR416" s="282"/>
      <c r="AS416" s="282"/>
      <c r="AT416" s="282"/>
      <c r="AU416" s="282"/>
      <c r="AV416" s="282"/>
      <c r="AW416" s="282"/>
      <c r="AX416" s="282"/>
      <c r="AY416" s="282"/>
      <c r="AZ416" s="282"/>
      <c r="BA416" s="282"/>
    </row>
    <row r="417" spans="1:53">
      <c r="A417" s="282"/>
      <c r="B417" s="282"/>
      <c r="C417" s="282"/>
      <c r="D417" s="282"/>
      <c r="E417" s="282"/>
      <c r="F417" s="282"/>
      <c r="G417" s="282"/>
      <c r="H417" s="282"/>
      <c r="I417" s="282"/>
      <c r="J417" s="282"/>
      <c r="K417" s="282"/>
      <c r="L417" s="282"/>
      <c r="M417" s="282"/>
      <c r="N417" s="282"/>
      <c r="O417" s="282"/>
      <c r="P417" s="282"/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  <c r="AC417" s="282"/>
      <c r="AD417" s="282"/>
      <c r="AE417" s="282"/>
      <c r="AF417" s="282"/>
      <c r="AG417" s="282"/>
      <c r="AH417" s="281"/>
      <c r="AI417" s="282"/>
      <c r="AJ417" s="282"/>
      <c r="AK417" s="282"/>
      <c r="AL417" s="282"/>
      <c r="AM417" s="282"/>
      <c r="AN417" s="282"/>
      <c r="AO417" s="282"/>
      <c r="AP417" s="282"/>
      <c r="AQ417" s="282"/>
      <c r="AR417" s="282"/>
      <c r="AS417" s="282"/>
      <c r="AT417" s="282"/>
      <c r="AU417" s="282"/>
      <c r="AV417" s="282"/>
      <c r="AW417" s="282"/>
      <c r="AX417" s="282"/>
      <c r="AY417" s="282"/>
      <c r="AZ417" s="282"/>
      <c r="BA417" s="282"/>
    </row>
    <row r="418" spans="1:53">
      <c r="A418" s="282"/>
      <c r="B418" s="282"/>
      <c r="C418" s="282"/>
      <c r="D418" s="282"/>
      <c r="E418" s="282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  <c r="AD418" s="282"/>
      <c r="AE418" s="282"/>
      <c r="AF418" s="282"/>
      <c r="AG418" s="282"/>
      <c r="AH418" s="281"/>
      <c r="AI418" s="282"/>
      <c r="AJ418" s="282"/>
      <c r="AK418" s="282"/>
      <c r="AL418" s="282"/>
      <c r="AM418" s="282"/>
      <c r="AN418" s="282"/>
      <c r="AO418" s="282"/>
      <c r="AP418" s="282"/>
      <c r="AQ418" s="282"/>
      <c r="AR418" s="282"/>
      <c r="AS418" s="282"/>
      <c r="AT418" s="282"/>
      <c r="AU418" s="282"/>
      <c r="AV418" s="282"/>
      <c r="AW418" s="282"/>
      <c r="AX418" s="282"/>
      <c r="AY418" s="282"/>
      <c r="AZ418" s="282"/>
      <c r="BA418" s="282"/>
    </row>
    <row r="419" spans="1:53">
      <c r="A419" s="282"/>
      <c r="B419" s="282"/>
      <c r="C419" s="282"/>
      <c r="D419" s="282"/>
      <c r="E419" s="282"/>
      <c r="F419" s="282"/>
      <c r="G419" s="282"/>
      <c r="H419" s="282"/>
      <c r="I419" s="282"/>
      <c r="J419" s="282"/>
      <c r="K419" s="282"/>
      <c r="L419" s="282"/>
      <c r="M419" s="282"/>
      <c r="N419" s="282"/>
      <c r="O419" s="282"/>
      <c r="P419" s="282"/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  <c r="AD419" s="282"/>
      <c r="AE419" s="282"/>
      <c r="AF419" s="282"/>
      <c r="AG419" s="282"/>
      <c r="AH419" s="281"/>
      <c r="AI419" s="282"/>
      <c r="AJ419" s="282"/>
      <c r="AK419" s="282"/>
      <c r="AL419" s="282"/>
      <c r="AM419" s="282"/>
      <c r="AN419" s="282"/>
      <c r="AO419" s="282"/>
      <c r="AP419" s="282"/>
      <c r="AQ419" s="282"/>
      <c r="AR419" s="282"/>
      <c r="AS419" s="282"/>
      <c r="AT419" s="282"/>
      <c r="AU419" s="282"/>
      <c r="AV419" s="282"/>
      <c r="AW419" s="282"/>
      <c r="AX419" s="282"/>
      <c r="AY419" s="282"/>
      <c r="AZ419" s="282"/>
      <c r="BA419" s="282"/>
    </row>
    <row r="420" spans="1:53">
      <c r="A420" s="282"/>
      <c r="B420" s="282"/>
      <c r="C420" s="282"/>
      <c r="D420" s="282"/>
      <c r="E420" s="282"/>
      <c r="F420" s="282"/>
      <c r="G420" s="282"/>
      <c r="H420" s="282"/>
      <c r="I420" s="282"/>
      <c r="J420" s="282"/>
      <c r="K420" s="282"/>
      <c r="L420" s="282"/>
      <c r="M420" s="282"/>
      <c r="N420" s="282"/>
      <c r="O420" s="282"/>
      <c r="P420" s="282"/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  <c r="AD420" s="282"/>
      <c r="AE420" s="282"/>
      <c r="AF420" s="282"/>
      <c r="AG420" s="282"/>
      <c r="AH420" s="281"/>
      <c r="AI420" s="282"/>
      <c r="AJ420" s="282"/>
      <c r="AK420" s="282"/>
      <c r="AL420" s="282"/>
      <c r="AM420" s="282"/>
      <c r="AN420" s="282"/>
      <c r="AO420" s="282"/>
      <c r="AP420" s="282"/>
      <c r="AQ420" s="282"/>
      <c r="AR420" s="282"/>
      <c r="AS420" s="282"/>
      <c r="AT420" s="282"/>
      <c r="AU420" s="282"/>
      <c r="AV420" s="282"/>
      <c r="AW420" s="282"/>
      <c r="AX420" s="282"/>
      <c r="AY420" s="282"/>
      <c r="AZ420" s="282"/>
      <c r="BA420" s="282"/>
    </row>
    <row r="421" spans="1:53">
      <c r="A421" s="282"/>
      <c r="B421" s="282"/>
      <c r="C421" s="282"/>
      <c r="D421" s="282"/>
      <c r="E421" s="282"/>
      <c r="F421" s="282"/>
      <c r="G421" s="282"/>
      <c r="H421" s="282"/>
      <c r="I421" s="282"/>
      <c r="J421" s="282"/>
      <c r="K421" s="282"/>
      <c r="L421" s="282"/>
      <c r="M421" s="282"/>
      <c r="N421" s="282"/>
      <c r="O421" s="282"/>
      <c r="P421" s="282"/>
      <c r="Q421" s="282"/>
      <c r="R421" s="282"/>
      <c r="S421" s="282"/>
      <c r="T421" s="282"/>
      <c r="U421" s="282"/>
      <c r="V421" s="282"/>
      <c r="W421" s="282"/>
      <c r="X421" s="282"/>
      <c r="Y421" s="282"/>
      <c r="Z421" s="282"/>
      <c r="AA421" s="282"/>
      <c r="AB421" s="282"/>
      <c r="AC421" s="282"/>
      <c r="AD421" s="282"/>
      <c r="AE421" s="282"/>
      <c r="AF421" s="282"/>
      <c r="AG421" s="282"/>
      <c r="AH421" s="281"/>
      <c r="AI421" s="282"/>
      <c r="AJ421" s="282"/>
      <c r="AK421" s="282"/>
      <c r="AL421" s="282"/>
      <c r="AM421" s="282"/>
      <c r="AN421" s="282"/>
      <c r="AO421" s="282"/>
      <c r="AP421" s="282"/>
      <c r="AQ421" s="282"/>
      <c r="AR421" s="282"/>
      <c r="AS421" s="282"/>
      <c r="AT421" s="282"/>
      <c r="AU421" s="282"/>
      <c r="AV421" s="282"/>
      <c r="AW421" s="282"/>
      <c r="AX421" s="282"/>
      <c r="AY421" s="282"/>
      <c r="AZ421" s="282"/>
      <c r="BA421" s="282"/>
    </row>
    <row r="422" spans="1:53">
      <c r="A422" s="282"/>
      <c r="B422" s="282"/>
      <c r="C422" s="282"/>
      <c r="D422" s="282"/>
      <c r="E422" s="282"/>
      <c r="F422" s="282"/>
      <c r="G422" s="282"/>
      <c r="H422" s="282"/>
      <c r="I422" s="282"/>
      <c r="J422" s="282"/>
      <c r="K422" s="282"/>
      <c r="L422" s="282"/>
      <c r="M422" s="282"/>
      <c r="N422" s="282"/>
      <c r="O422" s="282"/>
      <c r="P422" s="282"/>
      <c r="Q422" s="282"/>
      <c r="R422" s="282"/>
      <c r="S422" s="282"/>
      <c r="T422" s="282"/>
      <c r="U422" s="282"/>
      <c r="V422" s="282"/>
      <c r="W422" s="282"/>
      <c r="X422" s="282"/>
      <c r="Y422" s="282"/>
      <c r="Z422" s="282"/>
      <c r="AA422" s="282"/>
      <c r="AB422" s="282"/>
      <c r="AC422" s="282"/>
      <c r="AD422" s="282"/>
      <c r="AE422" s="282"/>
      <c r="AF422" s="282"/>
      <c r="AG422" s="282"/>
      <c r="AH422" s="281"/>
      <c r="AI422" s="282"/>
      <c r="AJ422" s="282"/>
      <c r="AK422" s="282"/>
      <c r="AL422" s="282"/>
      <c r="AM422" s="282"/>
      <c r="AN422" s="282"/>
      <c r="AO422" s="282"/>
      <c r="AP422" s="282"/>
      <c r="AQ422" s="282"/>
      <c r="AR422" s="282"/>
      <c r="AS422" s="282"/>
      <c r="AT422" s="282"/>
      <c r="AU422" s="282"/>
      <c r="AV422" s="282"/>
      <c r="AW422" s="282"/>
      <c r="AX422" s="282"/>
      <c r="AY422" s="282"/>
      <c r="AZ422" s="282"/>
      <c r="BA422" s="282"/>
    </row>
    <row r="423" spans="1:53">
      <c r="A423" s="282"/>
      <c r="B423" s="282"/>
      <c r="C423" s="282"/>
      <c r="D423" s="282"/>
      <c r="E423" s="282"/>
      <c r="F423" s="282"/>
      <c r="G423" s="282"/>
      <c r="H423" s="282"/>
      <c r="I423" s="282"/>
      <c r="J423" s="282"/>
      <c r="K423" s="282"/>
      <c r="L423" s="282"/>
      <c r="M423" s="282"/>
      <c r="N423" s="282"/>
      <c r="O423" s="282"/>
      <c r="P423" s="282"/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  <c r="AD423" s="282"/>
      <c r="AE423" s="282"/>
      <c r="AF423" s="282"/>
      <c r="AG423" s="282"/>
      <c r="AH423" s="281"/>
      <c r="AI423" s="282"/>
      <c r="AJ423" s="282"/>
      <c r="AK423" s="282"/>
      <c r="AL423" s="282"/>
      <c r="AM423" s="282"/>
      <c r="AN423" s="282"/>
      <c r="AO423" s="282"/>
      <c r="AP423" s="282"/>
      <c r="AQ423" s="282"/>
      <c r="AR423" s="282"/>
      <c r="AS423" s="282"/>
      <c r="AT423" s="282"/>
      <c r="AU423" s="282"/>
      <c r="AV423" s="282"/>
      <c r="AW423" s="282"/>
      <c r="AX423" s="282"/>
      <c r="AY423" s="282"/>
      <c r="AZ423" s="282"/>
      <c r="BA423" s="282"/>
    </row>
    <row r="424" spans="1:53">
      <c r="A424" s="282"/>
      <c r="B424" s="282"/>
      <c r="C424" s="282"/>
      <c r="D424" s="282"/>
      <c r="E424" s="282"/>
      <c r="F424" s="282"/>
      <c r="G424" s="282"/>
      <c r="H424" s="282"/>
      <c r="I424" s="282"/>
      <c r="J424" s="282"/>
      <c r="K424" s="282"/>
      <c r="L424" s="282"/>
      <c r="M424" s="282"/>
      <c r="N424" s="282"/>
      <c r="O424" s="282"/>
      <c r="P424" s="282"/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  <c r="AD424" s="282"/>
      <c r="AE424" s="282"/>
      <c r="AF424" s="282"/>
      <c r="AG424" s="282"/>
      <c r="AH424" s="281"/>
      <c r="AI424" s="282"/>
      <c r="AJ424" s="282"/>
      <c r="AK424" s="282"/>
      <c r="AL424" s="282"/>
      <c r="AM424" s="282"/>
      <c r="AN424" s="282"/>
      <c r="AO424" s="282"/>
      <c r="AP424" s="282"/>
      <c r="AQ424" s="282"/>
      <c r="AR424" s="282"/>
      <c r="AS424" s="282"/>
      <c r="AT424" s="282"/>
      <c r="AU424" s="282"/>
      <c r="AV424" s="282"/>
      <c r="AW424" s="282"/>
      <c r="AX424" s="282"/>
      <c r="AY424" s="282"/>
      <c r="AZ424" s="282"/>
      <c r="BA424" s="282"/>
    </row>
    <row r="425" spans="1:53">
      <c r="A425" s="282"/>
      <c r="B425" s="282"/>
      <c r="C425" s="282"/>
      <c r="D425" s="282"/>
      <c r="E425" s="282"/>
      <c r="F425" s="282"/>
      <c r="G425" s="282"/>
      <c r="H425" s="282"/>
      <c r="I425" s="282"/>
      <c r="J425" s="282"/>
      <c r="K425" s="282"/>
      <c r="L425" s="282"/>
      <c r="M425" s="282"/>
      <c r="N425" s="282"/>
      <c r="O425" s="282"/>
      <c r="P425" s="282"/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  <c r="AC425" s="282"/>
      <c r="AD425" s="282"/>
      <c r="AE425" s="282"/>
      <c r="AF425" s="282"/>
      <c r="AG425" s="282"/>
      <c r="AH425" s="281"/>
      <c r="AI425" s="282"/>
      <c r="AJ425" s="282"/>
      <c r="AK425" s="282"/>
      <c r="AL425" s="282"/>
      <c r="AM425" s="282"/>
      <c r="AN425" s="282"/>
      <c r="AO425" s="282"/>
      <c r="AP425" s="282"/>
      <c r="AQ425" s="282"/>
      <c r="AR425" s="282"/>
      <c r="AS425" s="282"/>
      <c r="AT425" s="282"/>
      <c r="AU425" s="282"/>
      <c r="AV425" s="282"/>
      <c r="AW425" s="282"/>
      <c r="AX425" s="282"/>
      <c r="AY425" s="282"/>
      <c r="AZ425" s="282"/>
      <c r="BA425" s="282"/>
    </row>
    <row r="426" spans="1:53">
      <c r="A426" s="282"/>
      <c r="B426" s="282"/>
      <c r="C426" s="282"/>
      <c r="D426" s="282"/>
      <c r="E426" s="282"/>
      <c r="F426" s="282"/>
      <c r="G426" s="282"/>
      <c r="H426" s="282"/>
      <c r="I426" s="282"/>
      <c r="J426" s="282"/>
      <c r="K426" s="282"/>
      <c r="L426" s="282"/>
      <c r="M426" s="282"/>
      <c r="N426" s="282"/>
      <c r="O426" s="282"/>
      <c r="P426" s="282"/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  <c r="AC426" s="282"/>
      <c r="AD426" s="282"/>
      <c r="AE426" s="282"/>
      <c r="AF426" s="282"/>
      <c r="AG426" s="282"/>
      <c r="AH426" s="281"/>
      <c r="AI426" s="282"/>
      <c r="AJ426" s="282"/>
      <c r="AK426" s="282"/>
      <c r="AL426" s="282"/>
      <c r="AM426" s="282"/>
      <c r="AN426" s="282"/>
      <c r="AO426" s="282"/>
      <c r="AP426" s="282"/>
      <c r="AQ426" s="282"/>
      <c r="AR426" s="282"/>
      <c r="AS426" s="282"/>
      <c r="AT426" s="282"/>
      <c r="AU426" s="282"/>
      <c r="AV426" s="282"/>
      <c r="AW426" s="282"/>
      <c r="AX426" s="282"/>
      <c r="AY426" s="282"/>
      <c r="AZ426" s="282"/>
      <c r="BA426" s="282"/>
    </row>
    <row r="427" spans="1:53">
      <c r="A427" s="282"/>
      <c r="B427" s="282"/>
      <c r="C427" s="282"/>
      <c r="D427" s="282"/>
      <c r="E427" s="282"/>
      <c r="F427" s="282"/>
      <c r="G427" s="282"/>
      <c r="H427" s="282"/>
      <c r="I427" s="282"/>
      <c r="J427" s="282"/>
      <c r="K427" s="282"/>
      <c r="L427" s="282"/>
      <c r="M427" s="282"/>
      <c r="N427" s="282"/>
      <c r="O427" s="282"/>
      <c r="P427" s="282"/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  <c r="AC427" s="282"/>
      <c r="AD427" s="282"/>
      <c r="AE427" s="282"/>
      <c r="AF427" s="282"/>
      <c r="AG427" s="282"/>
      <c r="AH427" s="281"/>
      <c r="AI427" s="282"/>
      <c r="AJ427" s="282"/>
      <c r="AK427" s="282"/>
      <c r="AL427" s="282"/>
      <c r="AM427" s="282"/>
      <c r="AN427" s="282"/>
      <c r="AO427" s="282"/>
      <c r="AP427" s="282"/>
      <c r="AQ427" s="282"/>
      <c r="AR427" s="282"/>
      <c r="AS427" s="282"/>
      <c r="AT427" s="282"/>
      <c r="AU427" s="282"/>
      <c r="AV427" s="282"/>
      <c r="AW427" s="282"/>
      <c r="AX427" s="282"/>
      <c r="AY427" s="282"/>
      <c r="AZ427" s="282"/>
      <c r="BA427" s="282"/>
    </row>
    <row r="428" spans="1:53">
      <c r="A428" s="282"/>
      <c r="B428" s="282"/>
      <c r="C428" s="282"/>
      <c r="D428" s="282"/>
      <c r="E428" s="282"/>
      <c r="F428" s="282"/>
      <c r="G428" s="282"/>
      <c r="H428" s="282"/>
      <c r="I428" s="282"/>
      <c r="J428" s="282"/>
      <c r="K428" s="282"/>
      <c r="L428" s="282"/>
      <c r="M428" s="282"/>
      <c r="N428" s="282"/>
      <c r="O428" s="282"/>
      <c r="P428" s="282"/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  <c r="AC428" s="282"/>
      <c r="AD428" s="282"/>
      <c r="AE428" s="282"/>
      <c r="AF428" s="282"/>
      <c r="AG428" s="282"/>
      <c r="AH428" s="281"/>
      <c r="AI428" s="282"/>
      <c r="AJ428" s="282"/>
      <c r="AK428" s="282"/>
      <c r="AL428" s="282"/>
      <c r="AM428" s="282"/>
      <c r="AN428" s="282"/>
      <c r="AO428" s="282"/>
      <c r="AP428" s="282"/>
      <c r="AQ428" s="282"/>
      <c r="AR428" s="282"/>
      <c r="AS428" s="282"/>
      <c r="AT428" s="282"/>
      <c r="AU428" s="282"/>
      <c r="AV428" s="282"/>
      <c r="AW428" s="282"/>
      <c r="AX428" s="282"/>
      <c r="AY428" s="282"/>
      <c r="AZ428" s="282"/>
      <c r="BA428" s="282"/>
    </row>
    <row r="429" spans="1:53">
      <c r="A429" s="282"/>
      <c r="B429" s="282"/>
      <c r="C429" s="282"/>
      <c r="D429" s="282"/>
      <c r="E429" s="282"/>
      <c r="F429" s="282"/>
      <c r="G429" s="282"/>
      <c r="H429" s="282"/>
      <c r="I429" s="282"/>
      <c r="J429" s="282"/>
      <c r="K429" s="282"/>
      <c r="L429" s="282"/>
      <c r="M429" s="282"/>
      <c r="N429" s="282"/>
      <c r="O429" s="282"/>
      <c r="P429" s="282"/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  <c r="AC429" s="282"/>
      <c r="AD429" s="282"/>
      <c r="AE429" s="282"/>
      <c r="AF429" s="282"/>
      <c r="AG429" s="282"/>
      <c r="AH429" s="281"/>
      <c r="AI429" s="282"/>
      <c r="AJ429" s="282"/>
      <c r="AK429" s="282"/>
      <c r="AL429" s="282"/>
      <c r="AM429" s="282"/>
      <c r="AN429" s="282"/>
      <c r="AO429" s="282"/>
      <c r="AP429" s="282"/>
      <c r="AQ429" s="282"/>
      <c r="AR429" s="282"/>
      <c r="AS429" s="282"/>
      <c r="AT429" s="282"/>
      <c r="AU429" s="282"/>
      <c r="AV429" s="282"/>
      <c r="AW429" s="282"/>
      <c r="AX429" s="282"/>
      <c r="AY429" s="282"/>
      <c r="AZ429" s="282"/>
      <c r="BA429" s="282"/>
    </row>
    <row r="430" spans="1:53">
      <c r="A430" s="282"/>
      <c r="B430" s="282"/>
      <c r="C430" s="282"/>
      <c r="D430" s="282"/>
      <c r="E430" s="282"/>
      <c r="F430" s="282"/>
      <c r="G430" s="282"/>
      <c r="H430" s="282"/>
      <c r="I430" s="282"/>
      <c r="J430" s="282"/>
      <c r="K430" s="282"/>
      <c r="L430" s="282"/>
      <c r="M430" s="282"/>
      <c r="N430" s="282"/>
      <c r="O430" s="282"/>
      <c r="P430" s="282"/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  <c r="AC430" s="282"/>
      <c r="AD430" s="282"/>
      <c r="AE430" s="282"/>
      <c r="AF430" s="282"/>
      <c r="AG430" s="282"/>
      <c r="AH430" s="281"/>
      <c r="AI430" s="282"/>
      <c r="AJ430" s="282"/>
      <c r="AK430" s="282"/>
      <c r="AL430" s="282"/>
      <c r="AM430" s="282"/>
      <c r="AN430" s="282"/>
      <c r="AO430" s="282"/>
      <c r="AP430" s="282"/>
      <c r="AQ430" s="282"/>
      <c r="AR430" s="282"/>
      <c r="AS430" s="282"/>
      <c r="AT430" s="282"/>
      <c r="AU430" s="282"/>
      <c r="AV430" s="282"/>
      <c r="AW430" s="282"/>
      <c r="AX430" s="282"/>
      <c r="AY430" s="282"/>
      <c r="AZ430" s="282"/>
      <c r="BA430" s="282"/>
    </row>
    <row r="431" spans="1:53">
      <c r="A431" s="282"/>
      <c r="B431" s="282"/>
      <c r="C431" s="282"/>
      <c r="D431" s="282"/>
      <c r="E431" s="282"/>
      <c r="F431" s="282"/>
      <c r="G431" s="282"/>
      <c r="H431" s="282"/>
      <c r="I431" s="282"/>
      <c r="J431" s="282"/>
      <c r="K431" s="282"/>
      <c r="L431" s="282"/>
      <c r="M431" s="282"/>
      <c r="N431" s="282"/>
      <c r="O431" s="282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  <c r="AC431" s="282"/>
      <c r="AD431" s="282"/>
      <c r="AE431" s="282"/>
      <c r="AF431" s="282"/>
      <c r="AG431" s="282"/>
      <c r="AH431" s="281"/>
      <c r="AI431" s="282"/>
      <c r="AJ431" s="282"/>
      <c r="AK431" s="282"/>
      <c r="AL431" s="282"/>
      <c r="AM431" s="282"/>
      <c r="AN431" s="282"/>
      <c r="AO431" s="282"/>
      <c r="AP431" s="282"/>
      <c r="AQ431" s="282"/>
      <c r="AR431" s="282"/>
      <c r="AS431" s="282"/>
      <c r="AT431" s="282"/>
      <c r="AU431" s="282"/>
      <c r="AV431" s="282"/>
      <c r="AW431" s="282"/>
      <c r="AX431" s="282"/>
      <c r="AY431" s="282"/>
      <c r="AZ431" s="282"/>
      <c r="BA431" s="282"/>
    </row>
    <row r="432" spans="1:53">
      <c r="A432" s="282"/>
      <c r="B432" s="282"/>
      <c r="C432" s="282"/>
      <c r="D432" s="282"/>
      <c r="E432" s="282"/>
      <c r="F432" s="282"/>
      <c r="G432" s="282"/>
      <c r="H432" s="282"/>
      <c r="I432" s="282"/>
      <c r="J432" s="282"/>
      <c r="K432" s="282"/>
      <c r="L432" s="282"/>
      <c r="M432" s="282"/>
      <c r="N432" s="282"/>
      <c r="O432" s="282"/>
      <c r="P432" s="282"/>
      <c r="Q432" s="282"/>
      <c r="R432" s="282"/>
      <c r="S432" s="282"/>
      <c r="T432" s="282"/>
      <c r="U432" s="282"/>
      <c r="V432" s="282"/>
      <c r="W432" s="282"/>
      <c r="X432" s="282"/>
      <c r="Y432" s="282"/>
      <c r="Z432" s="282"/>
      <c r="AA432" s="282"/>
      <c r="AB432" s="282"/>
      <c r="AC432" s="282"/>
      <c r="AD432" s="282"/>
      <c r="AE432" s="282"/>
      <c r="AF432" s="282"/>
      <c r="AG432" s="282"/>
      <c r="AH432" s="281"/>
      <c r="AI432" s="282"/>
      <c r="AJ432" s="282"/>
      <c r="AK432" s="282"/>
      <c r="AL432" s="282"/>
      <c r="AM432" s="282"/>
      <c r="AN432" s="282"/>
      <c r="AO432" s="282"/>
      <c r="AP432" s="282"/>
      <c r="AQ432" s="282"/>
      <c r="AR432" s="282"/>
      <c r="AS432" s="282"/>
      <c r="AT432" s="282"/>
      <c r="AU432" s="282"/>
      <c r="AV432" s="282"/>
      <c r="AW432" s="282"/>
      <c r="AX432" s="282"/>
      <c r="AY432" s="282"/>
      <c r="AZ432" s="282"/>
      <c r="BA432" s="282"/>
    </row>
    <row r="433" spans="1:53">
      <c r="A433" s="282"/>
      <c r="B433" s="282"/>
      <c r="C433" s="282"/>
      <c r="D433" s="282"/>
      <c r="E433" s="282"/>
      <c r="F433" s="282"/>
      <c r="G433" s="282"/>
      <c r="H433" s="282"/>
      <c r="I433" s="282"/>
      <c r="J433" s="282"/>
      <c r="K433" s="282"/>
      <c r="L433" s="282"/>
      <c r="M433" s="282"/>
      <c r="N433" s="282"/>
      <c r="O433" s="282"/>
      <c r="P433" s="282"/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  <c r="AA433" s="282"/>
      <c r="AB433" s="282"/>
      <c r="AC433" s="282"/>
      <c r="AD433" s="282"/>
      <c r="AE433" s="282"/>
      <c r="AF433" s="282"/>
      <c r="AG433" s="282"/>
      <c r="AH433" s="281"/>
      <c r="AI433" s="282"/>
      <c r="AJ433" s="282"/>
      <c r="AK433" s="282"/>
      <c r="AL433" s="282"/>
      <c r="AM433" s="282"/>
      <c r="AN433" s="282"/>
      <c r="AO433" s="282"/>
      <c r="AP433" s="282"/>
      <c r="AQ433" s="282"/>
      <c r="AR433" s="282"/>
      <c r="AS433" s="282"/>
      <c r="AT433" s="282"/>
      <c r="AU433" s="282"/>
      <c r="AV433" s="282"/>
      <c r="AW433" s="282"/>
      <c r="AX433" s="282"/>
      <c r="AY433" s="282"/>
      <c r="AZ433" s="282"/>
      <c r="BA433" s="282"/>
    </row>
    <row r="434" spans="1:53">
      <c r="A434" s="282"/>
      <c r="B434" s="282"/>
      <c r="C434" s="282"/>
      <c r="D434" s="282"/>
      <c r="E434" s="282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  <c r="AD434" s="282"/>
      <c r="AE434" s="282"/>
      <c r="AF434" s="282"/>
      <c r="AG434" s="282"/>
      <c r="AH434" s="281"/>
      <c r="AI434" s="282"/>
      <c r="AJ434" s="282"/>
      <c r="AK434" s="282"/>
      <c r="AL434" s="282"/>
      <c r="AM434" s="282"/>
      <c r="AN434" s="282"/>
      <c r="AO434" s="282"/>
      <c r="AP434" s="282"/>
      <c r="AQ434" s="282"/>
      <c r="AR434" s="282"/>
      <c r="AS434" s="282"/>
      <c r="AT434" s="282"/>
      <c r="AU434" s="282"/>
      <c r="AV434" s="282"/>
      <c r="AW434" s="282"/>
      <c r="AX434" s="282"/>
      <c r="AY434" s="282"/>
      <c r="AZ434" s="282"/>
      <c r="BA434" s="282"/>
    </row>
    <row r="435" spans="1:53">
      <c r="A435" s="282"/>
      <c r="B435" s="282"/>
      <c r="C435" s="282"/>
      <c r="D435" s="282"/>
      <c r="E435" s="282"/>
      <c r="F435" s="282"/>
      <c r="G435" s="282"/>
      <c r="H435" s="282"/>
      <c r="I435" s="282"/>
      <c r="J435" s="282"/>
      <c r="K435" s="282"/>
      <c r="L435" s="282"/>
      <c r="M435" s="282"/>
      <c r="N435" s="282"/>
      <c r="O435" s="282"/>
      <c r="P435" s="282"/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  <c r="AC435" s="282"/>
      <c r="AD435" s="282"/>
      <c r="AE435" s="282"/>
      <c r="AF435" s="282"/>
      <c r="AG435" s="282"/>
      <c r="AH435" s="281"/>
      <c r="AI435" s="282"/>
      <c r="AJ435" s="282"/>
      <c r="AK435" s="282"/>
      <c r="AL435" s="282"/>
      <c r="AM435" s="282"/>
      <c r="AN435" s="282"/>
      <c r="AO435" s="282"/>
      <c r="AP435" s="282"/>
      <c r="AQ435" s="282"/>
      <c r="AR435" s="282"/>
      <c r="AS435" s="282"/>
      <c r="AT435" s="282"/>
      <c r="AU435" s="282"/>
      <c r="AV435" s="282"/>
      <c r="AW435" s="282"/>
      <c r="AX435" s="282"/>
      <c r="AY435" s="282"/>
      <c r="AZ435" s="282"/>
      <c r="BA435" s="282"/>
    </row>
    <row r="436" spans="1:53">
      <c r="A436" s="282"/>
      <c r="B436" s="282"/>
      <c r="C436" s="282"/>
      <c r="D436" s="282"/>
      <c r="E436" s="282"/>
      <c r="F436" s="282"/>
      <c r="G436" s="282"/>
      <c r="H436" s="282"/>
      <c r="I436" s="282"/>
      <c r="J436" s="282"/>
      <c r="K436" s="282"/>
      <c r="L436" s="282"/>
      <c r="M436" s="282"/>
      <c r="N436" s="282"/>
      <c r="O436" s="282"/>
      <c r="P436" s="282"/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  <c r="AC436" s="282"/>
      <c r="AD436" s="282"/>
      <c r="AE436" s="282"/>
      <c r="AF436" s="282"/>
      <c r="AG436" s="282"/>
      <c r="AH436" s="281"/>
      <c r="AI436" s="282"/>
      <c r="AJ436" s="282"/>
      <c r="AK436" s="282"/>
      <c r="AL436" s="282"/>
      <c r="AM436" s="282"/>
      <c r="AN436" s="282"/>
      <c r="AO436" s="282"/>
      <c r="AP436" s="282"/>
      <c r="AQ436" s="282"/>
      <c r="AR436" s="282"/>
      <c r="AS436" s="282"/>
      <c r="AT436" s="282"/>
      <c r="AU436" s="282"/>
      <c r="AV436" s="282"/>
      <c r="AW436" s="282"/>
      <c r="AX436" s="282"/>
      <c r="AY436" s="282"/>
      <c r="AZ436" s="282"/>
      <c r="BA436" s="282"/>
    </row>
    <row r="437" spans="1:53">
      <c r="A437" s="282"/>
      <c r="B437" s="282"/>
      <c r="C437" s="282"/>
      <c r="D437" s="282"/>
      <c r="E437" s="282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  <c r="AD437" s="282"/>
      <c r="AE437" s="282"/>
      <c r="AF437" s="282"/>
      <c r="AG437" s="282"/>
      <c r="AH437" s="281"/>
      <c r="AI437" s="282"/>
      <c r="AJ437" s="282"/>
      <c r="AK437" s="282"/>
      <c r="AL437" s="282"/>
      <c r="AM437" s="282"/>
      <c r="AN437" s="282"/>
      <c r="AO437" s="282"/>
      <c r="AP437" s="282"/>
      <c r="AQ437" s="282"/>
      <c r="AR437" s="282"/>
      <c r="AS437" s="282"/>
      <c r="AT437" s="282"/>
      <c r="AU437" s="282"/>
      <c r="AV437" s="282"/>
      <c r="AW437" s="282"/>
      <c r="AX437" s="282"/>
      <c r="AY437" s="282"/>
      <c r="AZ437" s="282"/>
      <c r="BA437" s="282"/>
    </row>
    <row r="438" spans="1:53">
      <c r="A438" s="282"/>
      <c r="B438" s="282"/>
      <c r="C438" s="282"/>
      <c r="D438" s="282"/>
      <c r="E438" s="282"/>
      <c r="F438" s="282"/>
      <c r="G438" s="282"/>
      <c r="H438" s="282"/>
      <c r="I438" s="282"/>
      <c r="J438" s="282"/>
      <c r="K438" s="282"/>
      <c r="L438" s="282"/>
      <c r="M438" s="282"/>
      <c r="N438" s="282"/>
      <c r="O438" s="282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  <c r="AD438" s="282"/>
      <c r="AE438" s="282"/>
      <c r="AF438" s="282"/>
      <c r="AG438" s="282"/>
      <c r="AH438" s="281"/>
      <c r="AI438" s="282"/>
      <c r="AJ438" s="282"/>
      <c r="AK438" s="282"/>
      <c r="AL438" s="282"/>
      <c r="AM438" s="282"/>
      <c r="AN438" s="282"/>
      <c r="AO438" s="282"/>
      <c r="AP438" s="282"/>
      <c r="AQ438" s="282"/>
      <c r="AR438" s="282"/>
      <c r="AS438" s="282"/>
      <c r="AT438" s="282"/>
      <c r="AU438" s="282"/>
      <c r="AV438" s="282"/>
      <c r="AW438" s="282"/>
      <c r="AX438" s="282"/>
      <c r="AY438" s="282"/>
      <c r="AZ438" s="282"/>
      <c r="BA438" s="282"/>
    </row>
    <row r="439" spans="1:53">
      <c r="A439" s="282"/>
      <c r="B439" s="282"/>
      <c r="C439" s="282"/>
      <c r="D439" s="282"/>
      <c r="E439" s="282"/>
      <c r="F439" s="282"/>
      <c r="G439" s="282"/>
      <c r="H439" s="282"/>
      <c r="I439" s="282"/>
      <c r="J439" s="282"/>
      <c r="K439" s="282"/>
      <c r="L439" s="282"/>
      <c r="M439" s="282"/>
      <c r="N439" s="282"/>
      <c r="O439" s="282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  <c r="AD439" s="282"/>
      <c r="AE439" s="282"/>
      <c r="AF439" s="282"/>
      <c r="AG439" s="282"/>
      <c r="AH439" s="281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  <c r="AX439" s="282"/>
      <c r="AY439" s="282"/>
      <c r="AZ439" s="282"/>
      <c r="BA439" s="282"/>
    </row>
    <row r="440" spans="1:53">
      <c r="A440" s="282"/>
      <c r="B440" s="282"/>
      <c r="C440" s="282"/>
      <c r="D440" s="282"/>
      <c r="E440" s="282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2"/>
      <c r="AF440" s="282"/>
      <c r="AG440" s="282"/>
      <c r="AH440" s="281"/>
      <c r="AI440" s="282"/>
      <c r="AJ440" s="282"/>
      <c r="AK440" s="282"/>
      <c r="AL440" s="282"/>
      <c r="AM440" s="282"/>
      <c r="AN440" s="282"/>
      <c r="AO440" s="282"/>
      <c r="AP440" s="282"/>
      <c r="AQ440" s="282"/>
      <c r="AR440" s="282"/>
      <c r="AS440" s="282"/>
      <c r="AT440" s="282"/>
      <c r="AU440" s="282"/>
      <c r="AV440" s="282"/>
      <c r="AW440" s="282"/>
      <c r="AX440" s="282"/>
      <c r="AY440" s="282"/>
      <c r="AZ440" s="282"/>
      <c r="BA440" s="282"/>
    </row>
    <row r="441" spans="1:53">
      <c r="A441" s="282"/>
      <c r="B441" s="282"/>
      <c r="C441" s="282"/>
      <c r="D441" s="282"/>
      <c r="E441" s="282"/>
      <c r="F441" s="282"/>
      <c r="G441" s="282"/>
      <c r="H441" s="282"/>
      <c r="I441" s="282"/>
      <c r="J441" s="282"/>
      <c r="K441" s="282"/>
      <c r="L441" s="282"/>
      <c r="M441" s="282"/>
      <c r="N441" s="282"/>
      <c r="O441" s="282"/>
      <c r="P441" s="282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  <c r="AD441" s="282"/>
      <c r="AE441" s="282"/>
      <c r="AF441" s="282"/>
      <c r="AG441" s="282"/>
      <c r="AH441" s="281"/>
      <c r="AI441" s="282"/>
      <c r="AJ441" s="282"/>
      <c r="AK441" s="282"/>
      <c r="AL441" s="282"/>
      <c r="AM441" s="282"/>
      <c r="AN441" s="282"/>
      <c r="AO441" s="282"/>
      <c r="AP441" s="282"/>
      <c r="AQ441" s="282"/>
      <c r="AR441" s="282"/>
      <c r="AS441" s="282"/>
      <c r="AT441" s="282"/>
      <c r="AU441" s="282"/>
      <c r="AV441" s="282"/>
      <c r="AW441" s="282"/>
      <c r="AX441" s="282"/>
      <c r="AY441" s="282"/>
      <c r="AZ441" s="282"/>
      <c r="BA441" s="282"/>
    </row>
    <row r="442" spans="1:53">
      <c r="A442" s="282"/>
      <c r="B442" s="282"/>
      <c r="C442" s="282"/>
      <c r="D442" s="282"/>
      <c r="E442" s="282"/>
      <c r="F442" s="282"/>
      <c r="G442" s="282"/>
      <c r="H442" s="282"/>
      <c r="I442" s="282"/>
      <c r="J442" s="282"/>
      <c r="K442" s="282"/>
      <c r="L442" s="282"/>
      <c r="M442" s="282"/>
      <c r="N442" s="282"/>
      <c r="O442" s="282"/>
      <c r="P442" s="282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  <c r="AD442" s="282"/>
      <c r="AE442" s="282"/>
      <c r="AF442" s="282"/>
      <c r="AG442" s="282"/>
      <c r="AH442" s="281"/>
      <c r="AI442" s="282"/>
      <c r="AJ442" s="282"/>
      <c r="AK442" s="282"/>
      <c r="AL442" s="282"/>
      <c r="AM442" s="282"/>
      <c r="AN442" s="282"/>
      <c r="AO442" s="282"/>
      <c r="AP442" s="282"/>
      <c r="AQ442" s="282"/>
      <c r="AR442" s="282"/>
      <c r="AS442" s="282"/>
      <c r="AT442" s="282"/>
      <c r="AU442" s="282"/>
      <c r="AV442" s="282"/>
      <c r="AW442" s="282"/>
      <c r="AX442" s="282"/>
      <c r="AY442" s="282"/>
      <c r="AZ442" s="282"/>
      <c r="BA442" s="282"/>
    </row>
    <row r="443" spans="1:53">
      <c r="A443" s="282"/>
      <c r="B443" s="282"/>
      <c r="C443" s="282"/>
      <c r="D443" s="282"/>
      <c r="E443" s="282"/>
      <c r="F443" s="282"/>
      <c r="G443" s="282"/>
      <c r="H443" s="282"/>
      <c r="I443" s="282"/>
      <c r="J443" s="282"/>
      <c r="K443" s="282"/>
      <c r="L443" s="282"/>
      <c r="M443" s="282"/>
      <c r="N443" s="282"/>
      <c r="O443" s="282"/>
      <c r="P443" s="282"/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  <c r="AA443" s="282"/>
      <c r="AB443" s="282"/>
      <c r="AC443" s="282"/>
      <c r="AD443" s="282"/>
      <c r="AE443" s="282"/>
      <c r="AF443" s="282"/>
      <c r="AG443" s="282"/>
      <c r="AH443" s="281"/>
      <c r="AI443" s="282"/>
      <c r="AJ443" s="282"/>
      <c r="AK443" s="282"/>
      <c r="AL443" s="282"/>
      <c r="AM443" s="282"/>
      <c r="AN443" s="282"/>
      <c r="AO443" s="282"/>
      <c r="AP443" s="282"/>
      <c r="AQ443" s="282"/>
      <c r="AR443" s="282"/>
      <c r="AS443" s="282"/>
      <c r="AT443" s="282"/>
      <c r="AU443" s="282"/>
      <c r="AV443" s="282"/>
      <c r="AW443" s="282"/>
      <c r="AX443" s="282"/>
      <c r="AY443" s="282"/>
      <c r="AZ443" s="282"/>
      <c r="BA443" s="282"/>
    </row>
    <row r="444" spans="1:53">
      <c r="A444" s="282"/>
      <c r="B444" s="282"/>
      <c r="C444" s="282"/>
      <c r="D444" s="282"/>
      <c r="E444" s="282"/>
      <c r="F444" s="282"/>
      <c r="G444" s="282"/>
      <c r="H444" s="282"/>
      <c r="I444" s="282"/>
      <c r="J444" s="282"/>
      <c r="K444" s="282"/>
      <c r="L444" s="282"/>
      <c r="M444" s="282"/>
      <c r="N444" s="282"/>
      <c r="O444" s="282"/>
      <c r="P444" s="282"/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  <c r="AA444" s="282"/>
      <c r="AB444" s="282"/>
      <c r="AC444" s="282"/>
      <c r="AD444" s="282"/>
      <c r="AE444" s="282"/>
      <c r="AF444" s="282"/>
      <c r="AG444" s="282"/>
      <c r="AH444" s="281"/>
      <c r="AI444" s="282"/>
      <c r="AJ444" s="282"/>
      <c r="AK444" s="282"/>
      <c r="AL444" s="282"/>
      <c r="AM444" s="282"/>
      <c r="AN444" s="282"/>
      <c r="AO444" s="282"/>
      <c r="AP444" s="282"/>
      <c r="AQ444" s="282"/>
      <c r="AR444" s="282"/>
      <c r="AS444" s="282"/>
      <c r="AT444" s="282"/>
      <c r="AU444" s="282"/>
      <c r="AV444" s="282"/>
      <c r="AW444" s="282"/>
      <c r="AX444" s="282"/>
      <c r="AY444" s="282"/>
      <c r="AZ444" s="282"/>
      <c r="BA444" s="282"/>
    </row>
    <row r="445" spans="1:53">
      <c r="A445" s="282"/>
      <c r="B445" s="282"/>
      <c r="C445" s="282"/>
      <c r="D445" s="282"/>
      <c r="E445" s="282"/>
      <c r="F445" s="282"/>
      <c r="G445" s="282"/>
      <c r="H445" s="282"/>
      <c r="I445" s="282"/>
      <c r="J445" s="282"/>
      <c r="K445" s="282"/>
      <c r="L445" s="282"/>
      <c r="M445" s="282"/>
      <c r="N445" s="282"/>
      <c r="O445" s="282"/>
      <c r="P445" s="282"/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  <c r="AC445" s="282"/>
      <c r="AD445" s="282"/>
      <c r="AE445" s="282"/>
      <c r="AF445" s="282"/>
      <c r="AG445" s="282"/>
      <c r="AH445" s="281"/>
      <c r="AI445" s="282"/>
      <c r="AJ445" s="282"/>
      <c r="AK445" s="282"/>
      <c r="AL445" s="282"/>
      <c r="AM445" s="282"/>
      <c r="AN445" s="282"/>
      <c r="AO445" s="282"/>
      <c r="AP445" s="282"/>
      <c r="AQ445" s="282"/>
      <c r="AR445" s="282"/>
      <c r="AS445" s="282"/>
      <c r="AT445" s="282"/>
      <c r="AU445" s="282"/>
      <c r="AV445" s="282"/>
      <c r="AW445" s="282"/>
      <c r="AX445" s="282"/>
      <c r="AY445" s="282"/>
      <c r="AZ445" s="282"/>
      <c r="BA445" s="282"/>
    </row>
    <row r="446" spans="1:53">
      <c r="A446" s="282"/>
      <c r="B446" s="282"/>
      <c r="C446" s="282"/>
      <c r="D446" s="282"/>
      <c r="E446" s="282"/>
      <c r="F446" s="282"/>
      <c r="G446" s="282"/>
      <c r="H446" s="282"/>
      <c r="I446" s="282"/>
      <c r="J446" s="282"/>
      <c r="K446" s="282"/>
      <c r="L446" s="282"/>
      <c r="M446" s="282"/>
      <c r="N446" s="282"/>
      <c r="O446" s="282"/>
      <c r="P446" s="282"/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  <c r="AC446" s="282"/>
      <c r="AD446" s="282"/>
      <c r="AE446" s="282"/>
      <c r="AF446" s="282"/>
      <c r="AG446" s="282"/>
      <c r="AH446" s="281"/>
      <c r="AI446" s="282"/>
      <c r="AJ446" s="282"/>
      <c r="AK446" s="282"/>
      <c r="AL446" s="282"/>
      <c r="AM446" s="282"/>
      <c r="AN446" s="282"/>
      <c r="AO446" s="282"/>
      <c r="AP446" s="282"/>
      <c r="AQ446" s="282"/>
      <c r="AR446" s="282"/>
      <c r="AS446" s="282"/>
      <c r="AT446" s="282"/>
      <c r="AU446" s="282"/>
      <c r="AV446" s="282"/>
      <c r="AW446" s="282"/>
      <c r="AX446" s="282"/>
      <c r="AY446" s="282"/>
      <c r="AZ446" s="282"/>
      <c r="BA446" s="282"/>
    </row>
    <row r="447" spans="1:53">
      <c r="A447" s="282"/>
      <c r="B447" s="282"/>
      <c r="C447" s="282"/>
      <c r="D447" s="282"/>
      <c r="E447" s="282"/>
      <c r="F447" s="282"/>
      <c r="G447" s="282"/>
      <c r="H447" s="282"/>
      <c r="I447" s="282"/>
      <c r="J447" s="282"/>
      <c r="K447" s="282"/>
      <c r="L447" s="282"/>
      <c r="M447" s="282"/>
      <c r="N447" s="282"/>
      <c r="O447" s="282"/>
      <c r="P447" s="282"/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  <c r="AC447" s="282"/>
      <c r="AD447" s="282"/>
      <c r="AE447" s="282"/>
      <c r="AF447" s="282"/>
      <c r="AG447" s="282"/>
      <c r="AH447" s="281"/>
      <c r="AI447" s="282"/>
      <c r="AJ447" s="282"/>
      <c r="AK447" s="282"/>
      <c r="AL447" s="282"/>
      <c r="AM447" s="282"/>
      <c r="AN447" s="282"/>
      <c r="AO447" s="282"/>
      <c r="AP447" s="282"/>
      <c r="AQ447" s="282"/>
      <c r="AR447" s="282"/>
      <c r="AS447" s="282"/>
      <c r="AT447" s="282"/>
      <c r="AU447" s="282"/>
      <c r="AV447" s="282"/>
      <c r="AW447" s="282"/>
      <c r="AX447" s="282"/>
      <c r="AY447" s="282"/>
      <c r="AZ447" s="282"/>
      <c r="BA447" s="282"/>
    </row>
    <row r="448" spans="1:53">
      <c r="A448" s="282"/>
      <c r="B448" s="282"/>
      <c r="C448" s="282"/>
      <c r="D448" s="282"/>
      <c r="E448" s="282"/>
      <c r="F448" s="282"/>
      <c r="G448" s="282"/>
      <c r="H448" s="282"/>
      <c r="I448" s="282"/>
      <c r="J448" s="282"/>
      <c r="K448" s="282"/>
      <c r="L448" s="282"/>
      <c r="M448" s="282"/>
      <c r="N448" s="282"/>
      <c r="O448" s="282"/>
      <c r="P448" s="282"/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  <c r="AC448" s="282"/>
      <c r="AD448" s="282"/>
      <c r="AE448" s="282"/>
      <c r="AF448" s="282"/>
      <c r="AG448" s="282"/>
      <c r="AH448" s="281"/>
      <c r="AI448" s="282"/>
      <c r="AJ448" s="282"/>
      <c r="AK448" s="282"/>
      <c r="AL448" s="282"/>
      <c r="AM448" s="282"/>
      <c r="AN448" s="282"/>
      <c r="AO448" s="282"/>
      <c r="AP448" s="282"/>
      <c r="AQ448" s="282"/>
      <c r="AR448" s="282"/>
      <c r="AS448" s="282"/>
      <c r="AT448" s="282"/>
      <c r="AU448" s="282"/>
      <c r="AV448" s="282"/>
      <c r="AW448" s="282"/>
      <c r="AX448" s="282"/>
      <c r="AY448" s="282"/>
      <c r="AZ448" s="282"/>
      <c r="BA448" s="282"/>
    </row>
    <row r="449" spans="1:53">
      <c r="A449" s="282"/>
      <c r="B449" s="282"/>
      <c r="C449" s="282"/>
      <c r="D449" s="282"/>
      <c r="E449" s="282"/>
      <c r="F449" s="282"/>
      <c r="G449" s="282"/>
      <c r="H449" s="282"/>
      <c r="I449" s="282"/>
      <c r="J449" s="282"/>
      <c r="K449" s="282"/>
      <c r="L449" s="282"/>
      <c r="M449" s="282"/>
      <c r="N449" s="282"/>
      <c r="O449" s="282"/>
      <c r="P449" s="282"/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  <c r="AC449" s="282"/>
      <c r="AD449" s="282"/>
      <c r="AE449" s="282"/>
      <c r="AF449" s="282"/>
      <c r="AG449" s="282"/>
      <c r="AH449" s="281"/>
      <c r="AI449" s="282"/>
      <c r="AJ449" s="282"/>
      <c r="AK449" s="282"/>
      <c r="AL449" s="282"/>
      <c r="AM449" s="282"/>
      <c r="AN449" s="282"/>
      <c r="AO449" s="282"/>
      <c r="AP449" s="282"/>
      <c r="AQ449" s="282"/>
      <c r="AR449" s="282"/>
      <c r="AS449" s="282"/>
      <c r="AT449" s="282"/>
      <c r="AU449" s="282"/>
      <c r="AV449" s="282"/>
      <c r="AW449" s="282"/>
      <c r="AX449" s="282"/>
      <c r="AY449" s="282"/>
      <c r="AZ449" s="282"/>
      <c r="BA449" s="282"/>
    </row>
    <row r="450" spans="1:53">
      <c r="A450" s="282"/>
      <c r="B450" s="282"/>
      <c r="C450" s="282"/>
      <c r="D450" s="282"/>
      <c r="E450" s="282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82"/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  <c r="AC450" s="282"/>
      <c r="AD450" s="282"/>
      <c r="AE450" s="282"/>
      <c r="AF450" s="282"/>
      <c r="AG450" s="282"/>
      <c r="AH450" s="281"/>
      <c r="AI450" s="282"/>
      <c r="AJ450" s="282"/>
      <c r="AK450" s="282"/>
      <c r="AL450" s="282"/>
      <c r="AM450" s="282"/>
      <c r="AN450" s="282"/>
      <c r="AO450" s="282"/>
      <c r="AP450" s="282"/>
      <c r="AQ450" s="282"/>
      <c r="AR450" s="282"/>
      <c r="AS450" s="282"/>
      <c r="AT450" s="282"/>
      <c r="AU450" s="282"/>
      <c r="AV450" s="282"/>
      <c r="AW450" s="282"/>
      <c r="AX450" s="282"/>
      <c r="AY450" s="282"/>
      <c r="AZ450" s="282"/>
      <c r="BA450" s="282"/>
    </row>
    <row r="451" spans="1:53">
      <c r="A451" s="282"/>
      <c r="B451" s="282"/>
      <c r="C451" s="282"/>
      <c r="D451" s="282"/>
      <c r="E451" s="282"/>
      <c r="F451" s="282"/>
      <c r="G451" s="282"/>
      <c r="H451" s="282"/>
      <c r="I451" s="282"/>
      <c r="J451" s="282"/>
      <c r="K451" s="282"/>
      <c r="L451" s="282"/>
      <c r="M451" s="282"/>
      <c r="N451" s="282"/>
      <c r="O451" s="282"/>
      <c r="P451" s="282"/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  <c r="AC451" s="282"/>
      <c r="AD451" s="282"/>
      <c r="AE451" s="282"/>
      <c r="AF451" s="282"/>
      <c r="AG451" s="282"/>
      <c r="AH451" s="281"/>
      <c r="AI451" s="282"/>
      <c r="AJ451" s="282"/>
      <c r="AK451" s="282"/>
      <c r="AL451" s="282"/>
      <c r="AM451" s="282"/>
      <c r="AN451" s="282"/>
      <c r="AO451" s="282"/>
      <c r="AP451" s="282"/>
      <c r="AQ451" s="282"/>
      <c r="AR451" s="282"/>
      <c r="AS451" s="282"/>
      <c r="AT451" s="282"/>
      <c r="AU451" s="282"/>
      <c r="AV451" s="282"/>
      <c r="AW451" s="282"/>
      <c r="AX451" s="282"/>
      <c r="AY451" s="282"/>
      <c r="AZ451" s="282"/>
      <c r="BA451" s="282"/>
    </row>
    <row r="452" spans="1:53">
      <c r="A452" s="282"/>
      <c r="B452" s="282"/>
      <c r="C452" s="282"/>
      <c r="D452" s="282"/>
      <c r="E452" s="282"/>
      <c r="F452" s="282"/>
      <c r="G452" s="282"/>
      <c r="H452" s="282"/>
      <c r="I452" s="282"/>
      <c r="J452" s="282"/>
      <c r="K452" s="282"/>
      <c r="L452" s="282"/>
      <c r="M452" s="282"/>
      <c r="N452" s="282"/>
      <c r="O452" s="282"/>
      <c r="P452" s="282"/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  <c r="AC452" s="282"/>
      <c r="AD452" s="282"/>
      <c r="AE452" s="282"/>
      <c r="AF452" s="282"/>
      <c r="AG452" s="282"/>
      <c r="AH452" s="281"/>
      <c r="AI452" s="282"/>
      <c r="AJ452" s="282"/>
      <c r="AK452" s="282"/>
      <c r="AL452" s="282"/>
      <c r="AM452" s="282"/>
      <c r="AN452" s="282"/>
      <c r="AO452" s="282"/>
      <c r="AP452" s="282"/>
      <c r="AQ452" s="282"/>
      <c r="AR452" s="282"/>
      <c r="AS452" s="282"/>
      <c r="AT452" s="282"/>
      <c r="AU452" s="282"/>
      <c r="AV452" s="282"/>
      <c r="AW452" s="282"/>
      <c r="AX452" s="282"/>
      <c r="AY452" s="282"/>
      <c r="AZ452" s="282"/>
      <c r="BA452" s="282"/>
    </row>
    <row r="453" spans="1:53">
      <c r="A453" s="282"/>
      <c r="B453" s="282"/>
      <c r="C453" s="282"/>
      <c r="D453" s="282"/>
      <c r="E453" s="282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  <c r="AD453" s="282"/>
      <c r="AE453" s="282"/>
      <c r="AF453" s="282"/>
      <c r="AG453" s="282"/>
      <c r="AH453" s="281"/>
      <c r="AI453" s="282"/>
      <c r="AJ453" s="282"/>
      <c r="AK453" s="282"/>
      <c r="AL453" s="282"/>
      <c r="AM453" s="282"/>
      <c r="AN453" s="282"/>
      <c r="AO453" s="282"/>
      <c r="AP453" s="282"/>
      <c r="AQ453" s="282"/>
      <c r="AR453" s="282"/>
      <c r="AS453" s="282"/>
      <c r="AT453" s="282"/>
      <c r="AU453" s="282"/>
      <c r="AV453" s="282"/>
      <c r="AW453" s="282"/>
      <c r="AX453" s="282"/>
      <c r="AY453" s="282"/>
      <c r="AZ453" s="282"/>
      <c r="BA453" s="282"/>
    </row>
    <row r="454" spans="1:53">
      <c r="A454" s="282"/>
      <c r="B454" s="282"/>
      <c r="C454" s="282"/>
      <c r="D454" s="282"/>
      <c r="E454" s="282"/>
      <c r="F454" s="282"/>
      <c r="G454" s="282"/>
      <c r="H454" s="282"/>
      <c r="I454" s="282"/>
      <c r="J454" s="282"/>
      <c r="K454" s="282"/>
      <c r="L454" s="282"/>
      <c r="M454" s="282"/>
      <c r="N454" s="282"/>
      <c r="O454" s="282"/>
      <c r="P454" s="282"/>
      <c r="Q454" s="282"/>
      <c r="R454" s="282"/>
      <c r="S454" s="282"/>
      <c r="T454" s="282"/>
      <c r="U454" s="282"/>
      <c r="V454" s="282"/>
      <c r="W454" s="282"/>
      <c r="X454" s="282"/>
      <c r="Y454" s="282"/>
      <c r="Z454" s="282"/>
      <c r="AA454" s="282"/>
      <c r="AB454" s="282"/>
      <c r="AC454" s="282"/>
      <c r="AD454" s="282"/>
      <c r="AE454" s="282"/>
      <c r="AF454" s="282"/>
      <c r="AG454" s="282"/>
      <c r="AH454" s="281"/>
      <c r="AI454" s="282"/>
      <c r="AJ454" s="282"/>
      <c r="AK454" s="282"/>
      <c r="AL454" s="282"/>
      <c r="AM454" s="282"/>
      <c r="AN454" s="282"/>
      <c r="AO454" s="282"/>
      <c r="AP454" s="282"/>
      <c r="AQ454" s="282"/>
      <c r="AR454" s="282"/>
      <c r="AS454" s="282"/>
      <c r="AT454" s="282"/>
      <c r="AU454" s="282"/>
      <c r="AV454" s="282"/>
      <c r="AW454" s="282"/>
      <c r="AX454" s="282"/>
      <c r="AY454" s="282"/>
      <c r="AZ454" s="282"/>
      <c r="BA454" s="282"/>
    </row>
    <row r="455" spans="1:53">
      <c r="A455" s="282"/>
      <c r="B455" s="282"/>
      <c r="C455" s="282"/>
      <c r="D455" s="282"/>
      <c r="E455" s="282"/>
      <c r="F455" s="282"/>
      <c r="G455" s="282"/>
      <c r="H455" s="282"/>
      <c r="I455" s="282"/>
      <c r="J455" s="282"/>
      <c r="K455" s="282"/>
      <c r="L455" s="282"/>
      <c r="M455" s="282"/>
      <c r="N455" s="282"/>
      <c r="O455" s="282"/>
      <c r="P455" s="282"/>
      <c r="Q455" s="282"/>
      <c r="R455" s="282"/>
      <c r="S455" s="282"/>
      <c r="T455" s="282"/>
      <c r="U455" s="282"/>
      <c r="V455" s="282"/>
      <c r="W455" s="282"/>
      <c r="X455" s="282"/>
      <c r="Y455" s="282"/>
      <c r="Z455" s="282"/>
      <c r="AA455" s="282"/>
      <c r="AB455" s="282"/>
      <c r="AC455" s="282"/>
      <c r="AD455" s="282"/>
      <c r="AE455" s="282"/>
      <c r="AF455" s="282"/>
      <c r="AG455" s="282"/>
      <c r="AH455" s="281"/>
      <c r="AI455" s="282"/>
      <c r="AJ455" s="282"/>
      <c r="AK455" s="282"/>
      <c r="AL455" s="282"/>
      <c r="AM455" s="282"/>
      <c r="AN455" s="282"/>
      <c r="AO455" s="282"/>
      <c r="AP455" s="282"/>
      <c r="AQ455" s="282"/>
      <c r="AR455" s="282"/>
      <c r="AS455" s="282"/>
      <c r="AT455" s="282"/>
      <c r="AU455" s="282"/>
      <c r="AV455" s="282"/>
      <c r="AW455" s="282"/>
      <c r="AX455" s="282"/>
      <c r="AY455" s="282"/>
      <c r="AZ455" s="282"/>
      <c r="BA455" s="282"/>
    </row>
    <row r="456" spans="1:53">
      <c r="A456" s="282"/>
      <c r="B456" s="282"/>
      <c r="C456" s="282"/>
      <c r="D456" s="282"/>
      <c r="E456" s="282"/>
      <c r="F456" s="282"/>
      <c r="G456" s="282"/>
      <c r="H456" s="282"/>
      <c r="I456" s="282"/>
      <c r="J456" s="282"/>
      <c r="K456" s="282"/>
      <c r="L456" s="282"/>
      <c r="M456" s="282"/>
      <c r="N456" s="282"/>
      <c r="O456" s="282"/>
      <c r="P456" s="282"/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  <c r="AC456" s="282"/>
      <c r="AD456" s="282"/>
      <c r="AE456" s="282"/>
      <c r="AF456" s="282"/>
      <c r="AG456" s="282"/>
      <c r="AH456" s="281"/>
      <c r="AI456" s="282"/>
      <c r="AJ456" s="282"/>
      <c r="AK456" s="282"/>
      <c r="AL456" s="282"/>
      <c r="AM456" s="282"/>
      <c r="AN456" s="282"/>
      <c r="AO456" s="282"/>
      <c r="AP456" s="282"/>
      <c r="AQ456" s="282"/>
      <c r="AR456" s="282"/>
      <c r="AS456" s="282"/>
      <c r="AT456" s="282"/>
      <c r="AU456" s="282"/>
      <c r="AV456" s="282"/>
      <c r="AW456" s="282"/>
      <c r="AX456" s="282"/>
      <c r="AY456" s="282"/>
      <c r="AZ456" s="282"/>
      <c r="BA456" s="282"/>
    </row>
    <row r="457" spans="1:53">
      <c r="A457" s="282"/>
      <c r="B457" s="282"/>
      <c r="C457" s="282"/>
      <c r="D457" s="282"/>
      <c r="E457" s="282"/>
      <c r="F457" s="282"/>
      <c r="G457" s="282"/>
      <c r="H457" s="282"/>
      <c r="I457" s="282"/>
      <c r="J457" s="282"/>
      <c r="K457" s="282"/>
      <c r="L457" s="282"/>
      <c r="M457" s="282"/>
      <c r="N457" s="282"/>
      <c r="O457" s="282"/>
      <c r="P457" s="282"/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  <c r="AC457" s="282"/>
      <c r="AD457" s="282"/>
      <c r="AE457" s="282"/>
      <c r="AF457" s="282"/>
      <c r="AG457" s="282"/>
      <c r="AH457" s="281"/>
      <c r="AI457" s="282"/>
      <c r="AJ457" s="282"/>
      <c r="AK457" s="282"/>
      <c r="AL457" s="282"/>
      <c r="AM457" s="282"/>
      <c r="AN457" s="282"/>
      <c r="AO457" s="282"/>
      <c r="AP457" s="282"/>
      <c r="AQ457" s="282"/>
      <c r="AR457" s="282"/>
      <c r="AS457" s="282"/>
      <c r="AT457" s="282"/>
      <c r="AU457" s="282"/>
      <c r="AV457" s="282"/>
      <c r="AW457" s="282"/>
      <c r="AX457" s="282"/>
      <c r="AY457" s="282"/>
      <c r="AZ457" s="282"/>
      <c r="BA457" s="282"/>
    </row>
    <row r="458" spans="1:53">
      <c r="A458" s="282"/>
      <c r="B458" s="282"/>
      <c r="C458" s="282"/>
      <c r="D458" s="282"/>
      <c r="E458" s="282"/>
      <c r="F458" s="282"/>
      <c r="G458" s="282"/>
      <c r="H458" s="282"/>
      <c r="I458" s="282"/>
      <c r="J458" s="282"/>
      <c r="K458" s="282"/>
      <c r="L458" s="282"/>
      <c r="M458" s="282"/>
      <c r="N458" s="282"/>
      <c r="O458" s="282"/>
      <c r="P458" s="282"/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  <c r="AC458" s="282"/>
      <c r="AD458" s="282"/>
      <c r="AE458" s="282"/>
      <c r="AF458" s="282"/>
      <c r="AG458" s="282"/>
      <c r="AH458" s="281"/>
      <c r="AI458" s="282"/>
      <c r="AJ458" s="282"/>
      <c r="AK458" s="282"/>
      <c r="AL458" s="282"/>
      <c r="AM458" s="282"/>
      <c r="AN458" s="282"/>
      <c r="AO458" s="282"/>
      <c r="AP458" s="282"/>
      <c r="AQ458" s="282"/>
      <c r="AR458" s="282"/>
      <c r="AS458" s="282"/>
      <c r="AT458" s="282"/>
      <c r="AU458" s="282"/>
      <c r="AV458" s="282"/>
      <c r="AW458" s="282"/>
      <c r="AX458" s="282"/>
      <c r="AY458" s="282"/>
      <c r="AZ458" s="282"/>
      <c r="BA458" s="282"/>
    </row>
    <row r="459" spans="1:53">
      <c r="A459" s="282"/>
      <c r="B459" s="282"/>
      <c r="C459" s="282"/>
      <c r="D459" s="282"/>
      <c r="E459" s="282"/>
      <c r="F459" s="282"/>
      <c r="G459" s="282"/>
      <c r="H459" s="282"/>
      <c r="I459" s="282"/>
      <c r="J459" s="282"/>
      <c r="K459" s="282"/>
      <c r="L459" s="282"/>
      <c r="M459" s="282"/>
      <c r="N459" s="282"/>
      <c r="O459" s="282"/>
      <c r="P459" s="282"/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  <c r="AC459" s="282"/>
      <c r="AD459" s="282"/>
      <c r="AE459" s="282"/>
      <c r="AF459" s="282"/>
      <c r="AG459" s="282"/>
      <c r="AH459" s="281"/>
      <c r="AI459" s="282"/>
      <c r="AJ459" s="282"/>
      <c r="AK459" s="282"/>
      <c r="AL459" s="282"/>
      <c r="AM459" s="282"/>
      <c r="AN459" s="282"/>
      <c r="AO459" s="282"/>
      <c r="AP459" s="282"/>
      <c r="AQ459" s="282"/>
      <c r="AR459" s="282"/>
      <c r="AS459" s="282"/>
      <c r="AT459" s="282"/>
      <c r="AU459" s="282"/>
      <c r="AV459" s="282"/>
      <c r="AW459" s="282"/>
      <c r="AX459" s="282"/>
      <c r="AY459" s="282"/>
      <c r="AZ459" s="282"/>
      <c r="BA459" s="282"/>
    </row>
    <row r="460" spans="1:53">
      <c r="A460" s="282"/>
      <c r="B460" s="282"/>
      <c r="C460" s="282"/>
      <c r="D460" s="282"/>
      <c r="E460" s="282"/>
      <c r="F460" s="282"/>
      <c r="G460" s="282"/>
      <c r="H460" s="282"/>
      <c r="I460" s="282"/>
      <c r="J460" s="282"/>
      <c r="K460" s="282"/>
      <c r="L460" s="282"/>
      <c r="M460" s="282"/>
      <c r="N460" s="282"/>
      <c r="O460" s="282"/>
      <c r="P460" s="282"/>
      <c r="Q460" s="282"/>
      <c r="R460" s="282"/>
      <c r="S460" s="282"/>
      <c r="T460" s="282"/>
      <c r="U460" s="282"/>
      <c r="V460" s="282"/>
      <c r="W460" s="282"/>
      <c r="X460" s="282"/>
      <c r="Y460" s="282"/>
      <c r="Z460" s="282"/>
      <c r="AA460" s="282"/>
      <c r="AB460" s="282"/>
      <c r="AC460" s="282"/>
      <c r="AD460" s="282"/>
      <c r="AE460" s="282"/>
      <c r="AF460" s="282"/>
      <c r="AG460" s="282"/>
      <c r="AH460" s="281"/>
      <c r="AI460" s="282"/>
      <c r="AJ460" s="282"/>
      <c r="AK460" s="282"/>
      <c r="AL460" s="282"/>
      <c r="AM460" s="282"/>
      <c r="AN460" s="282"/>
      <c r="AO460" s="282"/>
      <c r="AP460" s="282"/>
      <c r="AQ460" s="282"/>
      <c r="AR460" s="282"/>
      <c r="AS460" s="282"/>
      <c r="AT460" s="282"/>
      <c r="AU460" s="282"/>
      <c r="AV460" s="282"/>
      <c r="AW460" s="282"/>
      <c r="AX460" s="282"/>
      <c r="AY460" s="282"/>
      <c r="AZ460" s="282"/>
      <c r="BA460" s="282"/>
    </row>
    <row r="461" spans="1:53">
      <c r="A461" s="282"/>
      <c r="B461" s="282"/>
      <c r="C461" s="282"/>
      <c r="D461" s="282"/>
      <c r="E461" s="282"/>
      <c r="F461" s="282"/>
      <c r="G461" s="282"/>
      <c r="H461" s="282"/>
      <c r="I461" s="282"/>
      <c r="J461" s="282"/>
      <c r="K461" s="282"/>
      <c r="L461" s="282"/>
      <c r="M461" s="282"/>
      <c r="N461" s="282"/>
      <c r="O461" s="282"/>
      <c r="P461" s="282"/>
      <c r="Q461" s="282"/>
      <c r="R461" s="282"/>
      <c r="S461" s="282"/>
      <c r="T461" s="282"/>
      <c r="U461" s="282"/>
      <c r="V461" s="282"/>
      <c r="W461" s="282"/>
      <c r="X461" s="282"/>
      <c r="Y461" s="282"/>
      <c r="Z461" s="282"/>
      <c r="AA461" s="282"/>
      <c r="AB461" s="282"/>
      <c r="AC461" s="282"/>
      <c r="AD461" s="282"/>
      <c r="AE461" s="282"/>
      <c r="AF461" s="282"/>
      <c r="AG461" s="282"/>
      <c r="AH461" s="281"/>
      <c r="AI461" s="282"/>
      <c r="AJ461" s="282"/>
      <c r="AK461" s="282"/>
      <c r="AL461" s="282"/>
      <c r="AM461" s="282"/>
      <c r="AN461" s="282"/>
      <c r="AO461" s="282"/>
      <c r="AP461" s="282"/>
      <c r="AQ461" s="282"/>
      <c r="AR461" s="282"/>
      <c r="AS461" s="282"/>
      <c r="AT461" s="282"/>
      <c r="AU461" s="282"/>
      <c r="AV461" s="282"/>
      <c r="AW461" s="282"/>
      <c r="AX461" s="282"/>
      <c r="AY461" s="282"/>
      <c r="AZ461" s="282"/>
      <c r="BA461" s="282"/>
    </row>
    <row r="462" spans="1:53">
      <c r="A462" s="282"/>
      <c r="B462" s="282"/>
      <c r="C462" s="282"/>
      <c r="D462" s="282"/>
      <c r="E462" s="282"/>
      <c r="F462" s="282"/>
      <c r="G462" s="282"/>
      <c r="H462" s="282"/>
      <c r="I462" s="282"/>
      <c r="J462" s="282"/>
      <c r="K462" s="282"/>
      <c r="L462" s="282"/>
      <c r="M462" s="282"/>
      <c r="N462" s="282"/>
      <c r="O462" s="282"/>
      <c r="P462" s="282"/>
      <c r="Q462" s="282"/>
      <c r="R462" s="282"/>
      <c r="S462" s="282"/>
      <c r="T462" s="282"/>
      <c r="U462" s="282"/>
      <c r="V462" s="282"/>
      <c r="W462" s="282"/>
      <c r="X462" s="282"/>
      <c r="Y462" s="282"/>
      <c r="Z462" s="282"/>
      <c r="AA462" s="282"/>
      <c r="AB462" s="282"/>
      <c r="AC462" s="282"/>
      <c r="AD462" s="282"/>
      <c r="AE462" s="282"/>
      <c r="AF462" s="282"/>
      <c r="AG462" s="282"/>
      <c r="AH462" s="281"/>
      <c r="AI462" s="282"/>
      <c r="AJ462" s="282"/>
      <c r="AK462" s="282"/>
      <c r="AL462" s="282"/>
      <c r="AM462" s="282"/>
      <c r="AN462" s="282"/>
      <c r="AO462" s="282"/>
      <c r="AP462" s="282"/>
      <c r="AQ462" s="282"/>
      <c r="AR462" s="282"/>
      <c r="AS462" s="282"/>
      <c r="AT462" s="282"/>
      <c r="AU462" s="282"/>
      <c r="AV462" s="282"/>
      <c r="AW462" s="282"/>
      <c r="AX462" s="282"/>
      <c r="AY462" s="282"/>
      <c r="AZ462" s="282"/>
      <c r="BA462" s="282"/>
    </row>
    <row r="463" spans="1:53">
      <c r="A463" s="282"/>
      <c r="B463" s="282"/>
      <c r="C463" s="282"/>
      <c r="D463" s="282"/>
      <c r="E463" s="282"/>
      <c r="F463" s="282"/>
      <c r="G463" s="282"/>
      <c r="H463" s="282"/>
      <c r="I463" s="282"/>
      <c r="J463" s="282"/>
      <c r="K463" s="282"/>
      <c r="L463" s="282"/>
      <c r="M463" s="282"/>
      <c r="N463" s="282"/>
      <c r="O463" s="282"/>
      <c r="P463" s="282"/>
      <c r="Q463" s="282"/>
      <c r="R463" s="282"/>
      <c r="S463" s="282"/>
      <c r="T463" s="282"/>
      <c r="U463" s="282"/>
      <c r="V463" s="282"/>
      <c r="W463" s="282"/>
      <c r="X463" s="282"/>
      <c r="Y463" s="282"/>
      <c r="Z463" s="282"/>
      <c r="AA463" s="282"/>
      <c r="AB463" s="282"/>
      <c r="AC463" s="282"/>
      <c r="AD463" s="282"/>
      <c r="AE463" s="282"/>
      <c r="AF463" s="282"/>
      <c r="AG463" s="282"/>
      <c r="AH463" s="281"/>
      <c r="AI463" s="282"/>
      <c r="AJ463" s="282"/>
      <c r="AK463" s="282"/>
      <c r="AL463" s="282"/>
      <c r="AM463" s="282"/>
      <c r="AN463" s="282"/>
      <c r="AO463" s="282"/>
      <c r="AP463" s="282"/>
      <c r="AQ463" s="282"/>
      <c r="AR463" s="282"/>
      <c r="AS463" s="282"/>
      <c r="AT463" s="282"/>
      <c r="AU463" s="282"/>
      <c r="AV463" s="282"/>
      <c r="AW463" s="282"/>
      <c r="AX463" s="282"/>
      <c r="AY463" s="282"/>
      <c r="AZ463" s="282"/>
      <c r="BA463" s="282"/>
    </row>
    <row r="464" spans="1:53">
      <c r="A464" s="282"/>
      <c r="B464" s="282"/>
      <c r="C464" s="282"/>
      <c r="D464" s="282"/>
      <c r="E464" s="282"/>
      <c r="F464" s="282"/>
      <c r="G464" s="282"/>
      <c r="H464" s="282"/>
      <c r="I464" s="282"/>
      <c r="J464" s="282"/>
      <c r="K464" s="282"/>
      <c r="L464" s="282"/>
      <c r="M464" s="282"/>
      <c r="N464" s="282"/>
      <c r="O464" s="282"/>
      <c r="P464" s="282"/>
      <c r="Q464" s="282"/>
      <c r="R464" s="282"/>
      <c r="S464" s="282"/>
      <c r="T464" s="282"/>
      <c r="U464" s="282"/>
      <c r="V464" s="282"/>
      <c r="W464" s="282"/>
      <c r="X464" s="282"/>
      <c r="Y464" s="282"/>
      <c r="Z464" s="282"/>
      <c r="AA464" s="282"/>
      <c r="AB464" s="282"/>
      <c r="AC464" s="282"/>
      <c r="AD464" s="282"/>
      <c r="AE464" s="282"/>
      <c r="AF464" s="282"/>
      <c r="AG464" s="282"/>
      <c r="AH464" s="281"/>
      <c r="AI464" s="282"/>
      <c r="AJ464" s="282"/>
      <c r="AK464" s="282"/>
      <c r="AL464" s="282"/>
      <c r="AM464" s="282"/>
      <c r="AN464" s="282"/>
      <c r="AO464" s="282"/>
      <c r="AP464" s="282"/>
      <c r="AQ464" s="282"/>
      <c r="AR464" s="282"/>
      <c r="AS464" s="282"/>
      <c r="AT464" s="282"/>
      <c r="AU464" s="282"/>
      <c r="AV464" s="282"/>
      <c r="AW464" s="282"/>
      <c r="AX464" s="282"/>
      <c r="AY464" s="282"/>
      <c r="AZ464" s="282"/>
      <c r="BA464" s="282"/>
    </row>
    <row r="465" spans="1:53">
      <c r="A465" s="282"/>
      <c r="B465" s="282"/>
      <c r="C465" s="282"/>
      <c r="D465" s="282"/>
      <c r="E465" s="282"/>
      <c r="F465" s="282"/>
      <c r="G465" s="282"/>
      <c r="H465" s="282"/>
      <c r="I465" s="282"/>
      <c r="J465" s="282"/>
      <c r="K465" s="282"/>
      <c r="L465" s="282"/>
      <c r="M465" s="282"/>
      <c r="N465" s="282"/>
      <c r="O465" s="282"/>
      <c r="P465" s="282"/>
      <c r="Q465" s="282"/>
      <c r="R465" s="282"/>
      <c r="S465" s="282"/>
      <c r="T465" s="282"/>
      <c r="U465" s="282"/>
      <c r="V465" s="282"/>
      <c r="W465" s="282"/>
      <c r="X465" s="282"/>
      <c r="Y465" s="282"/>
      <c r="Z465" s="282"/>
      <c r="AA465" s="282"/>
      <c r="AB465" s="282"/>
      <c r="AC465" s="282"/>
      <c r="AD465" s="282"/>
      <c r="AE465" s="282"/>
      <c r="AF465" s="282"/>
      <c r="AG465" s="282"/>
      <c r="AH465" s="281"/>
      <c r="AI465" s="282"/>
      <c r="AJ465" s="282"/>
      <c r="AK465" s="282"/>
      <c r="AL465" s="282"/>
      <c r="AM465" s="282"/>
      <c r="AN465" s="282"/>
      <c r="AO465" s="282"/>
      <c r="AP465" s="282"/>
      <c r="AQ465" s="282"/>
      <c r="AR465" s="282"/>
      <c r="AS465" s="282"/>
      <c r="AT465" s="282"/>
      <c r="AU465" s="282"/>
      <c r="AV465" s="282"/>
      <c r="AW465" s="282"/>
      <c r="AX465" s="282"/>
      <c r="AY465" s="282"/>
      <c r="AZ465" s="282"/>
      <c r="BA465" s="282"/>
    </row>
    <row r="466" spans="1:53">
      <c r="A466" s="282"/>
      <c r="B466" s="282"/>
      <c r="C466" s="282"/>
      <c r="D466" s="282"/>
      <c r="E466" s="282"/>
      <c r="F466" s="282"/>
      <c r="G466" s="282"/>
      <c r="H466" s="282"/>
      <c r="I466" s="282"/>
      <c r="J466" s="282"/>
      <c r="K466" s="282"/>
      <c r="L466" s="282"/>
      <c r="M466" s="282"/>
      <c r="N466" s="282"/>
      <c r="O466" s="282"/>
      <c r="P466" s="282"/>
      <c r="Q466" s="282"/>
      <c r="R466" s="282"/>
      <c r="S466" s="282"/>
      <c r="T466" s="282"/>
      <c r="U466" s="282"/>
      <c r="V466" s="282"/>
      <c r="W466" s="282"/>
      <c r="X466" s="282"/>
      <c r="Y466" s="282"/>
      <c r="Z466" s="282"/>
      <c r="AA466" s="282"/>
      <c r="AB466" s="282"/>
      <c r="AC466" s="282"/>
      <c r="AD466" s="282"/>
      <c r="AE466" s="282"/>
      <c r="AF466" s="282"/>
      <c r="AG466" s="282"/>
      <c r="AH466" s="281"/>
      <c r="AI466" s="282"/>
      <c r="AJ466" s="282"/>
      <c r="AK466" s="282"/>
      <c r="AL466" s="282"/>
      <c r="AM466" s="282"/>
      <c r="AN466" s="282"/>
      <c r="AO466" s="282"/>
      <c r="AP466" s="282"/>
      <c r="AQ466" s="282"/>
      <c r="AR466" s="282"/>
      <c r="AS466" s="282"/>
      <c r="AT466" s="282"/>
      <c r="AU466" s="282"/>
      <c r="AV466" s="282"/>
      <c r="AW466" s="282"/>
      <c r="AX466" s="282"/>
      <c r="AY466" s="282"/>
      <c r="AZ466" s="282"/>
      <c r="BA466" s="282"/>
    </row>
    <row r="467" spans="1:53">
      <c r="A467" s="282"/>
      <c r="B467" s="282"/>
      <c r="C467" s="282"/>
      <c r="D467" s="282"/>
      <c r="E467" s="282"/>
      <c r="F467" s="282"/>
      <c r="G467" s="282"/>
      <c r="H467" s="282"/>
      <c r="I467" s="282"/>
      <c r="J467" s="282"/>
      <c r="K467" s="282"/>
      <c r="L467" s="282"/>
      <c r="M467" s="282"/>
      <c r="N467" s="282"/>
      <c r="O467" s="282"/>
      <c r="P467" s="282"/>
      <c r="Q467" s="282"/>
      <c r="R467" s="282"/>
      <c r="S467" s="282"/>
      <c r="T467" s="282"/>
      <c r="U467" s="282"/>
      <c r="V467" s="282"/>
      <c r="W467" s="282"/>
      <c r="X467" s="282"/>
      <c r="Y467" s="282"/>
      <c r="Z467" s="282"/>
      <c r="AA467" s="282"/>
      <c r="AB467" s="282"/>
      <c r="AC467" s="282"/>
      <c r="AD467" s="282"/>
      <c r="AE467" s="282"/>
      <c r="AF467" s="282"/>
      <c r="AG467" s="282"/>
      <c r="AH467" s="281"/>
      <c r="AI467" s="282"/>
      <c r="AJ467" s="282"/>
      <c r="AK467" s="282"/>
      <c r="AL467" s="282"/>
      <c r="AM467" s="282"/>
      <c r="AN467" s="282"/>
      <c r="AO467" s="282"/>
      <c r="AP467" s="282"/>
      <c r="AQ467" s="282"/>
      <c r="AR467" s="282"/>
      <c r="AS467" s="282"/>
      <c r="AT467" s="282"/>
      <c r="AU467" s="282"/>
      <c r="AV467" s="282"/>
      <c r="AW467" s="282"/>
      <c r="AX467" s="282"/>
      <c r="AY467" s="282"/>
      <c r="AZ467" s="282"/>
      <c r="BA467" s="282"/>
    </row>
    <row r="468" spans="1:53">
      <c r="A468" s="282"/>
      <c r="B468" s="282"/>
      <c r="C468" s="282"/>
      <c r="D468" s="282"/>
      <c r="E468" s="282"/>
      <c r="F468" s="282"/>
      <c r="G468" s="282"/>
      <c r="H468" s="282"/>
      <c r="I468" s="282"/>
      <c r="J468" s="282"/>
      <c r="K468" s="282"/>
      <c r="L468" s="282"/>
      <c r="M468" s="282"/>
      <c r="N468" s="282"/>
      <c r="O468" s="282"/>
      <c r="P468" s="282"/>
      <c r="Q468" s="282"/>
      <c r="R468" s="282"/>
      <c r="S468" s="282"/>
      <c r="T468" s="282"/>
      <c r="U468" s="282"/>
      <c r="V468" s="282"/>
      <c r="W468" s="282"/>
      <c r="X468" s="282"/>
      <c r="Y468" s="282"/>
      <c r="Z468" s="282"/>
      <c r="AA468" s="282"/>
      <c r="AB468" s="282"/>
      <c r="AC468" s="282"/>
      <c r="AD468" s="282"/>
      <c r="AE468" s="282"/>
      <c r="AF468" s="282"/>
      <c r="AG468" s="282"/>
      <c r="AH468" s="281"/>
      <c r="AI468" s="282"/>
      <c r="AJ468" s="282"/>
      <c r="AK468" s="282"/>
      <c r="AL468" s="282"/>
      <c r="AM468" s="282"/>
      <c r="AN468" s="282"/>
      <c r="AO468" s="282"/>
      <c r="AP468" s="282"/>
      <c r="AQ468" s="282"/>
      <c r="AR468" s="282"/>
      <c r="AS468" s="282"/>
      <c r="AT468" s="282"/>
      <c r="AU468" s="282"/>
      <c r="AV468" s="282"/>
      <c r="AW468" s="282"/>
      <c r="AX468" s="282"/>
      <c r="AY468" s="282"/>
      <c r="AZ468" s="282"/>
      <c r="BA468" s="282"/>
    </row>
    <row r="469" spans="1:53">
      <c r="A469" s="282"/>
      <c r="B469" s="282"/>
      <c r="C469" s="282"/>
      <c r="D469" s="282"/>
      <c r="E469" s="282"/>
      <c r="F469" s="282"/>
      <c r="G469" s="282"/>
      <c r="H469" s="282"/>
      <c r="I469" s="282"/>
      <c r="J469" s="282"/>
      <c r="K469" s="282"/>
      <c r="L469" s="282"/>
      <c r="M469" s="282"/>
      <c r="N469" s="282"/>
      <c r="O469" s="282"/>
      <c r="P469" s="282"/>
      <c r="Q469" s="282"/>
      <c r="R469" s="282"/>
      <c r="S469" s="282"/>
      <c r="T469" s="282"/>
      <c r="U469" s="282"/>
      <c r="V469" s="282"/>
      <c r="W469" s="282"/>
      <c r="X469" s="282"/>
      <c r="Y469" s="282"/>
      <c r="Z469" s="282"/>
      <c r="AA469" s="282"/>
      <c r="AB469" s="282"/>
      <c r="AC469" s="282"/>
      <c r="AD469" s="282"/>
      <c r="AE469" s="282"/>
      <c r="AF469" s="282"/>
      <c r="AG469" s="282"/>
      <c r="AH469" s="281"/>
      <c r="AI469" s="282"/>
      <c r="AJ469" s="282"/>
      <c r="AK469" s="282"/>
      <c r="AL469" s="282"/>
      <c r="AM469" s="282"/>
      <c r="AN469" s="282"/>
      <c r="AO469" s="282"/>
      <c r="AP469" s="282"/>
      <c r="AQ469" s="282"/>
      <c r="AR469" s="282"/>
      <c r="AS469" s="282"/>
      <c r="AT469" s="282"/>
      <c r="AU469" s="282"/>
      <c r="AV469" s="282"/>
      <c r="AW469" s="282"/>
      <c r="AX469" s="282"/>
      <c r="AY469" s="282"/>
      <c r="AZ469" s="282"/>
      <c r="BA469" s="282"/>
    </row>
    <row r="470" spans="1:53">
      <c r="A470" s="282"/>
      <c r="B470" s="282"/>
      <c r="C470" s="282"/>
      <c r="D470" s="282"/>
      <c r="E470" s="282"/>
      <c r="F470" s="282"/>
      <c r="G470" s="282"/>
      <c r="H470" s="282"/>
      <c r="I470" s="282"/>
      <c r="J470" s="282"/>
      <c r="K470" s="282"/>
      <c r="L470" s="282"/>
      <c r="M470" s="282"/>
      <c r="N470" s="282"/>
      <c r="O470" s="282"/>
      <c r="P470" s="282"/>
      <c r="Q470" s="282"/>
      <c r="R470" s="282"/>
      <c r="S470" s="282"/>
      <c r="T470" s="282"/>
      <c r="U470" s="282"/>
      <c r="V470" s="282"/>
      <c r="W470" s="282"/>
      <c r="X470" s="282"/>
      <c r="Y470" s="282"/>
      <c r="Z470" s="282"/>
      <c r="AA470" s="282"/>
      <c r="AB470" s="282"/>
      <c r="AC470" s="282"/>
      <c r="AD470" s="282"/>
      <c r="AE470" s="282"/>
      <c r="AF470" s="282"/>
      <c r="AG470" s="282"/>
      <c r="AH470" s="281"/>
      <c r="AI470" s="282"/>
      <c r="AJ470" s="282"/>
      <c r="AK470" s="282"/>
      <c r="AL470" s="282"/>
      <c r="AM470" s="282"/>
      <c r="AN470" s="282"/>
      <c r="AO470" s="282"/>
      <c r="AP470" s="282"/>
      <c r="AQ470" s="282"/>
      <c r="AR470" s="282"/>
      <c r="AS470" s="282"/>
      <c r="AT470" s="282"/>
      <c r="AU470" s="282"/>
      <c r="AV470" s="282"/>
      <c r="AW470" s="282"/>
      <c r="AX470" s="282"/>
      <c r="AY470" s="282"/>
      <c r="AZ470" s="282"/>
      <c r="BA470" s="282"/>
    </row>
    <row r="471" spans="1:53">
      <c r="A471" s="282"/>
      <c r="B471" s="282"/>
      <c r="C471" s="282"/>
      <c r="D471" s="282"/>
      <c r="E471" s="282"/>
      <c r="F471" s="282"/>
      <c r="G471" s="282"/>
      <c r="H471" s="282"/>
      <c r="I471" s="282"/>
      <c r="J471" s="282"/>
      <c r="K471" s="282"/>
      <c r="L471" s="282"/>
      <c r="M471" s="282"/>
      <c r="N471" s="282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  <c r="AC471" s="282"/>
      <c r="AD471" s="282"/>
      <c r="AE471" s="282"/>
      <c r="AF471" s="282"/>
      <c r="AG471" s="282"/>
      <c r="AH471" s="281"/>
      <c r="AI471" s="282"/>
      <c r="AJ471" s="282"/>
      <c r="AK471" s="282"/>
      <c r="AL471" s="282"/>
      <c r="AM471" s="282"/>
      <c r="AN471" s="282"/>
      <c r="AO471" s="282"/>
      <c r="AP471" s="282"/>
      <c r="AQ471" s="282"/>
      <c r="AR471" s="282"/>
      <c r="AS471" s="282"/>
      <c r="AT471" s="282"/>
      <c r="AU471" s="282"/>
      <c r="AV471" s="282"/>
      <c r="AW471" s="282"/>
      <c r="AX471" s="282"/>
      <c r="AY471" s="282"/>
      <c r="AZ471" s="282"/>
      <c r="BA471" s="282"/>
    </row>
    <row r="472" spans="1:53">
      <c r="A472" s="282"/>
      <c r="B472" s="282"/>
      <c r="C472" s="282"/>
      <c r="D472" s="282"/>
      <c r="E472" s="282"/>
      <c r="F472" s="282"/>
      <c r="G472" s="282"/>
      <c r="H472" s="282"/>
      <c r="I472" s="282"/>
      <c r="J472" s="282"/>
      <c r="K472" s="282"/>
      <c r="L472" s="282"/>
      <c r="M472" s="282"/>
      <c r="N472" s="282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  <c r="AC472" s="282"/>
      <c r="AD472" s="282"/>
      <c r="AE472" s="282"/>
      <c r="AF472" s="282"/>
      <c r="AG472" s="282"/>
      <c r="AH472" s="281"/>
      <c r="AI472" s="282"/>
      <c r="AJ472" s="282"/>
      <c r="AK472" s="282"/>
      <c r="AL472" s="282"/>
      <c r="AM472" s="282"/>
      <c r="AN472" s="282"/>
      <c r="AO472" s="282"/>
      <c r="AP472" s="282"/>
      <c r="AQ472" s="282"/>
      <c r="AR472" s="282"/>
      <c r="AS472" s="282"/>
      <c r="AT472" s="282"/>
      <c r="AU472" s="282"/>
      <c r="AV472" s="282"/>
      <c r="AW472" s="282"/>
      <c r="AX472" s="282"/>
      <c r="AY472" s="282"/>
      <c r="AZ472" s="282"/>
      <c r="BA472" s="282"/>
    </row>
    <row r="473" spans="1:53">
      <c r="A473" s="282"/>
      <c r="B473" s="282"/>
      <c r="C473" s="282"/>
      <c r="D473" s="282"/>
      <c r="E473" s="282"/>
      <c r="F473" s="282"/>
      <c r="G473" s="282"/>
      <c r="H473" s="282"/>
      <c r="I473" s="282"/>
      <c r="J473" s="282"/>
      <c r="K473" s="282"/>
      <c r="L473" s="282"/>
      <c r="M473" s="282"/>
      <c r="N473" s="282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  <c r="AC473" s="282"/>
      <c r="AD473" s="282"/>
      <c r="AE473" s="282"/>
      <c r="AF473" s="282"/>
      <c r="AG473" s="282"/>
      <c r="AH473" s="281"/>
      <c r="AI473" s="282"/>
      <c r="AJ473" s="282"/>
      <c r="AK473" s="282"/>
      <c r="AL473" s="282"/>
      <c r="AM473" s="282"/>
      <c r="AN473" s="282"/>
      <c r="AO473" s="282"/>
      <c r="AP473" s="282"/>
      <c r="AQ473" s="282"/>
      <c r="AR473" s="282"/>
      <c r="AS473" s="282"/>
      <c r="AT473" s="282"/>
      <c r="AU473" s="282"/>
      <c r="AV473" s="282"/>
      <c r="AW473" s="282"/>
      <c r="AX473" s="282"/>
      <c r="AY473" s="282"/>
      <c r="AZ473" s="282"/>
      <c r="BA473" s="282"/>
    </row>
    <row r="474" spans="1:53">
      <c r="A474" s="282"/>
      <c r="B474" s="282"/>
      <c r="C474" s="282"/>
      <c r="D474" s="282"/>
      <c r="E474" s="282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  <c r="AD474" s="282"/>
      <c r="AE474" s="282"/>
      <c r="AF474" s="282"/>
      <c r="AG474" s="282"/>
      <c r="AH474" s="281"/>
      <c r="AI474" s="282"/>
      <c r="AJ474" s="282"/>
      <c r="AK474" s="282"/>
      <c r="AL474" s="282"/>
      <c r="AM474" s="282"/>
      <c r="AN474" s="282"/>
      <c r="AO474" s="282"/>
      <c r="AP474" s="282"/>
      <c r="AQ474" s="282"/>
      <c r="AR474" s="282"/>
      <c r="AS474" s="282"/>
      <c r="AT474" s="282"/>
      <c r="AU474" s="282"/>
      <c r="AV474" s="282"/>
      <c r="AW474" s="282"/>
      <c r="AX474" s="282"/>
      <c r="AY474" s="282"/>
      <c r="AZ474" s="282"/>
      <c r="BA474" s="282"/>
    </row>
    <row r="475" spans="1:53">
      <c r="A475" s="282"/>
      <c r="B475" s="282"/>
      <c r="C475" s="282"/>
      <c r="D475" s="282"/>
      <c r="E475" s="282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  <c r="AD475" s="282"/>
      <c r="AE475" s="282"/>
      <c r="AF475" s="282"/>
      <c r="AG475" s="282"/>
      <c r="AH475" s="281"/>
      <c r="AI475" s="282"/>
      <c r="AJ475" s="282"/>
      <c r="AK475" s="282"/>
      <c r="AL475" s="282"/>
      <c r="AM475" s="282"/>
      <c r="AN475" s="282"/>
      <c r="AO475" s="282"/>
      <c r="AP475" s="282"/>
      <c r="AQ475" s="282"/>
      <c r="AR475" s="282"/>
      <c r="AS475" s="282"/>
      <c r="AT475" s="282"/>
      <c r="AU475" s="282"/>
      <c r="AV475" s="282"/>
      <c r="AW475" s="282"/>
      <c r="AX475" s="282"/>
      <c r="AY475" s="282"/>
      <c r="AZ475" s="282"/>
      <c r="BA475" s="282"/>
    </row>
    <row r="476" spans="1:53">
      <c r="A476" s="282"/>
      <c r="B476" s="282"/>
      <c r="C476" s="282"/>
      <c r="D476" s="282"/>
      <c r="E476" s="282"/>
      <c r="F476" s="282"/>
      <c r="G476" s="282"/>
      <c r="H476" s="282"/>
      <c r="I476" s="282"/>
      <c r="J476" s="282"/>
      <c r="K476" s="282"/>
      <c r="L476" s="282"/>
      <c r="M476" s="282"/>
      <c r="N476" s="282"/>
      <c r="O476" s="282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  <c r="AA476" s="282"/>
      <c r="AB476" s="282"/>
      <c r="AC476" s="282"/>
      <c r="AD476" s="282"/>
      <c r="AE476" s="282"/>
      <c r="AF476" s="282"/>
      <c r="AG476" s="282"/>
      <c r="AH476" s="281"/>
      <c r="AI476" s="282"/>
      <c r="AJ476" s="282"/>
      <c r="AK476" s="282"/>
      <c r="AL476" s="282"/>
      <c r="AM476" s="282"/>
      <c r="AN476" s="282"/>
      <c r="AO476" s="282"/>
      <c r="AP476" s="282"/>
      <c r="AQ476" s="282"/>
      <c r="AR476" s="282"/>
      <c r="AS476" s="282"/>
      <c r="AT476" s="282"/>
      <c r="AU476" s="282"/>
      <c r="AV476" s="282"/>
      <c r="AW476" s="282"/>
      <c r="AX476" s="282"/>
      <c r="AY476" s="282"/>
      <c r="AZ476" s="282"/>
      <c r="BA476" s="282"/>
    </row>
    <row r="477" spans="1:53">
      <c r="A477" s="282"/>
      <c r="B477" s="282"/>
      <c r="C477" s="282"/>
      <c r="D477" s="282"/>
      <c r="E477" s="282"/>
      <c r="F477" s="282"/>
      <c r="G477" s="282"/>
      <c r="H477" s="282"/>
      <c r="I477" s="282"/>
      <c r="J477" s="282"/>
      <c r="K477" s="282"/>
      <c r="L477" s="282"/>
      <c r="M477" s="282"/>
      <c r="N477" s="282"/>
      <c r="O477" s="282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  <c r="AA477" s="282"/>
      <c r="AB477" s="282"/>
      <c r="AC477" s="282"/>
      <c r="AD477" s="282"/>
      <c r="AE477" s="282"/>
      <c r="AF477" s="282"/>
      <c r="AG477" s="282"/>
      <c r="AH477" s="281"/>
      <c r="AI477" s="282"/>
      <c r="AJ477" s="282"/>
      <c r="AK477" s="282"/>
      <c r="AL477" s="282"/>
      <c r="AM477" s="282"/>
      <c r="AN477" s="282"/>
      <c r="AO477" s="282"/>
      <c r="AP477" s="282"/>
      <c r="AQ477" s="282"/>
      <c r="AR477" s="282"/>
      <c r="AS477" s="282"/>
      <c r="AT477" s="282"/>
      <c r="AU477" s="282"/>
      <c r="AV477" s="282"/>
      <c r="AW477" s="282"/>
      <c r="AX477" s="282"/>
      <c r="AY477" s="282"/>
      <c r="AZ477" s="282"/>
      <c r="BA477" s="282"/>
    </row>
    <row r="478" spans="1:53">
      <c r="A478" s="282"/>
      <c r="B478" s="282"/>
      <c r="C478" s="282"/>
      <c r="D478" s="282"/>
      <c r="E478" s="282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  <c r="AD478" s="282"/>
      <c r="AE478" s="282"/>
      <c r="AF478" s="282"/>
      <c r="AG478" s="282"/>
      <c r="AH478" s="281"/>
      <c r="AI478" s="282"/>
      <c r="AJ478" s="282"/>
      <c r="AK478" s="282"/>
      <c r="AL478" s="282"/>
      <c r="AM478" s="282"/>
      <c r="AN478" s="282"/>
      <c r="AO478" s="282"/>
      <c r="AP478" s="282"/>
      <c r="AQ478" s="282"/>
      <c r="AR478" s="282"/>
      <c r="AS478" s="282"/>
      <c r="AT478" s="282"/>
      <c r="AU478" s="282"/>
      <c r="AV478" s="282"/>
      <c r="AW478" s="282"/>
      <c r="AX478" s="282"/>
      <c r="AY478" s="282"/>
      <c r="AZ478" s="282"/>
      <c r="BA478" s="282"/>
    </row>
    <row r="479" spans="1:53">
      <c r="A479" s="282"/>
      <c r="B479" s="282"/>
      <c r="C479" s="282"/>
      <c r="D479" s="282"/>
      <c r="E479" s="282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  <c r="AD479" s="282"/>
      <c r="AE479" s="282"/>
      <c r="AF479" s="282"/>
      <c r="AG479" s="282"/>
      <c r="AH479" s="281"/>
      <c r="AI479" s="282"/>
      <c r="AJ479" s="282"/>
      <c r="AK479" s="282"/>
      <c r="AL479" s="282"/>
      <c r="AM479" s="282"/>
      <c r="AN479" s="282"/>
      <c r="AO479" s="282"/>
      <c r="AP479" s="282"/>
      <c r="AQ479" s="282"/>
      <c r="AR479" s="282"/>
      <c r="AS479" s="282"/>
      <c r="AT479" s="282"/>
      <c r="AU479" s="282"/>
      <c r="AV479" s="282"/>
      <c r="AW479" s="282"/>
      <c r="AX479" s="282"/>
      <c r="AY479" s="282"/>
      <c r="AZ479" s="282"/>
      <c r="BA479" s="282"/>
    </row>
    <row r="480" spans="1:53">
      <c r="A480" s="282"/>
      <c r="B480" s="282"/>
      <c r="C480" s="282"/>
      <c r="D480" s="282"/>
      <c r="E480" s="282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  <c r="AC480" s="282"/>
      <c r="AD480" s="282"/>
      <c r="AE480" s="282"/>
      <c r="AF480" s="282"/>
      <c r="AG480" s="282"/>
      <c r="AH480" s="281"/>
      <c r="AI480" s="282"/>
      <c r="AJ480" s="282"/>
      <c r="AK480" s="282"/>
      <c r="AL480" s="282"/>
      <c r="AM480" s="282"/>
      <c r="AN480" s="282"/>
      <c r="AO480" s="282"/>
      <c r="AP480" s="282"/>
      <c r="AQ480" s="282"/>
      <c r="AR480" s="282"/>
      <c r="AS480" s="282"/>
      <c r="AT480" s="282"/>
      <c r="AU480" s="282"/>
      <c r="AV480" s="282"/>
      <c r="AW480" s="282"/>
      <c r="AX480" s="282"/>
      <c r="AY480" s="282"/>
      <c r="AZ480" s="282"/>
      <c r="BA480" s="282"/>
    </row>
    <row r="481" spans="1:53">
      <c r="A481" s="282"/>
      <c r="B481" s="282"/>
      <c r="C481" s="282"/>
      <c r="D481" s="282"/>
      <c r="E481" s="282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  <c r="AA481" s="282"/>
      <c r="AB481" s="282"/>
      <c r="AC481" s="282"/>
      <c r="AD481" s="282"/>
      <c r="AE481" s="282"/>
      <c r="AF481" s="282"/>
      <c r="AG481" s="282"/>
      <c r="AH481" s="281"/>
      <c r="AI481" s="282"/>
      <c r="AJ481" s="282"/>
      <c r="AK481" s="282"/>
      <c r="AL481" s="282"/>
      <c r="AM481" s="282"/>
      <c r="AN481" s="282"/>
      <c r="AO481" s="282"/>
      <c r="AP481" s="282"/>
      <c r="AQ481" s="282"/>
      <c r="AR481" s="282"/>
      <c r="AS481" s="282"/>
      <c r="AT481" s="282"/>
      <c r="AU481" s="282"/>
      <c r="AV481" s="282"/>
      <c r="AW481" s="282"/>
      <c r="AX481" s="282"/>
      <c r="AY481" s="282"/>
      <c r="AZ481" s="282"/>
      <c r="BA481" s="282"/>
    </row>
    <row r="482" spans="1:53">
      <c r="A482" s="282"/>
      <c r="B482" s="282"/>
      <c r="C482" s="282"/>
      <c r="D482" s="282"/>
      <c r="E482" s="282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  <c r="AA482" s="282"/>
      <c r="AB482" s="282"/>
      <c r="AC482" s="282"/>
      <c r="AD482" s="282"/>
      <c r="AE482" s="282"/>
      <c r="AF482" s="282"/>
      <c r="AG482" s="282"/>
      <c r="AH482" s="281"/>
      <c r="AI482" s="282"/>
      <c r="AJ482" s="282"/>
      <c r="AK482" s="282"/>
      <c r="AL482" s="282"/>
      <c r="AM482" s="282"/>
      <c r="AN482" s="282"/>
      <c r="AO482" s="282"/>
      <c r="AP482" s="282"/>
      <c r="AQ482" s="282"/>
      <c r="AR482" s="282"/>
      <c r="AS482" s="282"/>
      <c r="AT482" s="282"/>
      <c r="AU482" s="282"/>
      <c r="AV482" s="282"/>
      <c r="AW482" s="282"/>
      <c r="AX482" s="282"/>
      <c r="AY482" s="282"/>
      <c r="AZ482" s="282"/>
      <c r="BA482" s="282"/>
    </row>
    <row r="483" spans="1:53">
      <c r="A483" s="282"/>
      <c r="B483" s="282"/>
      <c r="C483" s="282"/>
      <c r="D483" s="282"/>
      <c r="E483" s="282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  <c r="AA483" s="282"/>
      <c r="AB483" s="282"/>
      <c r="AC483" s="282"/>
      <c r="AD483" s="282"/>
      <c r="AE483" s="282"/>
      <c r="AF483" s="282"/>
      <c r="AG483" s="282"/>
      <c r="AH483" s="281"/>
      <c r="AI483" s="282"/>
      <c r="AJ483" s="282"/>
      <c r="AK483" s="282"/>
      <c r="AL483" s="282"/>
      <c r="AM483" s="282"/>
      <c r="AN483" s="282"/>
      <c r="AO483" s="282"/>
      <c r="AP483" s="282"/>
      <c r="AQ483" s="282"/>
      <c r="AR483" s="282"/>
      <c r="AS483" s="282"/>
      <c r="AT483" s="282"/>
      <c r="AU483" s="282"/>
      <c r="AV483" s="282"/>
      <c r="AW483" s="282"/>
      <c r="AX483" s="282"/>
      <c r="AY483" s="282"/>
      <c r="AZ483" s="282"/>
      <c r="BA483" s="282"/>
    </row>
    <row r="484" spans="1:53">
      <c r="A484" s="282"/>
      <c r="B484" s="282"/>
      <c r="C484" s="282"/>
      <c r="D484" s="282"/>
      <c r="E484" s="282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  <c r="AA484" s="282"/>
      <c r="AB484" s="282"/>
      <c r="AC484" s="282"/>
      <c r="AD484" s="282"/>
      <c r="AE484" s="282"/>
      <c r="AF484" s="282"/>
      <c r="AG484" s="282"/>
      <c r="AH484" s="281"/>
      <c r="AI484" s="282"/>
      <c r="AJ484" s="282"/>
      <c r="AK484" s="282"/>
      <c r="AL484" s="282"/>
      <c r="AM484" s="282"/>
      <c r="AN484" s="282"/>
      <c r="AO484" s="282"/>
      <c r="AP484" s="282"/>
      <c r="AQ484" s="282"/>
      <c r="AR484" s="282"/>
      <c r="AS484" s="282"/>
      <c r="AT484" s="282"/>
      <c r="AU484" s="282"/>
      <c r="AV484" s="282"/>
      <c r="AW484" s="282"/>
      <c r="AX484" s="282"/>
      <c r="AY484" s="282"/>
      <c r="AZ484" s="282"/>
      <c r="BA484" s="282"/>
    </row>
    <row r="485" spans="1:53">
      <c r="A485" s="282"/>
      <c r="B485" s="282"/>
      <c r="C485" s="282"/>
      <c r="D485" s="282"/>
      <c r="E485" s="282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  <c r="AA485" s="282"/>
      <c r="AB485" s="282"/>
      <c r="AC485" s="282"/>
      <c r="AD485" s="282"/>
      <c r="AE485" s="282"/>
      <c r="AF485" s="282"/>
      <c r="AG485" s="282"/>
      <c r="AH485" s="281"/>
      <c r="AI485" s="282"/>
      <c r="AJ485" s="282"/>
      <c r="AK485" s="282"/>
      <c r="AL485" s="282"/>
      <c r="AM485" s="282"/>
      <c r="AN485" s="282"/>
      <c r="AO485" s="282"/>
      <c r="AP485" s="282"/>
      <c r="AQ485" s="282"/>
      <c r="AR485" s="282"/>
      <c r="AS485" s="282"/>
      <c r="AT485" s="282"/>
      <c r="AU485" s="282"/>
      <c r="AV485" s="282"/>
      <c r="AW485" s="282"/>
      <c r="AX485" s="282"/>
      <c r="AY485" s="282"/>
      <c r="AZ485" s="282"/>
      <c r="BA485" s="282"/>
    </row>
    <row r="486" spans="1:53">
      <c r="A486" s="282"/>
      <c r="B486" s="282"/>
      <c r="C486" s="282"/>
      <c r="D486" s="282"/>
      <c r="E486" s="282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  <c r="AA486" s="282"/>
      <c r="AB486" s="282"/>
      <c r="AC486" s="282"/>
      <c r="AD486" s="282"/>
      <c r="AE486" s="282"/>
      <c r="AF486" s="282"/>
      <c r="AG486" s="282"/>
      <c r="AH486" s="281"/>
      <c r="AI486" s="282"/>
      <c r="AJ486" s="282"/>
      <c r="AK486" s="282"/>
      <c r="AL486" s="282"/>
      <c r="AM486" s="282"/>
      <c r="AN486" s="282"/>
      <c r="AO486" s="282"/>
      <c r="AP486" s="282"/>
      <c r="AQ486" s="282"/>
      <c r="AR486" s="282"/>
      <c r="AS486" s="282"/>
      <c r="AT486" s="282"/>
      <c r="AU486" s="282"/>
      <c r="AV486" s="282"/>
      <c r="AW486" s="282"/>
      <c r="AX486" s="282"/>
      <c r="AY486" s="282"/>
      <c r="AZ486" s="282"/>
      <c r="BA486" s="282"/>
    </row>
    <row r="487" spans="1:53">
      <c r="A487" s="282"/>
      <c r="B487" s="282"/>
      <c r="C487" s="282"/>
      <c r="D487" s="282"/>
      <c r="E487" s="282"/>
      <c r="F487" s="282"/>
      <c r="G487" s="282"/>
      <c r="H487" s="282"/>
      <c r="I487" s="282"/>
      <c r="J487" s="282"/>
      <c r="K487" s="282"/>
      <c r="L487" s="282"/>
      <c r="M487" s="282"/>
      <c r="N487" s="282"/>
      <c r="O487" s="282"/>
      <c r="P487" s="282"/>
      <c r="Q487" s="282"/>
      <c r="R487" s="282"/>
      <c r="S487" s="282"/>
      <c r="T487" s="282"/>
      <c r="U487" s="282"/>
      <c r="V487" s="282"/>
      <c r="W487" s="282"/>
      <c r="X487" s="282"/>
      <c r="Y487" s="282"/>
      <c r="Z487" s="282"/>
      <c r="AA487" s="282"/>
      <c r="AB487" s="282"/>
      <c r="AC487" s="282"/>
      <c r="AD487" s="282"/>
      <c r="AE487" s="282"/>
      <c r="AF487" s="282"/>
      <c r="AG487" s="282"/>
      <c r="AH487" s="281"/>
      <c r="AI487" s="282"/>
      <c r="AJ487" s="282"/>
      <c r="AK487" s="282"/>
      <c r="AL487" s="282"/>
      <c r="AM487" s="282"/>
      <c r="AN487" s="282"/>
      <c r="AO487" s="282"/>
      <c r="AP487" s="282"/>
      <c r="AQ487" s="282"/>
      <c r="AR487" s="282"/>
      <c r="AS487" s="282"/>
      <c r="AT487" s="282"/>
      <c r="AU487" s="282"/>
      <c r="AV487" s="282"/>
      <c r="AW487" s="282"/>
      <c r="AX487" s="282"/>
      <c r="AY487" s="282"/>
      <c r="AZ487" s="282"/>
      <c r="BA487" s="282"/>
    </row>
    <row r="488" spans="1:53">
      <c r="A488" s="282"/>
      <c r="B488" s="282"/>
      <c r="C488" s="282"/>
      <c r="D488" s="282"/>
      <c r="E488" s="282"/>
      <c r="F488" s="282"/>
      <c r="G488" s="282"/>
      <c r="H488" s="282"/>
      <c r="I488" s="282"/>
      <c r="J488" s="282"/>
      <c r="K488" s="282"/>
      <c r="L488" s="282"/>
      <c r="M488" s="282"/>
      <c r="N488" s="282"/>
      <c r="O488" s="282"/>
      <c r="P488" s="282"/>
      <c r="Q488" s="282"/>
      <c r="R488" s="282"/>
      <c r="S488" s="282"/>
      <c r="T488" s="282"/>
      <c r="U488" s="282"/>
      <c r="V488" s="282"/>
      <c r="W488" s="282"/>
      <c r="X488" s="282"/>
      <c r="Y488" s="282"/>
      <c r="Z488" s="282"/>
      <c r="AA488" s="282"/>
      <c r="AB488" s="282"/>
      <c r="AC488" s="282"/>
      <c r="AD488" s="282"/>
      <c r="AE488" s="282"/>
      <c r="AF488" s="282"/>
      <c r="AG488" s="282"/>
      <c r="AH488" s="281"/>
      <c r="AI488" s="282"/>
      <c r="AJ488" s="282"/>
      <c r="AK488" s="282"/>
      <c r="AL488" s="282"/>
      <c r="AM488" s="282"/>
      <c r="AN488" s="282"/>
      <c r="AO488" s="282"/>
      <c r="AP488" s="282"/>
      <c r="AQ488" s="282"/>
      <c r="AR488" s="282"/>
      <c r="AS488" s="282"/>
      <c r="AT488" s="282"/>
      <c r="AU488" s="282"/>
      <c r="AV488" s="282"/>
      <c r="AW488" s="282"/>
      <c r="AX488" s="282"/>
      <c r="AY488" s="282"/>
      <c r="AZ488" s="282"/>
      <c r="BA488" s="282"/>
    </row>
    <row r="489" spans="1:53">
      <c r="A489" s="282"/>
      <c r="B489" s="282"/>
      <c r="C489" s="282"/>
      <c r="D489" s="282"/>
      <c r="E489" s="282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  <c r="AA489" s="282"/>
      <c r="AB489" s="282"/>
      <c r="AC489" s="282"/>
      <c r="AD489" s="282"/>
      <c r="AE489" s="282"/>
      <c r="AF489" s="282"/>
      <c r="AG489" s="282"/>
      <c r="AH489" s="281"/>
      <c r="AI489" s="282"/>
      <c r="AJ489" s="282"/>
      <c r="AK489" s="282"/>
      <c r="AL489" s="282"/>
      <c r="AM489" s="282"/>
      <c r="AN489" s="282"/>
      <c r="AO489" s="282"/>
      <c r="AP489" s="282"/>
      <c r="AQ489" s="282"/>
      <c r="AR489" s="282"/>
      <c r="AS489" s="282"/>
      <c r="AT489" s="282"/>
      <c r="AU489" s="282"/>
      <c r="AV489" s="282"/>
      <c r="AW489" s="282"/>
      <c r="AX489" s="282"/>
      <c r="AY489" s="282"/>
      <c r="AZ489" s="282"/>
      <c r="BA489" s="282"/>
    </row>
    <row r="490" spans="1:53">
      <c r="A490" s="282"/>
      <c r="B490" s="282"/>
      <c r="C490" s="282"/>
      <c r="D490" s="282"/>
      <c r="E490" s="282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  <c r="AA490" s="282"/>
      <c r="AB490" s="282"/>
      <c r="AC490" s="282"/>
      <c r="AD490" s="282"/>
      <c r="AE490" s="282"/>
      <c r="AF490" s="282"/>
      <c r="AG490" s="282"/>
      <c r="AH490" s="281"/>
      <c r="AI490" s="282"/>
      <c r="AJ490" s="282"/>
      <c r="AK490" s="282"/>
      <c r="AL490" s="282"/>
      <c r="AM490" s="282"/>
      <c r="AN490" s="282"/>
      <c r="AO490" s="282"/>
      <c r="AP490" s="282"/>
      <c r="AQ490" s="282"/>
      <c r="AR490" s="282"/>
      <c r="AS490" s="282"/>
      <c r="AT490" s="282"/>
      <c r="AU490" s="282"/>
      <c r="AV490" s="282"/>
      <c r="AW490" s="282"/>
      <c r="AX490" s="282"/>
      <c r="AY490" s="282"/>
      <c r="AZ490" s="282"/>
      <c r="BA490" s="282"/>
    </row>
    <row r="491" spans="1:53">
      <c r="A491" s="282"/>
      <c r="B491" s="282"/>
      <c r="C491" s="282"/>
      <c r="D491" s="282"/>
      <c r="E491" s="282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  <c r="AA491" s="282"/>
      <c r="AB491" s="282"/>
      <c r="AC491" s="282"/>
      <c r="AD491" s="282"/>
      <c r="AE491" s="282"/>
      <c r="AF491" s="282"/>
      <c r="AG491" s="282"/>
      <c r="AH491" s="281"/>
      <c r="AI491" s="282"/>
      <c r="AJ491" s="282"/>
      <c r="AK491" s="282"/>
      <c r="AL491" s="282"/>
      <c r="AM491" s="282"/>
      <c r="AN491" s="282"/>
      <c r="AO491" s="282"/>
      <c r="AP491" s="282"/>
      <c r="AQ491" s="282"/>
      <c r="AR491" s="282"/>
      <c r="AS491" s="282"/>
      <c r="AT491" s="282"/>
      <c r="AU491" s="282"/>
      <c r="AV491" s="282"/>
      <c r="AW491" s="282"/>
      <c r="AX491" s="282"/>
      <c r="AY491" s="282"/>
      <c r="AZ491" s="282"/>
      <c r="BA491" s="282"/>
    </row>
    <row r="492" spans="1:53">
      <c r="A492" s="282"/>
      <c r="B492" s="282"/>
      <c r="C492" s="282"/>
      <c r="D492" s="282"/>
      <c r="E492" s="282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  <c r="AA492" s="282"/>
      <c r="AB492" s="282"/>
      <c r="AC492" s="282"/>
      <c r="AD492" s="282"/>
      <c r="AE492" s="282"/>
      <c r="AF492" s="282"/>
      <c r="AG492" s="282"/>
      <c r="AH492" s="281"/>
      <c r="AI492" s="282"/>
      <c r="AJ492" s="282"/>
      <c r="AK492" s="282"/>
      <c r="AL492" s="282"/>
      <c r="AM492" s="282"/>
      <c r="AN492" s="282"/>
      <c r="AO492" s="282"/>
      <c r="AP492" s="282"/>
      <c r="AQ492" s="282"/>
      <c r="AR492" s="282"/>
      <c r="AS492" s="282"/>
      <c r="AT492" s="282"/>
      <c r="AU492" s="282"/>
      <c r="AV492" s="282"/>
      <c r="AW492" s="282"/>
      <c r="AX492" s="282"/>
      <c r="AY492" s="282"/>
      <c r="AZ492" s="282"/>
      <c r="BA492" s="282"/>
    </row>
    <row r="493" spans="1:53">
      <c r="A493" s="282"/>
      <c r="B493" s="282"/>
      <c r="C493" s="282"/>
      <c r="D493" s="282"/>
      <c r="E493" s="282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  <c r="AA493" s="282"/>
      <c r="AB493" s="282"/>
      <c r="AC493" s="282"/>
      <c r="AD493" s="282"/>
      <c r="AE493" s="282"/>
      <c r="AF493" s="282"/>
      <c r="AG493" s="282"/>
      <c r="AH493" s="281"/>
      <c r="AI493" s="282"/>
      <c r="AJ493" s="282"/>
      <c r="AK493" s="282"/>
      <c r="AL493" s="282"/>
      <c r="AM493" s="282"/>
      <c r="AN493" s="282"/>
      <c r="AO493" s="282"/>
      <c r="AP493" s="282"/>
      <c r="AQ493" s="282"/>
      <c r="AR493" s="282"/>
      <c r="AS493" s="282"/>
      <c r="AT493" s="282"/>
      <c r="AU493" s="282"/>
      <c r="AV493" s="282"/>
      <c r="AW493" s="282"/>
      <c r="AX493" s="282"/>
      <c r="AY493" s="282"/>
      <c r="AZ493" s="282"/>
      <c r="BA493" s="282"/>
    </row>
    <row r="494" spans="1:53">
      <c r="A494" s="282"/>
      <c r="B494" s="282"/>
      <c r="C494" s="282"/>
      <c r="D494" s="282"/>
      <c r="E494" s="282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  <c r="AA494" s="282"/>
      <c r="AB494" s="282"/>
      <c r="AC494" s="282"/>
      <c r="AD494" s="282"/>
      <c r="AE494" s="282"/>
      <c r="AF494" s="282"/>
      <c r="AG494" s="282"/>
      <c r="AH494" s="281"/>
      <c r="AI494" s="282"/>
      <c r="AJ494" s="282"/>
      <c r="AK494" s="282"/>
      <c r="AL494" s="282"/>
      <c r="AM494" s="282"/>
      <c r="AN494" s="282"/>
      <c r="AO494" s="282"/>
      <c r="AP494" s="282"/>
      <c r="AQ494" s="282"/>
      <c r="AR494" s="282"/>
      <c r="AS494" s="282"/>
      <c r="AT494" s="282"/>
      <c r="AU494" s="282"/>
      <c r="AV494" s="282"/>
      <c r="AW494" s="282"/>
      <c r="AX494" s="282"/>
      <c r="AY494" s="282"/>
      <c r="AZ494" s="282"/>
      <c r="BA494" s="282"/>
    </row>
    <row r="495" spans="1:53">
      <c r="A495" s="282"/>
      <c r="B495" s="282"/>
      <c r="C495" s="282"/>
      <c r="D495" s="282"/>
      <c r="E495" s="282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  <c r="AA495" s="282"/>
      <c r="AB495" s="282"/>
      <c r="AC495" s="282"/>
      <c r="AD495" s="282"/>
      <c r="AE495" s="282"/>
      <c r="AF495" s="282"/>
      <c r="AG495" s="282"/>
      <c r="AH495" s="281"/>
      <c r="AI495" s="282"/>
      <c r="AJ495" s="282"/>
      <c r="AK495" s="282"/>
      <c r="AL495" s="282"/>
      <c r="AM495" s="282"/>
      <c r="AN495" s="282"/>
      <c r="AO495" s="282"/>
      <c r="AP495" s="282"/>
      <c r="AQ495" s="282"/>
      <c r="AR495" s="282"/>
      <c r="AS495" s="282"/>
      <c r="AT495" s="282"/>
      <c r="AU495" s="282"/>
      <c r="AV495" s="282"/>
      <c r="AW495" s="282"/>
      <c r="AX495" s="282"/>
      <c r="AY495" s="282"/>
      <c r="AZ495" s="282"/>
      <c r="BA495" s="282"/>
    </row>
    <row r="496" spans="1:53">
      <c r="A496" s="282"/>
      <c r="B496" s="282"/>
      <c r="C496" s="282"/>
      <c r="D496" s="282"/>
      <c r="E496" s="282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  <c r="AA496" s="282"/>
      <c r="AB496" s="282"/>
      <c r="AC496" s="282"/>
      <c r="AD496" s="282"/>
      <c r="AE496" s="282"/>
      <c r="AF496" s="282"/>
      <c r="AG496" s="282"/>
      <c r="AH496" s="281"/>
      <c r="AI496" s="282"/>
      <c r="AJ496" s="282"/>
      <c r="AK496" s="282"/>
      <c r="AL496" s="282"/>
      <c r="AM496" s="282"/>
      <c r="AN496" s="282"/>
      <c r="AO496" s="282"/>
      <c r="AP496" s="282"/>
      <c r="AQ496" s="282"/>
      <c r="AR496" s="282"/>
      <c r="AS496" s="282"/>
      <c r="AT496" s="282"/>
      <c r="AU496" s="282"/>
      <c r="AV496" s="282"/>
      <c r="AW496" s="282"/>
      <c r="AX496" s="282"/>
      <c r="AY496" s="282"/>
      <c r="AZ496" s="282"/>
      <c r="BA496" s="282"/>
    </row>
    <row r="497" spans="1:53">
      <c r="A497" s="282"/>
      <c r="B497" s="282"/>
      <c r="C497" s="282"/>
      <c r="D497" s="282"/>
      <c r="E497" s="282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  <c r="AA497" s="282"/>
      <c r="AB497" s="282"/>
      <c r="AC497" s="282"/>
      <c r="AD497" s="282"/>
      <c r="AE497" s="282"/>
      <c r="AF497" s="282"/>
      <c r="AG497" s="282"/>
      <c r="AH497" s="281"/>
      <c r="AI497" s="282"/>
      <c r="AJ497" s="282"/>
      <c r="AK497" s="282"/>
      <c r="AL497" s="282"/>
      <c r="AM497" s="282"/>
      <c r="AN497" s="282"/>
      <c r="AO497" s="282"/>
      <c r="AP497" s="282"/>
      <c r="AQ497" s="282"/>
      <c r="AR497" s="282"/>
      <c r="AS497" s="282"/>
      <c r="AT497" s="282"/>
      <c r="AU497" s="282"/>
      <c r="AV497" s="282"/>
      <c r="AW497" s="282"/>
      <c r="AX497" s="282"/>
      <c r="AY497" s="282"/>
      <c r="AZ497" s="282"/>
      <c r="BA497" s="282"/>
    </row>
    <row r="498" spans="1:53">
      <c r="A498" s="282"/>
      <c r="B498" s="282"/>
      <c r="C498" s="282"/>
      <c r="D498" s="282"/>
      <c r="E498" s="282"/>
      <c r="F498" s="282"/>
      <c r="G498" s="282"/>
      <c r="H498" s="282"/>
      <c r="I498" s="282"/>
      <c r="J498" s="282"/>
      <c r="K498" s="282"/>
      <c r="L498" s="282"/>
      <c r="M498" s="282"/>
      <c r="N498" s="282"/>
      <c r="O498" s="282"/>
      <c r="P498" s="282"/>
      <c r="Q498" s="282"/>
      <c r="R498" s="282"/>
      <c r="S498" s="282"/>
      <c r="T498" s="282"/>
      <c r="U498" s="282"/>
      <c r="V498" s="282"/>
      <c r="W498" s="282"/>
      <c r="X498" s="282"/>
      <c r="Y498" s="282"/>
      <c r="Z498" s="282"/>
      <c r="AA498" s="282"/>
      <c r="AB498" s="282"/>
      <c r="AC498" s="282"/>
      <c r="AD498" s="282"/>
      <c r="AE498" s="282"/>
      <c r="AF498" s="282"/>
      <c r="AG498" s="282"/>
      <c r="AH498" s="281"/>
      <c r="AI498" s="282"/>
      <c r="AJ498" s="282"/>
      <c r="AK498" s="282"/>
      <c r="AL498" s="282"/>
      <c r="AM498" s="282"/>
      <c r="AN498" s="282"/>
      <c r="AO498" s="282"/>
      <c r="AP498" s="282"/>
      <c r="AQ498" s="282"/>
      <c r="AR498" s="282"/>
      <c r="AS498" s="282"/>
      <c r="AT498" s="282"/>
      <c r="AU498" s="282"/>
      <c r="AV498" s="282"/>
      <c r="AW498" s="282"/>
      <c r="AX498" s="282"/>
      <c r="AY498" s="282"/>
      <c r="AZ498" s="282"/>
      <c r="BA498" s="282"/>
    </row>
    <row r="499" spans="1:53">
      <c r="A499" s="282"/>
      <c r="B499" s="282"/>
      <c r="C499" s="282"/>
      <c r="D499" s="282"/>
      <c r="E499" s="282"/>
      <c r="F499" s="282"/>
      <c r="G499" s="282"/>
      <c r="H499" s="282"/>
      <c r="I499" s="282"/>
      <c r="J499" s="282"/>
      <c r="K499" s="282"/>
      <c r="L499" s="282"/>
      <c r="M499" s="282"/>
      <c r="N499" s="282"/>
      <c r="O499" s="282"/>
      <c r="P499" s="282"/>
      <c r="Q499" s="282"/>
      <c r="R499" s="282"/>
      <c r="S499" s="282"/>
      <c r="T499" s="282"/>
      <c r="U499" s="282"/>
      <c r="V499" s="282"/>
      <c r="W499" s="282"/>
      <c r="X499" s="282"/>
      <c r="Y499" s="282"/>
      <c r="Z499" s="282"/>
      <c r="AA499" s="282"/>
      <c r="AB499" s="282"/>
      <c r="AC499" s="282"/>
      <c r="AD499" s="282"/>
      <c r="AE499" s="282"/>
      <c r="AF499" s="282"/>
      <c r="AG499" s="282"/>
      <c r="AH499" s="281"/>
      <c r="AI499" s="282"/>
      <c r="AJ499" s="282"/>
      <c r="AK499" s="282"/>
      <c r="AL499" s="282"/>
      <c r="AM499" s="282"/>
      <c r="AN499" s="282"/>
      <c r="AO499" s="282"/>
      <c r="AP499" s="282"/>
      <c r="AQ499" s="282"/>
      <c r="AR499" s="282"/>
      <c r="AS499" s="282"/>
      <c r="AT499" s="282"/>
      <c r="AU499" s="282"/>
      <c r="AV499" s="282"/>
      <c r="AW499" s="282"/>
      <c r="AX499" s="282"/>
      <c r="AY499" s="282"/>
      <c r="AZ499" s="282"/>
      <c r="BA499" s="282"/>
    </row>
    <row r="500" spans="1:53">
      <c r="A500" s="282"/>
      <c r="B500" s="282"/>
      <c r="C500" s="282"/>
      <c r="D500" s="282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  <c r="AC500" s="282"/>
      <c r="AD500" s="282"/>
      <c r="AE500" s="282"/>
      <c r="AF500" s="282"/>
      <c r="AG500" s="282"/>
      <c r="AH500" s="281"/>
      <c r="AI500" s="282"/>
      <c r="AJ500" s="282"/>
      <c r="AK500" s="282"/>
      <c r="AL500" s="282"/>
      <c r="AM500" s="282"/>
      <c r="AN500" s="282"/>
      <c r="AO500" s="282"/>
      <c r="AP500" s="282"/>
      <c r="AQ500" s="282"/>
      <c r="AR500" s="282"/>
      <c r="AS500" s="282"/>
      <c r="AT500" s="282"/>
      <c r="AU500" s="282"/>
      <c r="AV500" s="282"/>
      <c r="AW500" s="282"/>
      <c r="AX500" s="282"/>
      <c r="AY500" s="282"/>
      <c r="AZ500" s="282"/>
      <c r="BA500" s="282"/>
    </row>
    <row r="501" spans="1:53">
      <c r="A501" s="282"/>
      <c r="B501" s="282"/>
      <c r="C501" s="282"/>
      <c r="D501" s="282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  <c r="AC501" s="282"/>
      <c r="AD501" s="282"/>
      <c r="AE501" s="282"/>
      <c r="AF501" s="282"/>
      <c r="AG501" s="282"/>
      <c r="AH501" s="281"/>
      <c r="AI501" s="282"/>
      <c r="AJ501" s="282"/>
      <c r="AK501" s="282"/>
      <c r="AL501" s="282"/>
      <c r="AM501" s="282"/>
      <c r="AN501" s="282"/>
      <c r="AO501" s="282"/>
      <c r="AP501" s="282"/>
      <c r="AQ501" s="282"/>
      <c r="AR501" s="282"/>
      <c r="AS501" s="282"/>
      <c r="AT501" s="282"/>
      <c r="AU501" s="282"/>
      <c r="AV501" s="282"/>
      <c r="AW501" s="282"/>
      <c r="AX501" s="282"/>
      <c r="AY501" s="282"/>
      <c r="AZ501" s="282"/>
      <c r="BA501" s="282"/>
    </row>
    <row r="502" spans="1:53">
      <c r="A502" s="282"/>
      <c r="B502" s="282"/>
      <c r="C502" s="282"/>
      <c r="D502" s="282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  <c r="AC502" s="282"/>
      <c r="AD502" s="282"/>
      <c r="AE502" s="282"/>
      <c r="AF502" s="282"/>
      <c r="AG502" s="282"/>
      <c r="AH502" s="281"/>
      <c r="AI502" s="282"/>
      <c r="AJ502" s="282"/>
      <c r="AK502" s="282"/>
      <c r="AL502" s="282"/>
      <c r="AM502" s="282"/>
      <c r="AN502" s="282"/>
      <c r="AO502" s="282"/>
      <c r="AP502" s="282"/>
      <c r="AQ502" s="282"/>
      <c r="AR502" s="282"/>
      <c r="AS502" s="282"/>
      <c r="AT502" s="282"/>
      <c r="AU502" s="282"/>
      <c r="AV502" s="282"/>
      <c r="AW502" s="282"/>
      <c r="AX502" s="282"/>
      <c r="AY502" s="282"/>
      <c r="AZ502" s="282"/>
      <c r="BA502" s="282"/>
    </row>
    <row r="503" spans="1:53">
      <c r="A503" s="282"/>
      <c r="B503" s="282"/>
      <c r="C503" s="282"/>
      <c r="D503" s="282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  <c r="AC503" s="282"/>
      <c r="AD503" s="282"/>
      <c r="AE503" s="282"/>
      <c r="AF503" s="282"/>
      <c r="AG503" s="282"/>
      <c r="AH503" s="281"/>
      <c r="AI503" s="282"/>
      <c r="AJ503" s="282"/>
      <c r="AK503" s="282"/>
      <c r="AL503" s="282"/>
      <c r="AM503" s="282"/>
      <c r="AN503" s="282"/>
      <c r="AO503" s="282"/>
      <c r="AP503" s="282"/>
      <c r="AQ503" s="282"/>
      <c r="AR503" s="282"/>
      <c r="AS503" s="282"/>
      <c r="AT503" s="282"/>
      <c r="AU503" s="282"/>
      <c r="AV503" s="282"/>
      <c r="AW503" s="282"/>
      <c r="AX503" s="282"/>
      <c r="AY503" s="282"/>
      <c r="AZ503" s="282"/>
      <c r="BA503" s="282"/>
    </row>
    <row r="504" spans="1:53">
      <c r="A504" s="282"/>
      <c r="B504" s="282"/>
      <c r="C504" s="282"/>
      <c r="D504" s="282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  <c r="AC504" s="282"/>
      <c r="AD504" s="282"/>
      <c r="AE504" s="282"/>
      <c r="AF504" s="282"/>
      <c r="AG504" s="282"/>
      <c r="AH504" s="281"/>
      <c r="AI504" s="282"/>
      <c r="AJ504" s="282"/>
      <c r="AK504" s="282"/>
      <c r="AL504" s="282"/>
      <c r="AM504" s="282"/>
      <c r="AN504" s="282"/>
      <c r="AO504" s="282"/>
      <c r="AP504" s="282"/>
      <c r="AQ504" s="282"/>
      <c r="AR504" s="282"/>
      <c r="AS504" s="282"/>
      <c r="AT504" s="282"/>
      <c r="AU504" s="282"/>
      <c r="AV504" s="282"/>
      <c r="AW504" s="282"/>
      <c r="AX504" s="282"/>
      <c r="AY504" s="282"/>
      <c r="AZ504" s="282"/>
      <c r="BA504" s="282"/>
    </row>
    <row r="505" spans="1:53">
      <c r="A505" s="282"/>
      <c r="B505" s="282"/>
      <c r="C505" s="282"/>
      <c r="D505" s="282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  <c r="AC505" s="282"/>
      <c r="AD505" s="282"/>
      <c r="AE505" s="282"/>
      <c r="AF505" s="282"/>
      <c r="AG505" s="282"/>
      <c r="AH505" s="281"/>
      <c r="AI505" s="282"/>
      <c r="AJ505" s="282"/>
      <c r="AK505" s="282"/>
      <c r="AL505" s="282"/>
      <c r="AM505" s="282"/>
      <c r="AN505" s="282"/>
      <c r="AO505" s="282"/>
      <c r="AP505" s="282"/>
      <c r="AQ505" s="282"/>
      <c r="AR505" s="282"/>
      <c r="AS505" s="282"/>
      <c r="AT505" s="282"/>
      <c r="AU505" s="282"/>
      <c r="AV505" s="282"/>
      <c r="AW505" s="282"/>
      <c r="AX505" s="282"/>
      <c r="AY505" s="282"/>
      <c r="AZ505" s="282"/>
      <c r="BA505" s="282"/>
    </row>
    <row r="506" spans="1:53">
      <c r="A506" s="282"/>
      <c r="B506" s="282"/>
      <c r="C506" s="282"/>
      <c r="D506" s="282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  <c r="AC506" s="282"/>
      <c r="AD506" s="282"/>
      <c r="AE506" s="282"/>
      <c r="AF506" s="282"/>
      <c r="AG506" s="282"/>
      <c r="AH506" s="281"/>
      <c r="AI506" s="282"/>
      <c r="AJ506" s="282"/>
      <c r="AK506" s="282"/>
      <c r="AL506" s="282"/>
      <c r="AM506" s="282"/>
      <c r="AN506" s="282"/>
      <c r="AO506" s="282"/>
      <c r="AP506" s="282"/>
      <c r="AQ506" s="282"/>
      <c r="AR506" s="282"/>
      <c r="AS506" s="282"/>
      <c r="AT506" s="282"/>
      <c r="AU506" s="282"/>
      <c r="AV506" s="282"/>
      <c r="AW506" s="282"/>
      <c r="AX506" s="282"/>
      <c r="AY506" s="282"/>
      <c r="AZ506" s="282"/>
      <c r="BA506" s="282"/>
    </row>
    <row r="507" spans="1:53">
      <c r="A507" s="282"/>
      <c r="B507" s="282"/>
      <c r="C507" s="282"/>
      <c r="D507" s="282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  <c r="AC507" s="282"/>
      <c r="AD507" s="282"/>
      <c r="AE507" s="282"/>
      <c r="AF507" s="282"/>
      <c r="AG507" s="282"/>
      <c r="AH507" s="281"/>
      <c r="AI507" s="282"/>
      <c r="AJ507" s="282"/>
      <c r="AK507" s="282"/>
      <c r="AL507" s="282"/>
      <c r="AM507" s="282"/>
      <c r="AN507" s="282"/>
      <c r="AO507" s="282"/>
      <c r="AP507" s="282"/>
      <c r="AQ507" s="282"/>
      <c r="AR507" s="282"/>
      <c r="AS507" s="282"/>
      <c r="AT507" s="282"/>
      <c r="AU507" s="282"/>
      <c r="AV507" s="282"/>
      <c r="AW507" s="282"/>
      <c r="AX507" s="282"/>
      <c r="AY507" s="282"/>
      <c r="AZ507" s="282"/>
      <c r="BA507" s="282"/>
    </row>
    <row r="508" spans="1:53">
      <c r="A508" s="282"/>
      <c r="B508" s="282"/>
      <c r="C508" s="282"/>
      <c r="D508" s="282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  <c r="AC508" s="282"/>
      <c r="AD508" s="282"/>
      <c r="AE508" s="282"/>
      <c r="AF508" s="282"/>
      <c r="AG508" s="282"/>
      <c r="AH508" s="281"/>
      <c r="AI508" s="282"/>
      <c r="AJ508" s="282"/>
      <c r="AK508" s="282"/>
      <c r="AL508" s="282"/>
      <c r="AM508" s="282"/>
      <c r="AN508" s="282"/>
      <c r="AO508" s="282"/>
      <c r="AP508" s="282"/>
      <c r="AQ508" s="282"/>
      <c r="AR508" s="282"/>
      <c r="AS508" s="282"/>
      <c r="AT508" s="282"/>
      <c r="AU508" s="282"/>
      <c r="AV508" s="282"/>
      <c r="AW508" s="282"/>
      <c r="AX508" s="282"/>
      <c r="AY508" s="282"/>
      <c r="AZ508" s="282"/>
      <c r="BA508" s="282"/>
    </row>
    <row r="509" spans="1:53">
      <c r="A509" s="282"/>
      <c r="B509" s="282"/>
      <c r="C509" s="282"/>
      <c r="D509" s="282"/>
      <c r="E509" s="282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  <c r="AA509" s="282"/>
      <c r="AB509" s="282"/>
      <c r="AC509" s="282"/>
      <c r="AD509" s="282"/>
      <c r="AE509" s="282"/>
      <c r="AF509" s="282"/>
      <c r="AG509" s="282"/>
      <c r="AH509" s="281"/>
      <c r="AI509" s="282"/>
      <c r="AJ509" s="282"/>
      <c r="AK509" s="282"/>
      <c r="AL509" s="282"/>
      <c r="AM509" s="282"/>
      <c r="AN509" s="282"/>
      <c r="AO509" s="282"/>
      <c r="AP509" s="282"/>
      <c r="AQ509" s="282"/>
      <c r="AR509" s="282"/>
      <c r="AS509" s="282"/>
      <c r="AT509" s="282"/>
      <c r="AU509" s="282"/>
      <c r="AV509" s="282"/>
      <c r="AW509" s="282"/>
      <c r="AX509" s="282"/>
      <c r="AY509" s="282"/>
      <c r="AZ509" s="282"/>
      <c r="BA509" s="282"/>
    </row>
    <row r="510" spans="1:53">
      <c r="A510" s="282"/>
      <c r="B510" s="282"/>
      <c r="C510" s="282"/>
      <c r="D510" s="282"/>
      <c r="E510" s="282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  <c r="AA510" s="282"/>
      <c r="AB510" s="282"/>
      <c r="AC510" s="282"/>
      <c r="AD510" s="282"/>
      <c r="AE510" s="282"/>
      <c r="AF510" s="282"/>
      <c r="AG510" s="282"/>
      <c r="AH510" s="281"/>
      <c r="AI510" s="282"/>
      <c r="AJ510" s="282"/>
      <c r="AK510" s="282"/>
      <c r="AL510" s="282"/>
      <c r="AM510" s="282"/>
      <c r="AN510" s="282"/>
      <c r="AO510" s="282"/>
      <c r="AP510" s="282"/>
      <c r="AQ510" s="282"/>
      <c r="AR510" s="282"/>
      <c r="AS510" s="282"/>
      <c r="AT510" s="282"/>
      <c r="AU510" s="282"/>
      <c r="AV510" s="282"/>
      <c r="AW510" s="282"/>
      <c r="AX510" s="282"/>
      <c r="AY510" s="282"/>
      <c r="AZ510" s="282"/>
      <c r="BA510" s="282"/>
    </row>
    <row r="511" spans="1:53">
      <c r="A511" s="282"/>
      <c r="B511" s="282"/>
      <c r="C511" s="282"/>
      <c r="D511" s="282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  <c r="AD511" s="282"/>
      <c r="AE511" s="282"/>
      <c r="AF511" s="282"/>
      <c r="AG511" s="282"/>
      <c r="AH511" s="281"/>
      <c r="AI511" s="282"/>
      <c r="AJ511" s="282"/>
      <c r="AK511" s="282"/>
      <c r="AL511" s="282"/>
      <c r="AM511" s="282"/>
      <c r="AN511" s="282"/>
      <c r="AO511" s="282"/>
      <c r="AP511" s="282"/>
      <c r="AQ511" s="282"/>
      <c r="AR511" s="282"/>
      <c r="AS511" s="282"/>
      <c r="AT511" s="282"/>
      <c r="AU511" s="282"/>
      <c r="AV511" s="282"/>
      <c r="AW511" s="282"/>
      <c r="AX511" s="282"/>
      <c r="AY511" s="282"/>
      <c r="AZ511" s="282"/>
      <c r="BA511" s="282"/>
    </row>
    <row r="512" spans="1:53">
      <c r="A512" s="282"/>
      <c r="B512" s="282"/>
      <c r="C512" s="282"/>
      <c r="D512" s="282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  <c r="AC512" s="282"/>
      <c r="AD512" s="282"/>
      <c r="AE512" s="282"/>
      <c r="AF512" s="282"/>
      <c r="AG512" s="282"/>
      <c r="AH512" s="281"/>
      <c r="AI512" s="282"/>
      <c r="AJ512" s="282"/>
      <c r="AK512" s="282"/>
      <c r="AL512" s="282"/>
      <c r="AM512" s="282"/>
      <c r="AN512" s="282"/>
      <c r="AO512" s="282"/>
      <c r="AP512" s="282"/>
      <c r="AQ512" s="282"/>
      <c r="AR512" s="282"/>
      <c r="AS512" s="282"/>
      <c r="AT512" s="282"/>
      <c r="AU512" s="282"/>
      <c r="AV512" s="282"/>
      <c r="AW512" s="282"/>
      <c r="AX512" s="282"/>
      <c r="AY512" s="282"/>
      <c r="AZ512" s="282"/>
      <c r="BA512" s="282"/>
    </row>
    <row r="513" spans="1:53">
      <c r="A513" s="282"/>
      <c r="B513" s="282"/>
      <c r="C513" s="282"/>
      <c r="D513" s="282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  <c r="AC513" s="282"/>
      <c r="AD513" s="282"/>
      <c r="AE513" s="282"/>
      <c r="AF513" s="282"/>
      <c r="AG513" s="282"/>
      <c r="AH513" s="281"/>
      <c r="AI513" s="282"/>
      <c r="AJ513" s="282"/>
      <c r="AK513" s="282"/>
      <c r="AL513" s="282"/>
      <c r="AM513" s="282"/>
      <c r="AN513" s="282"/>
      <c r="AO513" s="282"/>
      <c r="AP513" s="282"/>
      <c r="AQ513" s="282"/>
      <c r="AR513" s="282"/>
      <c r="AS513" s="282"/>
      <c r="AT513" s="282"/>
      <c r="AU513" s="282"/>
      <c r="AV513" s="282"/>
      <c r="AW513" s="282"/>
      <c r="AX513" s="282"/>
      <c r="AY513" s="282"/>
      <c r="AZ513" s="282"/>
      <c r="BA513" s="282"/>
    </row>
    <row r="514" spans="1:53">
      <c r="A514" s="282"/>
      <c r="B514" s="282"/>
      <c r="C514" s="282"/>
      <c r="D514" s="282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  <c r="AC514" s="282"/>
      <c r="AD514" s="282"/>
      <c r="AE514" s="282"/>
      <c r="AF514" s="282"/>
      <c r="AG514" s="282"/>
      <c r="AH514" s="281"/>
      <c r="AI514" s="282"/>
      <c r="AJ514" s="282"/>
      <c r="AK514" s="282"/>
      <c r="AL514" s="282"/>
      <c r="AM514" s="282"/>
      <c r="AN514" s="282"/>
      <c r="AO514" s="282"/>
      <c r="AP514" s="282"/>
      <c r="AQ514" s="282"/>
      <c r="AR514" s="282"/>
      <c r="AS514" s="282"/>
      <c r="AT514" s="282"/>
      <c r="AU514" s="282"/>
      <c r="AV514" s="282"/>
      <c r="AW514" s="282"/>
      <c r="AX514" s="282"/>
      <c r="AY514" s="282"/>
      <c r="AZ514" s="282"/>
      <c r="BA514" s="282"/>
    </row>
    <row r="515" spans="1:53">
      <c r="A515" s="282"/>
      <c r="B515" s="282"/>
      <c r="C515" s="282"/>
      <c r="D515" s="282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  <c r="AC515" s="282"/>
      <c r="AD515" s="282"/>
      <c r="AE515" s="282"/>
      <c r="AF515" s="282"/>
      <c r="AG515" s="282"/>
      <c r="AH515" s="281"/>
      <c r="AI515" s="282"/>
      <c r="AJ515" s="282"/>
      <c r="AK515" s="282"/>
      <c r="AL515" s="282"/>
      <c r="AM515" s="282"/>
      <c r="AN515" s="282"/>
      <c r="AO515" s="282"/>
      <c r="AP515" s="282"/>
      <c r="AQ515" s="282"/>
      <c r="AR515" s="282"/>
      <c r="AS515" s="282"/>
      <c r="AT515" s="282"/>
      <c r="AU515" s="282"/>
      <c r="AV515" s="282"/>
      <c r="AW515" s="282"/>
      <c r="AX515" s="282"/>
      <c r="AY515" s="282"/>
      <c r="AZ515" s="282"/>
      <c r="BA515" s="282"/>
    </row>
    <row r="516" spans="1:53">
      <c r="A516" s="282"/>
      <c r="B516" s="282"/>
      <c r="C516" s="282"/>
      <c r="D516" s="282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  <c r="AC516" s="282"/>
      <c r="AD516" s="282"/>
      <c r="AE516" s="282"/>
      <c r="AF516" s="282"/>
      <c r="AG516" s="282"/>
      <c r="AH516" s="281"/>
      <c r="AI516" s="282"/>
      <c r="AJ516" s="282"/>
      <c r="AK516" s="282"/>
      <c r="AL516" s="282"/>
      <c r="AM516" s="282"/>
      <c r="AN516" s="282"/>
      <c r="AO516" s="282"/>
      <c r="AP516" s="282"/>
      <c r="AQ516" s="282"/>
      <c r="AR516" s="282"/>
      <c r="AS516" s="282"/>
      <c r="AT516" s="282"/>
      <c r="AU516" s="282"/>
      <c r="AV516" s="282"/>
      <c r="AW516" s="282"/>
      <c r="AX516" s="282"/>
      <c r="AY516" s="282"/>
      <c r="AZ516" s="282"/>
      <c r="BA516" s="282"/>
    </row>
    <row r="517" spans="1:53">
      <c r="A517" s="282"/>
      <c r="B517" s="282"/>
      <c r="C517" s="282"/>
      <c r="D517" s="282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  <c r="AC517" s="282"/>
      <c r="AD517" s="282"/>
      <c r="AE517" s="282"/>
      <c r="AF517" s="282"/>
      <c r="AG517" s="282"/>
      <c r="AH517" s="281"/>
      <c r="AI517" s="282"/>
      <c r="AJ517" s="282"/>
      <c r="AK517" s="282"/>
      <c r="AL517" s="282"/>
      <c r="AM517" s="282"/>
      <c r="AN517" s="282"/>
      <c r="AO517" s="282"/>
      <c r="AP517" s="282"/>
      <c r="AQ517" s="282"/>
      <c r="AR517" s="282"/>
      <c r="AS517" s="282"/>
      <c r="AT517" s="282"/>
      <c r="AU517" s="282"/>
      <c r="AV517" s="282"/>
      <c r="AW517" s="282"/>
      <c r="AX517" s="282"/>
      <c r="AY517" s="282"/>
      <c r="AZ517" s="282"/>
      <c r="BA517" s="282"/>
    </row>
    <row r="518" spans="1:53">
      <c r="A518" s="282"/>
      <c r="B518" s="282"/>
      <c r="C518" s="282"/>
      <c r="D518" s="282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  <c r="AC518" s="282"/>
      <c r="AD518" s="282"/>
      <c r="AE518" s="282"/>
      <c r="AF518" s="282"/>
      <c r="AG518" s="282"/>
      <c r="AH518" s="281"/>
      <c r="AI518" s="282"/>
      <c r="AJ518" s="282"/>
      <c r="AK518" s="282"/>
      <c r="AL518" s="282"/>
      <c r="AM518" s="282"/>
      <c r="AN518" s="282"/>
      <c r="AO518" s="282"/>
      <c r="AP518" s="282"/>
      <c r="AQ518" s="282"/>
      <c r="AR518" s="282"/>
      <c r="AS518" s="282"/>
      <c r="AT518" s="282"/>
      <c r="AU518" s="282"/>
      <c r="AV518" s="282"/>
      <c r="AW518" s="282"/>
      <c r="AX518" s="282"/>
      <c r="AY518" s="282"/>
      <c r="AZ518" s="282"/>
      <c r="BA518" s="282"/>
    </row>
    <row r="519" spans="1:53">
      <c r="A519" s="282"/>
      <c r="B519" s="282"/>
      <c r="C519" s="282"/>
      <c r="D519" s="282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  <c r="AC519" s="282"/>
      <c r="AD519" s="282"/>
      <c r="AE519" s="282"/>
      <c r="AF519" s="282"/>
      <c r="AG519" s="282"/>
      <c r="AH519" s="281"/>
      <c r="AI519" s="282"/>
      <c r="AJ519" s="282"/>
      <c r="AK519" s="282"/>
      <c r="AL519" s="282"/>
      <c r="AM519" s="282"/>
      <c r="AN519" s="282"/>
      <c r="AO519" s="282"/>
      <c r="AP519" s="282"/>
      <c r="AQ519" s="282"/>
      <c r="AR519" s="282"/>
      <c r="AS519" s="282"/>
      <c r="AT519" s="282"/>
      <c r="AU519" s="282"/>
      <c r="AV519" s="282"/>
      <c r="AW519" s="282"/>
      <c r="AX519" s="282"/>
      <c r="AY519" s="282"/>
      <c r="AZ519" s="282"/>
      <c r="BA519" s="282"/>
    </row>
    <row r="520" spans="1:53">
      <c r="A520" s="282"/>
      <c r="B520" s="282"/>
      <c r="C520" s="282"/>
      <c r="D520" s="282"/>
      <c r="E520" s="282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  <c r="AA520" s="282"/>
      <c r="AB520" s="282"/>
      <c r="AC520" s="282"/>
      <c r="AD520" s="282"/>
      <c r="AE520" s="282"/>
      <c r="AF520" s="282"/>
      <c r="AG520" s="282"/>
      <c r="AH520" s="281"/>
      <c r="AI520" s="282"/>
      <c r="AJ520" s="282"/>
      <c r="AK520" s="282"/>
      <c r="AL520" s="282"/>
      <c r="AM520" s="282"/>
      <c r="AN520" s="282"/>
      <c r="AO520" s="282"/>
      <c r="AP520" s="282"/>
      <c r="AQ520" s="282"/>
      <c r="AR520" s="282"/>
      <c r="AS520" s="282"/>
      <c r="AT520" s="282"/>
      <c r="AU520" s="282"/>
      <c r="AV520" s="282"/>
      <c r="AW520" s="282"/>
      <c r="AX520" s="282"/>
      <c r="AY520" s="282"/>
      <c r="AZ520" s="282"/>
      <c r="BA520" s="282"/>
    </row>
    <row r="521" spans="1:53">
      <c r="A521" s="282"/>
      <c r="B521" s="282"/>
      <c r="C521" s="282"/>
      <c r="D521" s="282"/>
      <c r="E521" s="282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  <c r="AA521" s="282"/>
      <c r="AB521" s="282"/>
      <c r="AC521" s="282"/>
      <c r="AD521" s="282"/>
      <c r="AE521" s="282"/>
      <c r="AF521" s="282"/>
      <c r="AG521" s="282"/>
      <c r="AH521" s="281"/>
      <c r="AI521" s="282"/>
      <c r="AJ521" s="282"/>
      <c r="AK521" s="282"/>
      <c r="AL521" s="282"/>
      <c r="AM521" s="282"/>
      <c r="AN521" s="282"/>
      <c r="AO521" s="282"/>
      <c r="AP521" s="282"/>
      <c r="AQ521" s="282"/>
      <c r="AR521" s="282"/>
      <c r="AS521" s="282"/>
      <c r="AT521" s="282"/>
      <c r="AU521" s="282"/>
      <c r="AV521" s="282"/>
      <c r="AW521" s="282"/>
      <c r="AX521" s="282"/>
      <c r="AY521" s="282"/>
      <c r="AZ521" s="282"/>
      <c r="BA521" s="282"/>
    </row>
    <row r="522" spans="1:53">
      <c r="A522" s="282"/>
      <c r="B522" s="282"/>
      <c r="C522" s="282"/>
      <c r="D522" s="282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  <c r="AC522" s="282"/>
      <c r="AD522" s="282"/>
      <c r="AE522" s="282"/>
      <c r="AF522" s="282"/>
      <c r="AG522" s="282"/>
      <c r="AH522" s="281"/>
      <c r="AI522" s="282"/>
      <c r="AJ522" s="282"/>
      <c r="AK522" s="282"/>
      <c r="AL522" s="282"/>
      <c r="AM522" s="282"/>
      <c r="AN522" s="282"/>
      <c r="AO522" s="282"/>
      <c r="AP522" s="282"/>
      <c r="AQ522" s="282"/>
      <c r="AR522" s="282"/>
      <c r="AS522" s="282"/>
      <c r="AT522" s="282"/>
      <c r="AU522" s="282"/>
      <c r="AV522" s="282"/>
      <c r="AW522" s="282"/>
      <c r="AX522" s="282"/>
      <c r="AY522" s="282"/>
      <c r="AZ522" s="282"/>
      <c r="BA522" s="282"/>
    </row>
    <row r="523" spans="1:53">
      <c r="A523" s="282"/>
      <c r="B523" s="282"/>
      <c r="C523" s="282"/>
      <c r="D523" s="282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  <c r="AC523" s="282"/>
      <c r="AD523" s="282"/>
      <c r="AE523" s="282"/>
      <c r="AF523" s="282"/>
      <c r="AG523" s="282"/>
      <c r="AH523" s="281"/>
      <c r="AI523" s="282"/>
      <c r="AJ523" s="282"/>
      <c r="AK523" s="282"/>
      <c r="AL523" s="282"/>
      <c r="AM523" s="282"/>
      <c r="AN523" s="282"/>
      <c r="AO523" s="282"/>
      <c r="AP523" s="282"/>
      <c r="AQ523" s="282"/>
      <c r="AR523" s="282"/>
      <c r="AS523" s="282"/>
      <c r="AT523" s="282"/>
      <c r="AU523" s="282"/>
      <c r="AV523" s="282"/>
      <c r="AW523" s="282"/>
      <c r="AX523" s="282"/>
      <c r="AY523" s="282"/>
      <c r="AZ523" s="282"/>
      <c r="BA523" s="282"/>
    </row>
    <row r="524" spans="1:53">
      <c r="A524" s="282"/>
      <c r="B524" s="282"/>
      <c r="C524" s="282"/>
      <c r="D524" s="282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  <c r="AC524" s="282"/>
      <c r="AD524" s="282"/>
      <c r="AE524" s="282"/>
      <c r="AF524" s="282"/>
      <c r="AG524" s="282"/>
      <c r="AH524" s="281"/>
      <c r="AI524" s="282"/>
      <c r="AJ524" s="282"/>
      <c r="AK524" s="282"/>
      <c r="AL524" s="282"/>
      <c r="AM524" s="282"/>
      <c r="AN524" s="282"/>
      <c r="AO524" s="282"/>
      <c r="AP524" s="282"/>
      <c r="AQ524" s="282"/>
      <c r="AR524" s="282"/>
      <c r="AS524" s="282"/>
      <c r="AT524" s="282"/>
      <c r="AU524" s="282"/>
      <c r="AV524" s="282"/>
      <c r="AW524" s="282"/>
      <c r="AX524" s="282"/>
      <c r="AY524" s="282"/>
      <c r="AZ524" s="282"/>
      <c r="BA524" s="282"/>
    </row>
    <row r="525" spans="1:53">
      <c r="A525" s="282"/>
      <c r="B525" s="282"/>
      <c r="C525" s="282"/>
      <c r="D525" s="282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  <c r="AC525" s="282"/>
      <c r="AD525" s="282"/>
      <c r="AE525" s="282"/>
      <c r="AF525" s="282"/>
      <c r="AG525" s="282"/>
      <c r="AH525" s="281"/>
      <c r="AI525" s="282"/>
      <c r="AJ525" s="282"/>
      <c r="AK525" s="282"/>
      <c r="AL525" s="282"/>
      <c r="AM525" s="282"/>
      <c r="AN525" s="282"/>
      <c r="AO525" s="282"/>
      <c r="AP525" s="282"/>
      <c r="AQ525" s="282"/>
      <c r="AR525" s="282"/>
      <c r="AS525" s="282"/>
      <c r="AT525" s="282"/>
      <c r="AU525" s="282"/>
      <c r="AV525" s="282"/>
      <c r="AW525" s="282"/>
      <c r="AX525" s="282"/>
      <c r="AY525" s="282"/>
      <c r="AZ525" s="282"/>
      <c r="BA525" s="282"/>
    </row>
    <row r="526" spans="1:53">
      <c r="A526" s="282"/>
      <c r="B526" s="282"/>
      <c r="C526" s="282"/>
      <c r="D526" s="282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  <c r="AC526" s="282"/>
      <c r="AD526" s="282"/>
      <c r="AE526" s="282"/>
      <c r="AF526" s="282"/>
      <c r="AG526" s="282"/>
      <c r="AH526" s="281"/>
      <c r="AI526" s="282"/>
      <c r="AJ526" s="282"/>
      <c r="AK526" s="282"/>
      <c r="AL526" s="282"/>
      <c r="AM526" s="282"/>
      <c r="AN526" s="282"/>
      <c r="AO526" s="282"/>
      <c r="AP526" s="282"/>
      <c r="AQ526" s="282"/>
      <c r="AR526" s="282"/>
      <c r="AS526" s="282"/>
      <c r="AT526" s="282"/>
      <c r="AU526" s="282"/>
      <c r="AV526" s="282"/>
      <c r="AW526" s="282"/>
      <c r="AX526" s="282"/>
      <c r="AY526" s="282"/>
      <c r="AZ526" s="282"/>
      <c r="BA526" s="282"/>
    </row>
    <row r="527" spans="1:53">
      <c r="A527" s="282"/>
      <c r="B527" s="282"/>
      <c r="C527" s="282"/>
      <c r="D527" s="282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  <c r="AC527" s="282"/>
      <c r="AD527" s="282"/>
      <c r="AE527" s="282"/>
      <c r="AF527" s="282"/>
      <c r="AG527" s="282"/>
      <c r="AH527" s="281"/>
      <c r="AI527" s="282"/>
      <c r="AJ527" s="282"/>
      <c r="AK527" s="282"/>
      <c r="AL527" s="282"/>
      <c r="AM527" s="282"/>
      <c r="AN527" s="282"/>
      <c r="AO527" s="282"/>
      <c r="AP527" s="282"/>
      <c r="AQ527" s="282"/>
      <c r="AR527" s="282"/>
      <c r="AS527" s="282"/>
      <c r="AT527" s="282"/>
      <c r="AU527" s="282"/>
      <c r="AV527" s="282"/>
      <c r="AW527" s="282"/>
      <c r="AX527" s="282"/>
      <c r="AY527" s="282"/>
      <c r="AZ527" s="282"/>
      <c r="BA527" s="282"/>
    </row>
    <row r="528" spans="1:53">
      <c r="A528" s="282"/>
      <c r="B528" s="282"/>
      <c r="C528" s="282"/>
      <c r="D528" s="282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  <c r="AC528" s="282"/>
      <c r="AD528" s="282"/>
      <c r="AE528" s="282"/>
      <c r="AF528" s="282"/>
      <c r="AG528" s="282"/>
      <c r="AH528" s="281"/>
      <c r="AI528" s="282"/>
      <c r="AJ528" s="282"/>
      <c r="AK528" s="282"/>
      <c r="AL528" s="282"/>
      <c r="AM528" s="282"/>
      <c r="AN528" s="282"/>
      <c r="AO528" s="282"/>
      <c r="AP528" s="282"/>
      <c r="AQ528" s="282"/>
      <c r="AR528" s="282"/>
      <c r="AS528" s="282"/>
      <c r="AT528" s="282"/>
      <c r="AU528" s="282"/>
      <c r="AV528" s="282"/>
      <c r="AW528" s="282"/>
      <c r="AX528" s="282"/>
      <c r="AY528" s="282"/>
      <c r="AZ528" s="282"/>
      <c r="BA528" s="282"/>
    </row>
    <row r="529" spans="1:53">
      <c r="A529" s="282"/>
      <c r="B529" s="282"/>
      <c r="C529" s="282"/>
      <c r="D529" s="282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  <c r="AC529" s="282"/>
      <c r="AD529" s="282"/>
      <c r="AE529" s="282"/>
      <c r="AF529" s="282"/>
      <c r="AG529" s="282"/>
      <c r="AH529" s="281"/>
      <c r="AI529" s="282"/>
      <c r="AJ529" s="282"/>
      <c r="AK529" s="282"/>
      <c r="AL529" s="282"/>
      <c r="AM529" s="282"/>
      <c r="AN529" s="282"/>
      <c r="AO529" s="282"/>
      <c r="AP529" s="282"/>
      <c r="AQ529" s="282"/>
      <c r="AR529" s="282"/>
      <c r="AS529" s="282"/>
      <c r="AT529" s="282"/>
      <c r="AU529" s="282"/>
      <c r="AV529" s="282"/>
      <c r="AW529" s="282"/>
      <c r="AX529" s="282"/>
      <c r="AY529" s="282"/>
      <c r="AZ529" s="282"/>
      <c r="BA529" s="282"/>
    </row>
    <row r="530" spans="1:53">
      <c r="A530" s="282"/>
      <c r="B530" s="282"/>
      <c r="C530" s="282"/>
      <c r="D530" s="282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  <c r="AC530" s="282"/>
      <c r="AD530" s="282"/>
      <c r="AE530" s="282"/>
      <c r="AF530" s="282"/>
      <c r="AG530" s="282"/>
      <c r="AH530" s="281"/>
      <c r="AI530" s="282"/>
      <c r="AJ530" s="282"/>
      <c r="AK530" s="282"/>
      <c r="AL530" s="282"/>
      <c r="AM530" s="282"/>
      <c r="AN530" s="282"/>
      <c r="AO530" s="282"/>
      <c r="AP530" s="282"/>
      <c r="AQ530" s="282"/>
      <c r="AR530" s="282"/>
      <c r="AS530" s="282"/>
      <c r="AT530" s="282"/>
      <c r="AU530" s="282"/>
      <c r="AV530" s="282"/>
      <c r="AW530" s="282"/>
      <c r="AX530" s="282"/>
      <c r="AY530" s="282"/>
      <c r="AZ530" s="282"/>
      <c r="BA530" s="282"/>
    </row>
    <row r="531" spans="1:53">
      <c r="A531" s="282"/>
      <c r="B531" s="282"/>
      <c r="C531" s="282"/>
      <c r="D531" s="282"/>
      <c r="E531" s="282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  <c r="AA531" s="282"/>
      <c r="AB531" s="282"/>
      <c r="AC531" s="282"/>
      <c r="AD531" s="282"/>
      <c r="AE531" s="282"/>
      <c r="AF531" s="282"/>
      <c r="AG531" s="282"/>
      <c r="AH531" s="281"/>
      <c r="AI531" s="282"/>
      <c r="AJ531" s="282"/>
      <c r="AK531" s="282"/>
      <c r="AL531" s="282"/>
      <c r="AM531" s="282"/>
      <c r="AN531" s="282"/>
      <c r="AO531" s="282"/>
      <c r="AP531" s="282"/>
      <c r="AQ531" s="282"/>
      <c r="AR531" s="282"/>
      <c r="AS531" s="282"/>
      <c r="AT531" s="282"/>
      <c r="AU531" s="282"/>
      <c r="AV531" s="282"/>
      <c r="AW531" s="282"/>
      <c r="AX531" s="282"/>
      <c r="AY531" s="282"/>
      <c r="AZ531" s="282"/>
      <c r="BA531" s="282"/>
    </row>
    <row r="532" spans="1:53">
      <c r="A532" s="282"/>
      <c r="B532" s="282"/>
      <c r="C532" s="282"/>
      <c r="D532" s="282"/>
      <c r="E532" s="282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  <c r="AA532" s="282"/>
      <c r="AB532" s="282"/>
      <c r="AC532" s="282"/>
      <c r="AD532" s="282"/>
      <c r="AE532" s="282"/>
      <c r="AF532" s="282"/>
      <c r="AG532" s="282"/>
      <c r="AH532" s="281"/>
      <c r="AI532" s="282"/>
      <c r="AJ532" s="282"/>
      <c r="AK532" s="282"/>
      <c r="AL532" s="282"/>
      <c r="AM532" s="282"/>
      <c r="AN532" s="282"/>
      <c r="AO532" s="282"/>
      <c r="AP532" s="282"/>
      <c r="AQ532" s="282"/>
      <c r="AR532" s="282"/>
      <c r="AS532" s="282"/>
      <c r="AT532" s="282"/>
      <c r="AU532" s="282"/>
      <c r="AV532" s="282"/>
      <c r="AW532" s="282"/>
      <c r="AX532" s="282"/>
      <c r="AY532" s="282"/>
      <c r="AZ532" s="282"/>
      <c r="BA532" s="282"/>
    </row>
    <row r="533" spans="1:53">
      <c r="A533" s="282"/>
      <c r="B533" s="282"/>
      <c r="C533" s="282"/>
      <c r="D533" s="282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  <c r="AC533" s="282"/>
      <c r="AD533" s="282"/>
      <c r="AE533" s="282"/>
      <c r="AF533" s="282"/>
      <c r="AG533" s="282"/>
      <c r="AH533" s="281"/>
      <c r="AI533" s="282"/>
      <c r="AJ533" s="282"/>
      <c r="AK533" s="282"/>
      <c r="AL533" s="282"/>
      <c r="AM533" s="282"/>
      <c r="AN533" s="282"/>
      <c r="AO533" s="282"/>
      <c r="AP533" s="282"/>
      <c r="AQ533" s="282"/>
      <c r="AR533" s="282"/>
      <c r="AS533" s="282"/>
      <c r="AT533" s="282"/>
      <c r="AU533" s="282"/>
      <c r="AV533" s="282"/>
      <c r="AW533" s="282"/>
      <c r="AX533" s="282"/>
      <c r="AY533" s="282"/>
      <c r="AZ533" s="282"/>
      <c r="BA533" s="282"/>
    </row>
    <row r="534" spans="1:53">
      <c r="A534" s="282"/>
      <c r="B534" s="282"/>
      <c r="C534" s="282"/>
      <c r="D534" s="282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  <c r="AC534" s="282"/>
      <c r="AD534" s="282"/>
      <c r="AE534" s="282"/>
      <c r="AF534" s="282"/>
      <c r="AG534" s="282"/>
      <c r="AH534" s="281"/>
      <c r="AI534" s="282"/>
      <c r="AJ534" s="282"/>
      <c r="AK534" s="282"/>
      <c r="AL534" s="282"/>
      <c r="AM534" s="282"/>
      <c r="AN534" s="282"/>
      <c r="AO534" s="282"/>
      <c r="AP534" s="282"/>
      <c r="AQ534" s="282"/>
      <c r="AR534" s="282"/>
      <c r="AS534" s="282"/>
      <c r="AT534" s="282"/>
      <c r="AU534" s="282"/>
      <c r="AV534" s="282"/>
      <c r="AW534" s="282"/>
      <c r="AX534" s="282"/>
      <c r="AY534" s="282"/>
      <c r="AZ534" s="282"/>
      <c r="BA534" s="282"/>
    </row>
    <row r="535" spans="1:53">
      <c r="A535" s="282"/>
      <c r="B535" s="282"/>
      <c r="C535" s="282"/>
      <c r="D535" s="282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  <c r="AC535" s="282"/>
      <c r="AD535" s="282"/>
      <c r="AE535" s="282"/>
      <c r="AF535" s="282"/>
      <c r="AG535" s="282"/>
      <c r="AH535" s="281"/>
      <c r="AI535" s="282"/>
      <c r="AJ535" s="282"/>
      <c r="AK535" s="282"/>
      <c r="AL535" s="282"/>
      <c r="AM535" s="282"/>
      <c r="AN535" s="282"/>
      <c r="AO535" s="282"/>
      <c r="AP535" s="282"/>
      <c r="AQ535" s="282"/>
      <c r="AR535" s="282"/>
      <c r="AS535" s="282"/>
      <c r="AT535" s="282"/>
      <c r="AU535" s="282"/>
      <c r="AV535" s="282"/>
      <c r="AW535" s="282"/>
      <c r="AX535" s="282"/>
      <c r="AY535" s="282"/>
      <c r="AZ535" s="282"/>
      <c r="BA535" s="282"/>
    </row>
    <row r="536" spans="1:53">
      <c r="A536" s="282"/>
      <c r="B536" s="282"/>
      <c r="C536" s="282"/>
      <c r="D536" s="282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  <c r="AC536" s="282"/>
      <c r="AD536" s="282"/>
      <c r="AE536" s="282"/>
      <c r="AF536" s="282"/>
      <c r="AG536" s="282"/>
      <c r="AH536" s="281"/>
      <c r="AI536" s="282"/>
      <c r="AJ536" s="282"/>
      <c r="AK536" s="282"/>
      <c r="AL536" s="282"/>
      <c r="AM536" s="282"/>
      <c r="AN536" s="282"/>
      <c r="AO536" s="282"/>
      <c r="AP536" s="282"/>
      <c r="AQ536" s="282"/>
      <c r="AR536" s="282"/>
      <c r="AS536" s="282"/>
      <c r="AT536" s="282"/>
      <c r="AU536" s="282"/>
      <c r="AV536" s="282"/>
      <c r="AW536" s="282"/>
      <c r="AX536" s="282"/>
      <c r="AY536" s="282"/>
      <c r="AZ536" s="282"/>
      <c r="BA536" s="282"/>
    </row>
    <row r="537" spans="1:53">
      <c r="A537" s="282"/>
      <c r="B537" s="282"/>
      <c r="C537" s="282"/>
      <c r="D537" s="282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  <c r="AC537" s="282"/>
      <c r="AD537" s="282"/>
      <c r="AE537" s="282"/>
      <c r="AF537" s="282"/>
      <c r="AG537" s="282"/>
      <c r="AH537" s="281"/>
      <c r="AI537" s="282"/>
      <c r="AJ537" s="282"/>
      <c r="AK537" s="282"/>
      <c r="AL537" s="282"/>
      <c r="AM537" s="282"/>
      <c r="AN537" s="282"/>
      <c r="AO537" s="282"/>
      <c r="AP537" s="282"/>
      <c r="AQ537" s="282"/>
      <c r="AR537" s="282"/>
      <c r="AS537" s="282"/>
      <c r="AT537" s="282"/>
      <c r="AU537" s="282"/>
      <c r="AV537" s="282"/>
      <c r="AW537" s="282"/>
      <c r="AX537" s="282"/>
      <c r="AY537" s="282"/>
      <c r="AZ537" s="282"/>
      <c r="BA537" s="282"/>
    </row>
    <row r="538" spans="1:53">
      <c r="A538" s="282"/>
      <c r="B538" s="282"/>
      <c r="C538" s="282"/>
      <c r="D538" s="282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  <c r="AC538" s="282"/>
      <c r="AD538" s="282"/>
      <c r="AE538" s="282"/>
      <c r="AF538" s="282"/>
      <c r="AG538" s="282"/>
      <c r="AH538" s="281"/>
      <c r="AI538" s="282"/>
      <c r="AJ538" s="282"/>
      <c r="AK538" s="282"/>
      <c r="AL538" s="282"/>
      <c r="AM538" s="282"/>
      <c r="AN538" s="282"/>
      <c r="AO538" s="282"/>
      <c r="AP538" s="282"/>
      <c r="AQ538" s="282"/>
      <c r="AR538" s="282"/>
      <c r="AS538" s="282"/>
      <c r="AT538" s="282"/>
      <c r="AU538" s="282"/>
      <c r="AV538" s="282"/>
      <c r="AW538" s="282"/>
      <c r="AX538" s="282"/>
      <c r="AY538" s="282"/>
      <c r="AZ538" s="282"/>
      <c r="BA538" s="282"/>
    </row>
    <row r="539" spans="1:53">
      <c r="A539" s="282"/>
      <c r="B539" s="282"/>
      <c r="C539" s="282"/>
      <c r="D539" s="282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  <c r="AC539" s="282"/>
      <c r="AD539" s="282"/>
      <c r="AE539" s="282"/>
      <c r="AF539" s="282"/>
      <c r="AG539" s="282"/>
      <c r="AH539" s="281"/>
      <c r="AI539" s="282"/>
      <c r="AJ539" s="282"/>
      <c r="AK539" s="282"/>
      <c r="AL539" s="282"/>
      <c r="AM539" s="282"/>
      <c r="AN539" s="282"/>
      <c r="AO539" s="282"/>
      <c r="AP539" s="282"/>
      <c r="AQ539" s="282"/>
      <c r="AR539" s="282"/>
      <c r="AS539" s="282"/>
      <c r="AT539" s="282"/>
      <c r="AU539" s="282"/>
      <c r="AV539" s="282"/>
      <c r="AW539" s="282"/>
      <c r="AX539" s="282"/>
      <c r="AY539" s="282"/>
      <c r="AZ539" s="282"/>
      <c r="BA539" s="282"/>
    </row>
    <row r="540" spans="1:53">
      <c r="A540" s="282"/>
      <c r="B540" s="282"/>
      <c r="C540" s="282"/>
      <c r="D540" s="282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  <c r="AC540" s="282"/>
      <c r="AD540" s="282"/>
      <c r="AE540" s="282"/>
      <c r="AF540" s="282"/>
      <c r="AG540" s="282"/>
      <c r="AH540" s="281"/>
      <c r="AI540" s="282"/>
      <c r="AJ540" s="282"/>
      <c r="AK540" s="282"/>
      <c r="AL540" s="282"/>
      <c r="AM540" s="282"/>
      <c r="AN540" s="282"/>
      <c r="AO540" s="282"/>
      <c r="AP540" s="282"/>
      <c r="AQ540" s="282"/>
      <c r="AR540" s="282"/>
      <c r="AS540" s="282"/>
      <c r="AT540" s="282"/>
      <c r="AU540" s="282"/>
      <c r="AV540" s="282"/>
      <c r="AW540" s="282"/>
      <c r="AX540" s="282"/>
      <c r="AY540" s="282"/>
      <c r="AZ540" s="282"/>
      <c r="BA540" s="282"/>
    </row>
    <row r="541" spans="1:53">
      <c r="A541" s="282"/>
      <c r="B541" s="282"/>
      <c r="C541" s="282"/>
      <c r="D541" s="282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  <c r="AC541" s="282"/>
      <c r="AD541" s="282"/>
      <c r="AE541" s="282"/>
      <c r="AF541" s="282"/>
      <c r="AG541" s="282"/>
      <c r="AH541" s="281"/>
      <c r="AI541" s="282"/>
      <c r="AJ541" s="282"/>
      <c r="AK541" s="282"/>
      <c r="AL541" s="282"/>
      <c r="AM541" s="282"/>
      <c r="AN541" s="282"/>
      <c r="AO541" s="282"/>
      <c r="AP541" s="282"/>
      <c r="AQ541" s="282"/>
      <c r="AR541" s="282"/>
      <c r="AS541" s="282"/>
      <c r="AT541" s="282"/>
      <c r="AU541" s="282"/>
      <c r="AV541" s="282"/>
      <c r="AW541" s="282"/>
      <c r="AX541" s="282"/>
      <c r="AY541" s="282"/>
      <c r="AZ541" s="282"/>
      <c r="BA541" s="282"/>
    </row>
    <row r="542" spans="1:53">
      <c r="A542" s="282"/>
      <c r="B542" s="282"/>
      <c r="C542" s="282"/>
      <c r="D542" s="282"/>
      <c r="E542" s="282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  <c r="AA542" s="282"/>
      <c r="AB542" s="282"/>
      <c r="AC542" s="282"/>
      <c r="AD542" s="282"/>
      <c r="AE542" s="282"/>
      <c r="AF542" s="282"/>
      <c r="AG542" s="282"/>
      <c r="AH542" s="281"/>
      <c r="AI542" s="282"/>
      <c r="AJ542" s="282"/>
      <c r="AK542" s="282"/>
      <c r="AL542" s="282"/>
      <c r="AM542" s="282"/>
      <c r="AN542" s="282"/>
      <c r="AO542" s="282"/>
      <c r="AP542" s="282"/>
      <c r="AQ542" s="282"/>
      <c r="AR542" s="282"/>
      <c r="AS542" s="282"/>
      <c r="AT542" s="282"/>
      <c r="AU542" s="282"/>
      <c r="AV542" s="282"/>
      <c r="AW542" s="282"/>
      <c r="AX542" s="282"/>
      <c r="AY542" s="282"/>
      <c r="AZ542" s="282"/>
      <c r="BA542" s="282"/>
    </row>
    <row r="543" spans="1:53">
      <c r="A543" s="282"/>
      <c r="B543" s="282"/>
      <c r="C543" s="282"/>
      <c r="D543" s="282"/>
      <c r="E543" s="282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  <c r="AA543" s="282"/>
      <c r="AB543" s="282"/>
      <c r="AC543" s="282"/>
      <c r="AD543" s="282"/>
      <c r="AE543" s="282"/>
      <c r="AF543" s="282"/>
      <c r="AG543" s="282"/>
      <c r="AH543" s="281"/>
      <c r="AI543" s="282"/>
      <c r="AJ543" s="282"/>
      <c r="AK543" s="282"/>
      <c r="AL543" s="282"/>
      <c r="AM543" s="282"/>
      <c r="AN543" s="282"/>
      <c r="AO543" s="282"/>
      <c r="AP543" s="282"/>
      <c r="AQ543" s="282"/>
      <c r="AR543" s="282"/>
      <c r="AS543" s="282"/>
      <c r="AT543" s="282"/>
      <c r="AU543" s="282"/>
      <c r="AV543" s="282"/>
      <c r="AW543" s="282"/>
      <c r="AX543" s="282"/>
      <c r="AY543" s="282"/>
      <c r="AZ543" s="282"/>
      <c r="BA543" s="282"/>
    </row>
    <row r="544" spans="1:53">
      <c r="A544" s="282"/>
      <c r="B544" s="282"/>
      <c r="C544" s="282"/>
      <c r="D544" s="282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  <c r="AC544" s="282"/>
      <c r="AD544" s="282"/>
      <c r="AE544" s="282"/>
      <c r="AF544" s="282"/>
      <c r="AG544" s="282"/>
      <c r="AH544" s="281"/>
      <c r="AI544" s="282"/>
      <c r="AJ544" s="282"/>
      <c r="AK544" s="282"/>
      <c r="AL544" s="282"/>
      <c r="AM544" s="282"/>
      <c r="AN544" s="282"/>
      <c r="AO544" s="282"/>
      <c r="AP544" s="282"/>
      <c r="AQ544" s="282"/>
      <c r="AR544" s="282"/>
      <c r="AS544" s="282"/>
      <c r="AT544" s="282"/>
      <c r="AU544" s="282"/>
      <c r="AV544" s="282"/>
      <c r="AW544" s="282"/>
      <c r="AX544" s="282"/>
      <c r="AY544" s="282"/>
      <c r="AZ544" s="282"/>
      <c r="BA544" s="282"/>
    </row>
    <row r="545" spans="1:53">
      <c r="A545" s="282"/>
      <c r="B545" s="282"/>
      <c r="C545" s="282"/>
      <c r="D545" s="282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  <c r="AC545" s="282"/>
      <c r="AD545" s="282"/>
      <c r="AE545" s="282"/>
      <c r="AF545" s="282"/>
      <c r="AG545" s="282"/>
      <c r="AH545" s="281"/>
      <c r="AI545" s="282"/>
      <c r="AJ545" s="282"/>
      <c r="AK545" s="282"/>
      <c r="AL545" s="282"/>
      <c r="AM545" s="282"/>
      <c r="AN545" s="282"/>
      <c r="AO545" s="282"/>
      <c r="AP545" s="282"/>
      <c r="AQ545" s="282"/>
      <c r="AR545" s="282"/>
      <c r="AS545" s="282"/>
      <c r="AT545" s="282"/>
      <c r="AU545" s="282"/>
      <c r="AV545" s="282"/>
      <c r="AW545" s="282"/>
      <c r="AX545" s="282"/>
      <c r="AY545" s="282"/>
      <c r="AZ545" s="282"/>
      <c r="BA545" s="282"/>
    </row>
    <row r="546" spans="1:53">
      <c r="A546" s="282"/>
      <c r="B546" s="282"/>
      <c r="C546" s="282"/>
      <c r="D546" s="282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  <c r="AC546" s="282"/>
      <c r="AD546" s="282"/>
      <c r="AE546" s="282"/>
      <c r="AF546" s="282"/>
      <c r="AG546" s="282"/>
      <c r="AH546" s="281"/>
      <c r="AI546" s="282"/>
      <c r="AJ546" s="282"/>
      <c r="AK546" s="282"/>
      <c r="AL546" s="282"/>
      <c r="AM546" s="282"/>
      <c r="AN546" s="282"/>
      <c r="AO546" s="282"/>
      <c r="AP546" s="282"/>
      <c r="AQ546" s="282"/>
      <c r="AR546" s="282"/>
      <c r="AS546" s="282"/>
      <c r="AT546" s="282"/>
      <c r="AU546" s="282"/>
      <c r="AV546" s="282"/>
      <c r="AW546" s="282"/>
      <c r="AX546" s="282"/>
      <c r="AY546" s="282"/>
      <c r="AZ546" s="282"/>
      <c r="BA546" s="282"/>
    </row>
    <row r="547" spans="1:53">
      <c r="A547" s="282"/>
      <c r="B547" s="282"/>
      <c r="C547" s="282"/>
      <c r="D547" s="282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  <c r="AC547" s="282"/>
      <c r="AD547" s="282"/>
      <c r="AE547" s="282"/>
      <c r="AF547" s="282"/>
      <c r="AG547" s="282"/>
      <c r="AH547" s="281"/>
      <c r="AI547" s="282"/>
      <c r="AJ547" s="282"/>
      <c r="AK547" s="282"/>
      <c r="AL547" s="282"/>
      <c r="AM547" s="282"/>
      <c r="AN547" s="282"/>
      <c r="AO547" s="282"/>
      <c r="AP547" s="282"/>
      <c r="AQ547" s="282"/>
      <c r="AR547" s="282"/>
      <c r="AS547" s="282"/>
      <c r="AT547" s="282"/>
      <c r="AU547" s="282"/>
      <c r="AV547" s="282"/>
      <c r="AW547" s="282"/>
      <c r="AX547" s="282"/>
      <c r="AY547" s="282"/>
      <c r="AZ547" s="282"/>
      <c r="BA547" s="282"/>
    </row>
    <row r="548" spans="1:53">
      <c r="A548" s="282"/>
      <c r="B548" s="282"/>
      <c r="C548" s="282"/>
      <c r="D548" s="282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  <c r="AC548" s="282"/>
      <c r="AD548" s="282"/>
      <c r="AE548" s="282"/>
      <c r="AF548" s="282"/>
      <c r="AG548" s="282"/>
      <c r="AH548" s="281"/>
      <c r="AI548" s="282"/>
      <c r="AJ548" s="282"/>
      <c r="AK548" s="282"/>
      <c r="AL548" s="282"/>
      <c r="AM548" s="282"/>
      <c r="AN548" s="282"/>
      <c r="AO548" s="282"/>
      <c r="AP548" s="282"/>
      <c r="AQ548" s="282"/>
      <c r="AR548" s="282"/>
      <c r="AS548" s="282"/>
      <c r="AT548" s="282"/>
      <c r="AU548" s="282"/>
      <c r="AV548" s="282"/>
      <c r="AW548" s="282"/>
      <c r="AX548" s="282"/>
      <c r="AY548" s="282"/>
      <c r="AZ548" s="282"/>
      <c r="BA548" s="282"/>
    </row>
    <row r="549" spans="1:53">
      <c r="A549" s="282"/>
      <c r="B549" s="282"/>
      <c r="C549" s="282"/>
      <c r="D549" s="282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  <c r="AC549" s="282"/>
      <c r="AD549" s="282"/>
      <c r="AE549" s="282"/>
      <c r="AF549" s="282"/>
      <c r="AG549" s="282"/>
      <c r="AH549" s="281"/>
      <c r="AI549" s="282"/>
      <c r="AJ549" s="282"/>
      <c r="AK549" s="282"/>
      <c r="AL549" s="282"/>
      <c r="AM549" s="282"/>
      <c r="AN549" s="282"/>
      <c r="AO549" s="282"/>
      <c r="AP549" s="282"/>
      <c r="AQ549" s="282"/>
      <c r="AR549" s="282"/>
      <c r="AS549" s="282"/>
      <c r="AT549" s="282"/>
      <c r="AU549" s="282"/>
      <c r="AV549" s="282"/>
      <c r="AW549" s="282"/>
      <c r="AX549" s="282"/>
      <c r="AY549" s="282"/>
      <c r="AZ549" s="282"/>
      <c r="BA549" s="282"/>
    </row>
    <row r="550" spans="1:53">
      <c r="A550" s="282"/>
      <c r="B550" s="282"/>
      <c r="C550" s="282"/>
      <c r="D550" s="282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  <c r="AC550" s="282"/>
      <c r="AD550" s="282"/>
      <c r="AE550" s="282"/>
      <c r="AF550" s="282"/>
      <c r="AG550" s="282"/>
      <c r="AH550" s="281"/>
      <c r="AI550" s="282"/>
      <c r="AJ550" s="282"/>
      <c r="AK550" s="282"/>
      <c r="AL550" s="282"/>
      <c r="AM550" s="282"/>
      <c r="AN550" s="282"/>
      <c r="AO550" s="282"/>
      <c r="AP550" s="282"/>
      <c r="AQ550" s="282"/>
      <c r="AR550" s="282"/>
      <c r="AS550" s="282"/>
      <c r="AT550" s="282"/>
      <c r="AU550" s="282"/>
      <c r="AV550" s="282"/>
      <c r="AW550" s="282"/>
      <c r="AX550" s="282"/>
      <c r="AY550" s="282"/>
      <c r="AZ550" s="282"/>
      <c r="BA550" s="282"/>
    </row>
    <row r="551" spans="1:53">
      <c r="A551" s="282"/>
      <c r="B551" s="282"/>
      <c r="C551" s="282"/>
      <c r="D551" s="282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  <c r="AC551" s="282"/>
      <c r="AD551" s="282"/>
      <c r="AE551" s="282"/>
      <c r="AF551" s="282"/>
      <c r="AG551" s="282"/>
      <c r="AH551" s="281"/>
      <c r="AI551" s="282"/>
      <c r="AJ551" s="282"/>
      <c r="AK551" s="282"/>
      <c r="AL551" s="282"/>
      <c r="AM551" s="282"/>
      <c r="AN551" s="282"/>
      <c r="AO551" s="282"/>
      <c r="AP551" s="282"/>
      <c r="AQ551" s="282"/>
      <c r="AR551" s="282"/>
      <c r="AS551" s="282"/>
      <c r="AT551" s="282"/>
      <c r="AU551" s="282"/>
      <c r="AV551" s="282"/>
      <c r="AW551" s="282"/>
      <c r="AX551" s="282"/>
      <c r="AY551" s="282"/>
      <c r="AZ551" s="282"/>
      <c r="BA551" s="282"/>
    </row>
    <row r="552" spans="1:53">
      <c r="A552" s="282"/>
      <c r="B552" s="282"/>
      <c r="C552" s="282"/>
      <c r="D552" s="282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  <c r="AC552" s="282"/>
      <c r="AD552" s="282"/>
      <c r="AE552" s="282"/>
      <c r="AF552" s="282"/>
      <c r="AG552" s="282"/>
      <c r="AH552" s="281"/>
      <c r="AI552" s="282"/>
      <c r="AJ552" s="282"/>
      <c r="AK552" s="282"/>
      <c r="AL552" s="282"/>
      <c r="AM552" s="282"/>
      <c r="AN552" s="282"/>
      <c r="AO552" s="282"/>
      <c r="AP552" s="282"/>
      <c r="AQ552" s="282"/>
      <c r="AR552" s="282"/>
      <c r="AS552" s="282"/>
      <c r="AT552" s="282"/>
      <c r="AU552" s="282"/>
      <c r="AV552" s="282"/>
      <c r="AW552" s="282"/>
      <c r="AX552" s="282"/>
      <c r="AY552" s="282"/>
      <c r="AZ552" s="282"/>
      <c r="BA552" s="282"/>
    </row>
    <row r="553" spans="1:53">
      <c r="A553" s="282"/>
      <c r="B553" s="282"/>
      <c r="C553" s="282"/>
      <c r="D553" s="282"/>
      <c r="E553" s="282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  <c r="AA553" s="282"/>
      <c r="AB553" s="282"/>
      <c r="AC553" s="282"/>
      <c r="AD553" s="282"/>
      <c r="AE553" s="282"/>
      <c r="AF553" s="282"/>
      <c r="AG553" s="282"/>
      <c r="AH553" s="281"/>
      <c r="AI553" s="282"/>
      <c r="AJ553" s="282"/>
      <c r="AK553" s="282"/>
      <c r="AL553" s="282"/>
      <c r="AM553" s="282"/>
      <c r="AN553" s="282"/>
      <c r="AO553" s="282"/>
      <c r="AP553" s="282"/>
      <c r="AQ553" s="282"/>
      <c r="AR553" s="282"/>
      <c r="AS553" s="282"/>
      <c r="AT553" s="282"/>
      <c r="AU553" s="282"/>
      <c r="AV553" s="282"/>
      <c r="AW553" s="282"/>
      <c r="AX553" s="282"/>
      <c r="AY553" s="282"/>
      <c r="AZ553" s="282"/>
      <c r="BA553" s="282"/>
    </row>
    <row r="554" spans="1:53">
      <c r="A554" s="282"/>
      <c r="B554" s="282"/>
      <c r="C554" s="282"/>
      <c r="D554" s="282"/>
      <c r="E554" s="282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  <c r="AA554" s="282"/>
      <c r="AB554" s="282"/>
      <c r="AC554" s="282"/>
      <c r="AD554" s="282"/>
      <c r="AE554" s="282"/>
      <c r="AF554" s="282"/>
      <c r="AG554" s="282"/>
      <c r="AH554" s="281"/>
      <c r="AI554" s="282"/>
      <c r="AJ554" s="282"/>
      <c r="AK554" s="282"/>
      <c r="AL554" s="282"/>
      <c r="AM554" s="282"/>
      <c r="AN554" s="282"/>
      <c r="AO554" s="282"/>
      <c r="AP554" s="282"/>
      <c r="AQ554" s="282"/>
      <c r="AR554" s="282"/>
      <c r="AS554" s="282"/>
      <c r="AT554" s="282"/>
      <c r="AU554" s="282"/>
      <c r="AV554" s="282"/>
      <c r="AW554" s="282"/>
      <c r="AX554" s="282"/>
      <c r="AY554" s="282"/>
      <c r="AZ554" s="282"/>
      <c r="BA554" s="282"/>
    </row>
    <row r="555" spans="1:53">
      <c r="A555" s="282"/>
      <c r="B555" s="282"/>
      <c r="C555" s="282"/>
      <c r="D555" s="282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  <c r="AC555" s="282"/>
      <c r="AD555" s="282"/>
      <c r="AE555" s="282"/>
      <c r="AF555" s="282"/>
      <c r="AG555" s="282"/>
      <c r="AH555" s="281"/>
      <c r="AI555" s="282"/>
      <c r="AJ555" s="282"/>
      <c r="AK555" s="282"/>
      <c r="AL555" s="282"/>
      <c r="AM555" s="282"/>
      <c r="AN555" s="282"/>
      <c r="AO555" s="282"/>
      <c r="AP555" s="282"/>
      <c r="AQ555" s="282"/>
      <c r="AR555" s="282"/>
      <c r="AS555" s="282"/>
      <c r="AT555" s="282"/>
      <c r="AU555" s="282"/>
      <c r="AV555" s="282"/>
      <c r="AW555" s="282"/>
      <c r="AX555" s="282"/>
      <c r="AY555" s="282"/>
      <c r="AZ555" s="282"/>
      <c r="BA555" s="282"/>
    </row>
    <row r="556" spans="1:53">
      <c r="A556" s="282"/>
      <c r="B556" s="282"/>
      <c r="C556" s="282"/>
      <c r="D556" s="282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  <c r="AC556" s="282"/>
      <c r="AD556" s="282"/>
      <c r="AE556" s="282"/>
      <c r="AF556" s="282"/>
      <c r="AG556" s="282"/>
      <c r="AH556" s="281"/>
      <c r="AI556" s="282"/>
      <c r="AJ556" s="282"/>
      <c r="AK556" s="282"/>
      <c r="AL556" s="282"/>
      <c r="AM556" s="282"/>
      <c r="AN556" s="282"/>
      <c r="AO556" s="282"/>
      <c r="AP556" s="282"/>
      <c r="AQ556" s="282"/>
      <c r="AR556" s="282"/>
      <c r="AS556" s="282"/>
      <c r="AT556" s="282"/>
      <c r="AU556" s="282"/>
      <c r="AV556" s="282"/>
      <c r="AW556" s="282"/>
      <c r="AX556" s="282"/>
      <c r="AY556" s="282"/>
      <c r="AZ556" s="282"/>
      <c r="BA556" s="282"/>
    </row>
    <row r="557" spans="1:53">
      <c r="A557" s="282"/>
      <c r="B557" s="282"/>
      <c r="C557" s="282"/>
      <c r="D557" s="282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  <c r="AC557" s="282"/>
      <c r="AD557" s="282"/>
      <c r="AE557" s="282"/>
      <c r="AF557" s="282"/>
      <c r="AG557" s="282"/>
      <c r="AH557" s="281"/>
      <c r="AI557" s="282"/>
      <c r="AJ557" s="282"/>
      <c r="AK557" s="282"/>
      <c r="AL557" s="282"/>
      <c r="AM557" s="282"/>
      <c r="AN557" s="282"/>
      <c r="AO557" s="282"/>
      <c r="AP557" s="282"/>
      <c r="AQ557" s="282"/>
      <c r="AR557" s="282"/>
      <c r="AS557" s="282"/>
      <c r="AT557" s="282"/>
      <c r="AU557" s="282"/>
      <c r="AV557" s="282"/>
      <c r="AW557" s="282"/>
      <c r="AX557" s="282"/>
      <c r="AY557" s="282"/>
      <c r="AZ557" s="282"/>
      <c r="BA557" s="282"/>
    </row>
    <row r="558" spans="1:53">
      <c r="A558" s="282"/>
      <c r="B558" s="282"/>
      <c r="C558" s="282"/>
      <c r="D558" s="282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  <c r="AC558" s="282"/>
      <c r="AD558" s="282"/>
      <c r="AE558" s="282"/>
      <c r="AF558" s="282"/>
      <c r="AG558" s="282"/>
      <c r="AH558" s="281"/>
      <c r="AI558" s="282"/>
      <c r="AJ558" s="282"/>
      <c r="AK558" s="282"/>
      <c r="AL558" s="282"/>
      <c r="AM558" s="282"/>
      <c r="AN558" s="282"/>
      <c r="AO558" s="282"/>
      <c r="AP558" s="282"/>
      <c r="AQ558" s="282"/>
      <c r="AR558" s="282"/>
      <c r="AS558" s="282"/>
      <c r="AT558" s="282"/>
      <c r="AU558" s="282"/>
      <c r="AV558" s="282"/>
      <c r="AW558" s="282"/>
      <c r="AX558" s="282"/>
      <c r="AY558" s="282"/>
      <c r="AZ558" s="282"/>
      <c r="BA558" s="282"/>
    </row>
    <row r="559" spans="1:53">
      <c r="A559" s="282"/>
      <c r="B559" s="282"/>
      <c r="C559" s="282"/>
      <c r="D559" s="282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  <c r="AC559" s="282"/>
      <c r="AD559" s="282"/>
      <c r="AE559" s="282"/>
      <c r="AF559" s="282"/>
      <c r="AG559" s="282"/>
      <c r="AH559" s="281"/>
      <c r="AI559" s="282"/>
      <c r="AJ559" s="282"/>
      <c r="AK559" s="282"/>
      <c r="AL559" s="282"/>
      <c r="AM559" s="282"/>
      <c r="AN559" s="282"/>
      <c r="AO559" s="282"/>
      <c r="AP559" s="282"/>
      <c r="AQ559" s="282"/>
      <c r="AR559" s="282"/>
      <c r="AS559" s="282"/>
      <c r="AT559" s="282"/>
      <c r="AU559" s="282"/>
      <c r="AV559" s="282"/>
      <c r="AW559" s="282"/>
      <c r="AX559" s="282"/>
      <c r="AY559" s="282"/>
      <c r="AZ559" s="282"/>
      <c r="BA559" s="282"/>
    </row>
    <row r="560" spans="1:53">
      <c r="A560" s="282"/>
      <c r="B560" s="282"/>
      <c r="C560" s="282"/>
      <c r="D560" s="282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  <c r="AC560" s="282"/>
      <c r="AD560" s="282"/>
      <c r="AE560" s="282"/>
      <c r="AF560" s="282"/>
      <c r="AG560" s="282"/>
      <c r="AH560" s="281"/>
      <c r="AI560" s="282"/>
      <c r="AJ560" s="282"/>
      <c r="AK560" s="282"/>
      <c r="AL560" s="282"/>
      <c r="AM560" s="282"/>
      <c r="AN560" s="282"/>
      <c r="AO560" s="282"/>
      <c r="AP560" s="282"/>
      <c r="AQ560" s="282"/>
      <c r="AR560" s="282"/>
      <c r="AS560" s="282"/>
      <c r="AT560" s="282"/>
      <c r="AU560" s="282"/>
      <c r="AV560" s="282"/>
      <c r="AW560" s="282"/>
      <c r="AX560" s="282"/>
      <c r="AY560" s="282"/>
      <c r="AZ560" s="282"/>
      <c r="BA560" s="282"/>
    </row>
    <row r="561" spans="1:53">
      <c r="A561" s="282"/>
      <c r="B561" s="282"/>
      <c r="C561" s="282"/>
      <c r="D561" s="282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  <c r="AC561" s="282"/>
      <c r="AD561" s="282"/>
      <c r="AE561" s="282"/>
      <c r="AF561" s="282"/>
      <c r="AG561" s="282"/>
      <c r="AH561" s="281"/>
      <c r="AI561" s="282"/>
      <c r="AJ561" s="282"/>
      <c r="AK561" s="282"/>
      <c r="AL561" s="282"/>
      <c r="AM561" s="282"/>
      <c r="AN561" s="282"/>
      <c r="AO561" s="282"/>
      <c r="AP561" s="282"/>
      <c r="AQ561" s="282"/>
      <c r="AR561" s="282"/>
      <c r="AS561" s="282"/>
      <c r="AT561" s="282"/>
      <c r="AU561" s="282"/>
      <c r="AV561" s="282"/>
      <c r="AW561" s="282"/>
      <c r="AX561" s="282"/>
      <c r="AY561" s="282"/>
      <c r="AZ561" s="282"/>
      <c r="BA561" s="282"/>
    </row>
    <row r="562" spans="1:53">
      <c r="A562" s="282"/>
      <c r="B562" s="282"/>
      <c r="C562" s="282"/>
      <c r="D562" s="282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  <c r="AC562" s="282"/>
      <c r="AD562" s="282"/>
      <c r="AE562" s="282"/>
      <c r="AF562" s="282"/>
      <c r="AG562" s="282"/>
      <c r="AH562" s="281"/>
      <c r="AI562" s="282"/>
      <c r="AJ562" s="282"/>
      <c r="AK562" s="282"/>
      <c r="AL562" s="282"/>
      <c r="AM562" s="282"/>
      <c r="AN562" s="282"/>
      <c r="AO562" s="282"/>
      <c r="AP562" s="282"/>
      <c r="AQ562" s="282"/>
      <c r="AR562" s="282"/>
      <c r="AS562" s="282"/>
      <c r="AT562" s="282"/>
      <c r="AU562" s="282"/>
      <c r="AV562" s="282"/>
      <c r="AW562" s="282"/>
      <c r="AX562" s="282"/>
      <c r="AY562" s="282"/>
      <c r="AZ562" s="282"/>
      <c r="BA562" s="282"/>
    </row>
    <row r="563" spans="1:53">
      <c r="A563" s="282"/>
      <c r="B563" s="282"/>
      <c r="C563" s="282"/>
      <c r="D563" s="282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  <c r="AC563" s="282"/>
      <c r="AD563" s="282"/>
      <c r="AE563" s="282"/>
      <c r="AF563" s="282"/>
      <c r="AG563" s="282"/>
      <c r="AH563" s="281"/>
      <c r="AI563" s="282"/>
      <c r="AJ563" s="282"/>
      <c r="AK563" s="282"/>
      <c r="AL563" s="282"/>
      <c r="AM563" s="282"/>
      <c r="AN563" s="282"/>
      <c r="AO563" s="282"/>
      <c r="AP563" s="282"/>
      <c r="AQ563" s="282"/>
      <c r="AR563" s="282"/>
      <c r="AS563" s="282"/>
      <c r="AT563" s="282"/>
      <c r="AU563" s="282"/>
      <c r="AV563" s="282"/>
      <c r="AW563" s="282"/>
      <c r="AX563" s="282"/>
      <c r="AY563" s="282"/>
      <c r="AZ563" s="282"/>
      <c r="BA563" s="282"/>
    </row>
    <row r="564" spans="1:53">
      <c r="A564" s="282"/>
      <c r="B564" s="282"/>
      <c r="C564" s="282"/>
      <c r="D564" s="282"/>
      <c r="E564" s="282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  <c r="AA564" s="282"/>
      <c r="AB564" s="282"/>
      <c r="AC564" s="282"/>
      <c r="AD564" s="282"/>
      <c r="AE564" s="282"/>
      <c r="AF564" s="282"/>
      <c r="AG564" s="282"/>
      <c r="AH564" s="281"/>
      <c r="AI564" s="282"/>
      <c r="AJ564" s="282"/>
      <c r="AK564" s="282"/>
      <c r="AL564" s="282"/>
      <c r="AM564" s="282"/>
      <c r="AN564" s="282"/>
      <c r="AO564" s="282"/>
      <c r="AP564" s="282"/>
      <c r="AQ564" s="282"/>
      <c r="AR564" s="282"/>
      <c r="AS564" s="282"/>
      <c r="AT564" s="282"/>
      <c r="AU564" s="282"/>
      <c r="AV564" s="282"/>
      <c r="AW564" s="282"/>
      <c r="AX564" s="282"/>
      <c r="AY564" s="282"/>
      <c r="AZ564" s="282"/>
      <c r="BA564" s="282"/>
    </row>
    <row r="565" spans="1:53">
      <c r="A565" s="282"/>
      <c r="B565" s="282"/>
      <c r="C565" s="282"/>
      <c r="D565" s="282"/>
      <c r="E565" s="282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  <c r="AA565" s="282"/>
      <c r="AB565" s="282"/>
      <c r="AC565" s="282"/>
      <c r="AD565" s="282"/>
      <c r="AE565" s="282"/>
      <c r="AF565" s="282"/>
      <c r="AG565" s="282"/>
      <c r="AH565" s="281"/>
      <c r="AI565" s="282"/>
      <c r="AJ565" s="282"/>
      <c r="AK565" s="282"/>
      <c r="AL565" s="282"/>
      <c r="AM565" s="282"/>
      <c r="AN565" s="282"/>
      <c r="AO565" s="282"/>
      <c r="AP565" s="282"/>
      <c r="AQ565" s="282"/>
      <c r="AR565" s="282"/>
      <c r="AS565" s="282"/>
      <c r="AT565" s="282"/>
      <c r="AU565" s="282"/>
      <c r="AV565" s="282"/>
      <c r="AW565" s="282"/>
      <c r="AX565" s="282"/>
      <c r="AY565" s="282"/>
      <c r="AZ565" s="282"/>
      <c r="BA565" s="282"/>
    </row>
    <row r="566" spans="1:53">
      <c r="A566" s="282"/>
      <c r="B566" s="282"/>
      <c r="C566" s="282"/>
      <c r="D566" s="282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  <c r="AC566" s="282"/>
      <c r="AD566" s="282"/>
      <c r="AE566" s="282"/>
      <c r="AF566" s="282"/>
      <c r="AG566" s="282"/>
      <c r="AH566" s="281"/>
      <c r="AI566" s="282"/>
      <c r="AJ566" s="282"/>
      <c r="AK566" s="282"/>
      <c r="AL566" s="282"/>
      <c r="AM566" s="282"/>
      <c r="AN566" s="282"/>
      <c r="AO566" s="282"/>
      <c r="AP566" s="282"/>
      <c r="AQ566" s="282"/>
      <c r="AR566" s="282"/>
      <c r="AS566" s="282"/>
      <c r="AT566" s="282"/>
      <c r="AU566" s="282"/>
      <c r="AV566" s="282"/>
      <c r="AW566" s="282"/>
      <c r="AX566" s="282"/>
      <c r="AY566" s="282"/>
      <c r="AZ566" s="282"/>
      <c r="BA566" s="282"/>
    </row>
    <row r="567" spans="1:53">
      <c r="A567" s="282"/>
      <c r="B567" s="282"/>
      <c r="C567" s="282"/>
      <c r="D567" s="282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  <c r="AC567" s="282"/>
      <c r="AD567" s="282"/>
      <c r="AE567" s="282"/>
      <c r="AF567" s="282"/>
      <c r="AG567" s="282"/>
      <c r="AH567" s="281"/>
      <c r="AI567" s="282"/>
      <c r="AJ567" s="282"/>
      <c r="AK567" s="282"/>
      <c r="AL567" s="282"/>
      <c r="AM567" s="282"/>
      <c r="AN567" s="282"/>
      <c r="AO567" s="282"/>
      <c r="AP567" s="282"/>
      <c r="AQ567" s="282"/>
      <c r="AR567" s="282"/>
      <c r="AS567" s="282"/>
      <c r="AT567" s="282"/>
      <c r="AU567" s="282"/>
      <c r="AV567" s="282"/>
      <c r="AW567" s="282"/>
      <c r="AX567" s="282"/>
      <c r="AY567" s="282"/>
      <c r="AZ567" s="282"/>
      <c r="BA567" s="282"/>
    </row>
    <row r="568" spans="1:53">
      <c r="A568" s="282"/>
      <c r="B568" s="282"/>
      <c r="C568" s="282"/>
      <c r="D568" s="282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  <c r="AC568" s="282"/>
      <c r="AD568" s="282"/>
      <c r="AE568" s="282"/>
      <c r="AF568" s="282"/>
      <c r="AG568" s="282"/>
      <c r="AH568" s="281"/>
      <c r="AI568" s="282"/>
      <c r="AJ568" s="282"/>
      <c r="AK568" s="282"/>
      <c r="AL568" s="282"/>
      <c r="AM568" s="282"/>
      <c r="AN568" s="282"/>
      <c r="AO568" s="282"/>
      <c r="AP568" s="282"/>
      <c r="AQ568" s="282"/>
      <c r="AR568" s="282"/>
      <c r="AS568" s="282"/>
      <c r="AT568" s="282"/>
      <c r="AU568" s="282"/>
      <c r="AV568" s="282"/>
      <c r="AW568" s="282"/>
      <c r="AX568" s="282"/>
      <c r="AY568" s="282"/>
      <c r="AZ568" s="282"/>
      <c r="BA568" s="282"/>
    </row>
    <row r="569" spans="1:53">
      <c r="A569" s="282"/>
      <c r="B569" s="282"/>
      <c r="C569" s="282"/>
      <c r="D569" s="282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  <c r="AC569" s="282"/>
      <c r="AD569" s="282"/>
      <c r="AE569" s="282"/>
      <c r="AF569" s="282"/>
      <c r="AG569" s="282"/>
      <c r="AH569" s="281"/>
      <c r="AI569" s="282"/>
      <c r="AJ569" s="282"/>
      <c r="AK569" s="282"/>
      <c r="AL569" s="282"/>
      <c r="AM569" s="282"/>
      <c r="AN569" s="282"/>
      <c r="AO569" s="282"/>
      <c r="AP569" s="282"/>
      <c r="AQ569" s="282"/>
      <c r="AR569" s="282"/>
      <c r="AS569" s="282"/>
      <c r="AT569" s="282"/>
      <c r="AU569" s="282"/>
      <c r="AV569" s="282"/>
      <c r="AW569" s="282"/>
      <c r="AX569" s="282"/>
      <c r="AY569" s="282"/>
      <c r="AZ569" s="282"/>
      <c r="BA569" s="282"/>
    </row>
    <row r="570" spans="1:53">
      <c r="A570" s="282"/>
      <c r="B570" s="282"/>
      <c r="C570" s="282"/>
      <c r="D570" s="282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  <c r="AC570" s="282"/>
      <c r="AD570" s="282"/>
      <c r="AE570" s="282"/>
      <c r="AF570" s="282"/>
      <c r="AG570" s="282"/>
      <c r="AH570" s="281"/>
      <c r="AI570" s="282"/>
      <c r="AJ570" s="282"/>
      <c r="AK570" s="282"/>
      <c r="AL570" s="282"/>
      <c r="AM570" s="282"/>
      <c r="AN570" s="282"/>
      <c r="AO570" s="282"/>
      <c r="AP570" s="282"/>
      <c r="AQ570" s="282"/>
      <c r="AR570" s="282"/>
      <c r="AS570" s="282"/>
      <c r="AT570" s="282"/>
      <c r="AU570" s="282"/>
      <c r="AV570" s="282"/>
      <c r="AW570" s="282"/>
      <c r="AX570" s="282"/>
      <c r="AY570" s="282"/>
      <c r="AZ570" s="282"/>
      <c r="BA570" s="282"/>
    </row>
    <row r="571" spans="1:53">
      <c r="A571" s="282"/>
      <c r="B571" s="282"/>
      <c r="C571" s="282"/>
      <c r="D571" s="282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  <c r="AC571" s="282"/>
      <c r="AD571" s="282"/>
      <c r="AE571" s="282"/>
      <c r="AF571" s="282"/>
      <c r="AG571" s="282"/>
      <c r="AH571" s="281"/>
      <c r="AI571" s="282"/>
      <c r="AJ571" s="282"/>
      <c r="AK571" s="282"/>
      <c r="AL571" s="282"/>
      <c r="AM571" s="282"/>
      <c r="AN571" s="282"/>
      <c r="AO571" s="282"/>
      <c r="AP571" s="282"/>
      <c r="AQ571" s="282"/>
      <c r="AR571" s="282"/>
      <c r="AS571" s="282"/>
      <c r="AT571" s="282"/>
      <c r="AU571" s="282"/>
      <c r="AV571" s="282"/>
      <c r="AW571" s="282"/>
      <c r="AX571" s="282"/>
      <c r="AY571" s="282"/>
      <c r="AZ571" s="282"/>
      <c r="BA571" s="282"/>
    </row>
    <row r="572" spans="1:53">
      <c r="A572" s="282"/>
      <c r="B572" s="282"/>
      <c r="C572" s="282"/>
      <c r="D572" s="282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  <c r="AC572" s="282"/>
      <c r="AD572" s="282"/>
      <c r="AE572" s="282"/>
      <c r="AF572" s="282"/>
      <c r="AG572" s="282"/>
      <c r="AH572" s="281"/>
      <c r="AI572" s="282"/>
      <c r="AJ572" s="282"/>
      <c r="AK572" s="282"/>
      <c r="AL572" s="282"/>
      <c r="AM572" s="282"/>
      <c r="AN572" s="282"/>
      <c r="AO572" s="282"/>
      <c r="AP572" s="282"/>
      <c r="AQ572" s="282"/>
      <c r="AR572" s="282"/>
      <c r="AS572" s="282"/>
      <c r="AT572" s="282"/>
      <c r="AU572" s="282"/>
      <c r="AV572" s="282"/>
      <c r="AW572" s="282"/>
      <c r="AX572" s="282"/>
      <c r="AY572" s="282"/>
      <c r="AZ572" s="282"/>
      <c r="BA572" s="282"/>
    </row>
    <row r="573" spans="1:53">
      <c r="A573" s="282"/>
      <c r="B573" s="282"/>
      <c r="C573" s="282"/>
      <c r="D573" s="282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  <c r="AC573" s="282"/>
      <c r="AD573" s="282"/>
      <c r="AE573" s="282"/>
      <c r="AF573" s="282"/>
      <c r="AG573" s="282"/>
      <c r="AH573" s="281"/>
      <c r="AI573" s="282"/>
      <c r="AJ573" s="282"/>
      <c r="AK573" s="282"/>
      <c r="AL573" s="282"/>
      <c r="AM573" s="282"/>
      <c r="AN573" s="282"/>
      <c r="AO573" s="282"/>
      <c r="AP573" s="282"/>
      <c r="AQ573" s="282"/>
      <c r="AR573" s="282"/>
      <c r="AS573" s="282"/>
      <c r="AT573" s="282"/>
      <c r="AU573" s="282"/>
      <c r="AV573" s="282"/>
      <c r="AW573" s="282"/>
      <c r="AX573" s="282"/>
      <c r="AY573" s="282"/>
      <c r="AZ573" s="282"/>
      <c r="BA573" s="282"/>
    </row>
    <row r="574" spans="1:53">
      <c r="A574" s="282"/>
      <c r="B574" s="282"/>
      <c r="C574" s="282"/>
      <c r="D574" s="282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  <c r="AC574" s="282"/>
      <c r="AD574" s="282"/>
      <c r="AE574" s="282"/>
      <c r="AF574" s="282"/>
      <c r="AG574" s="282"/>
      <c r="AH574" s="281"/>
      <c r="AI574" s="282"/>
      <c r="AJ574" s="282"/>
      <c r="AK574" s="282"/>
      <c r="AL574" s="282"/>
      <c r="AM574" s="282"/>
      <c r="AN574" s="282"/>
      <c r="AO574" s="282"/>
      <c r="AP574" s="282"/>
      <c r="AQ574" s="282"/>
      <c r="AR574" s="282"/>
      <c r="AS574" s="282"/>
      <c r="AT574" s="282"/>
      <c r="AU574" s="282"/>
      <c r="AV574" s="282"/>
      <c r="AW574" s="282"/>
      <c r="AX574" s="282"/>
      <c r="AY574" s="282"/>
      <c r="AZ574" s="282"/>
      <c r="BA574" s="282"/>
    </row>
    <row r="575" spans="1:53">
      <c r="A575" s="282"/>
      <c r="B575" s="282"/>
      <c r="C575" s="282"/>
      <c r="D575" s="282"/>
      <c r="E575" s="282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  <c r="AA575" s="282"/>
      <c r="AB575" s="282"/>
      <c r="AC575" s="282"/>
      <c r="AD575" s="282"/>
      <c r="AE575" s="282"/>
      <c r="AF575" s="282"/>
      <c r="AG575" s="282"/>
      <c r="AH575" s="281"/>
      <c r="AI575" s="282"/>
      <c r="AJ575" s="282"/>
      <c r="AK575" s="282"/>
      <c r="AL575" s="282"/>
      <c r="AM575" s="282"/>
      <c r="AN575" s="282"/>
      <c r="AO575" s="282"/>
      <c r="AP575" s="282"/>
      <c r="AQ575" s="282"/>
      <c r="AR575" s="282"/>
      <c r="AS575" s="282"/>
      <c r="AT575" s="282"/>
      <c r="AU575" s="282"/>
      <c r="AV575" s="282"/>
      <c r="AW575" s="282"/>
      <c r="AX575" s="282"/>
      <c r="AY575" s="282"/>
      <c r="AZ575" s="282"/>
      <c r="BA575" s="282"/>
    </row>
    <row r="576" spans="1:53">
      <c r="A576" s="282"/>
      <c r="B576" s="282"/>
      <c r="C576" s="282"/>
      <c r="D576" s="282"/>
      <c r="E576" s="282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  <c r="AA576" s="282"/>
      <c r="AB576" s="282"/>
      <c r="AC576" s="282"/>
      <c r="AD576" s="282"/>
      <c r="AE576" s="282"/>
      <c r="AF576" s="282"/>
      <c r="AG576" s="282"/>
      <c r="AH576" s="281"/>
      <c r="AI576" s="282"/>
      <c r="AJ576" s="282"/>
      <c r="AK576" s="282"/>
      <c r="AL576" s="282"/>
      <c r="AM576" s="282"/>
      <c r="AN576" s="282"/>
      <c r="AO576" s="282"/>
      <c r="AP576" s="282"/>
      <c r="AQ576" s="282"/>
      <c r="AR576" s="282"/>
      <c r="AS576" s="282"/>
      <c r="AT576" s="282"/>
      <c r="AU576" s="282"/>
      <c r="AV576" s="282"/>
      <c r="AW576" s="282"/>
      <c r="AX576" s="282"/>
      <c r="AY576" s="282"/>
      <c r="AZ576" s="282"/>
      <c r="BA576" s="282"/>
    </row>
    <row r="577" spans="1:53">
      <c r="A577" s="282"/>
      <c r="B577" s="282"/>
      <c r="C577" s="282"/>
      <c r="D577" s="282"/>
      <c r="E577" s="282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  <c r="AA577" s="282"/>
      <c r="AB577" s="282"/>
      <c r="AC577" s="282"/>
      <c r="AD577" s="282"/>
      <c r="AE577" s="282"/>
      <c r="AF577" s="282"/>
      <c r="AG577" s="282"/>
      <c r="AH577" s="281"/>
      <c r="AI577" s="282"/>
      <c r="AJ577" s="282"/>
      <c r="AK577" s="282"/>
      <c r="AL577" s="282"/>
      <c r="AM577" s="282"/>
      <c r="AN577" s="282"/>
      <c r="AO577" s="282"/>
      <c r="AP577" s="282"/>
      <c r="AQ577" s="282"/>
      <c r="AR577" s="282"/>
      <c r="AS577" s="282"/>
      <c r="AT577" s="282"/>
      <c r="AU577" s="282"/>
      <c r="AV577" s="282"/>
      <c r="AW577" s="282"/>
      <c r="AX577" s="282"/>
      <c r="AY577" s="282"/>
      <c r="AZ577" s="282"/>
      <c r="BA577" s="282"/>
    </row>
    <row r="578" spans="1:53">
      <c r="A578" s="282"/>
      <c r="B578" s="282"/>
      <c r="C578" s="282"/>
      <c r="D578" s="282"/>
      <c r="E578" s="282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  <c r="AC578" s="282"/>
      <c r="AD578" s="282"/>
      <c r="AE578" s="282"/>
      <c r="AF578" s="282"/>
      <c r="AG578" s="282"/>
      <c r="AH578" s="281"/>
      <c r="AI578" s="282"/>
      <c r="AJ578" s="282"/>
      <c r="AK578" s="282"/>
      <c r="AL578" s="282"/>
      <c r="AM578" s="282"/>
      <c r="AN578" s="282"/>
      <c r="AO578" s="282"/>
      <c r="AP578" s="282"/>
      <c r="AQ578" s="282"/>
      <c r="AR578" s="282"/>
      <c r="AS578" s="282"/>
      <c r="AT578" s="282"/>
      <c r="AU578" s="282"/>
      <c r="AV578" s="282"/>
      <c r="AW578" s="282"/>
      <c r="AX578" s="282"/>
      <c r="AY578" s="282"/>
      <c r="AZ578" s="282"/>
      <c r="BA578" s="282"/>
    </row>
    <row r="579" spans="1:53">
      <c r="A579" s="282"/>
      <c r="B579" s="282"/>
      <c r="C579" s="282"/>
      <c r="D579" s="282"/>
      <c r="E579" s="282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  <c r="AA579" s="282"/>
      <c r="AB579" s="282"/>
      <c r="AC579" s="282"/>
      <c r="AD579" s="282"/>
      <c r="AE579" s="282"/>
      <c r="AF579" s="282"/>
      <c r="AG579" s="282"/>
      <c r="AH579" s="281"/>
      <c r="AI579" s="282"/>
      <c r="AJ579" s="282"/>
      <c r="AK579" s="282"/>
      <c r="AL579" s="282"/>
      <c r="AM579" s="282"/>
      <c r="AN579" s="282"/>
      <c r="AO579" s="282"/>
      <c r="AP579" s="282"/>
      <c r="AQ579" s="282"/>
      <c r="AR579" s="282"/>
      <c r="AS579" s="282"/>
      <c r="AT579" s="282"/>
      <c r="AU579" s="282"/>
      <c r="AV579" s="282"/>
      <c r="AW579" s="282"/>
      <c r="AX579" s="282"/>
      <c r="AY579" s="282"/>
      <c r="AZ579" s="282"/>
      <c r="BA579" s="282"/>
    </row>
    <row r="580" spans="1:53">
      <c r="A580" s="282"/>
      <c r="B580" s="282"/>
      <c r="C580" s="282"/>
      <c r="D580" s="282"/>
      <c r="E580" s="282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  <c r="AA580" s="282"/>
      <c r="AB580" s="282"/>
      <c r="AC580" s="282"/>
      <c r="AD580" s="282"/>
      <c r="AE580" s="282"/>
      <c r="AF580" s="282"/>
      <c r="AG580" s="282"/>
      <c r="AH580" s="281"/>
      <c r="AI580" s="282"/>
      <c r="AJ580" s="282"/>
      <c r="AK580" s="282"/>
      <c r="AL580" s="282"/>
      <c r="AM580" s="282"/>
      <c r="AN580" s="282"/>
      <c r="AO580" s="282"/>
      <c r="AP580" s="282"/>
      <c r="AQ580" s="282"/>
      <c r="AR580" s="282"/>
      <c r="AS580" s="282"/>
      <c r="AT580" s="282"/>
      <c r="AU580" s="282"/>
      <c r="AV580" s="282"/>
      <c r="AW580" s="282"/>
      <c r="AX580" s="282"/>
      <c r="AY580" s="282"/>
      <c r="AZ580" s="282"/>
      <c r="BA580" s="282"/>
    </row>
    <row r="581" spans="1:53">
      <c r="A581" s="282"/>
      <c r="B581" s="282"/>
      <c r="C581" s="282"/>
      <c r="D581" s="282"/>
      <c r="E581" s="282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  <c r="AA581" s="282"/>
      <c r="AB581" s="282"/>
      <c r="AC581" s="282"/>
      <c r="AD581" s="282"/>
      <c r="AE581" s="282"/>
      <c r="AF581" s="282"/>
      <c r="AG581" s="282"/>
      <c r="AH581" s="281"/>
      <c r="AI581" s="282"/>
      <c r="AJ581" s="282"/>
      <c r="AK581" s="282"/>
      <c r="AL581" s="282"/>
      <c r="AM581" s="282"/>
      <c r="AN581" s="282"/>
      <c r="AO581" s="282"/>
      <c r="AP581" s="282"/>
      <c r="AQ581" s="282"/>
      <c r="AR581" s="282"/>
      <c r="AS581" s="282"/>
      <c r="AT581" s="282"/>
      <c r="AU581" s="282"/>
      <c r="AV581" s="282"/>
      <c r="AW581" s="282"/>
      <c r="AX581" s="282"/>
      <c r="AY581" s="282"/>
      <c r="AZ581" s="282"/>
      <c r="BA581" s="282"/>
    </row>
    <row r="582" spans="1:53">
      <c r="A582" s="282"/>
      <c r="B582" s="282"/>
      <c r="C582" s="282"/>
      <c r="D582" s="282"/>
      <c r="E582" s="282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  <c r="AA582" s="282"/>
      <c r="AB582" s="282"/>
      <c r="AC582" s="282"/>
      <c r="AD582" s="282"/>
      <c r="AE582" s="282"/>
      <c r="AF582" s="282"/>
      <c r="AG582" s="282"/>
      <c r="AH582" s="281"/>
      <c r="AI582" s="282"/>
      <c r="AJ582" s="282"/>
      <c r="AK582" s="282"/>
      <c r="AL582" s="282"/>
      <c r="AM582" s="282"/>
      <c r="AN582" s="282"/>
      <c r="AO582" s="282"/>
      <c r="AP582" s="282"/>
      <c r="AQ582" s="282"/>
      <c r="AR582" s="282"/>
      <c r="AS582" s="282"/>
      <c r="AT582" s="282"/>
      <c r="AU582" s="282"/>
      <c r="AV582" s="282"/>
      <c r="AW582" s="282"/>
      <c r="AX582" s="282"/>
      <c r="AY582" s="282"/>
      <c r="AZ582" s="282"/>
      <c r="BA582" s="282"/>
    </row>
    <row r="583" spans="1:53">
      <c r="A583" s="282"/>
      <c r="B583" s="282"/>
      <c r="C583" s="282"/>
      <c r="D583" s="282"/>
      <c r="E583" s="282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  <c r="AA583" s="282"/>
      <c r="AB583" s="282"/>
      <c r="AC583" s="282"/>
      <c r="AD583" s="282"/>
      <c r="AE583" s="282"/>
      <c r="AF583" s="282"/>
      <c r="AG583" s="282"/>
      <c r="AH583" s="281"/>
      <c r="AI583" s="282"/>
      <c r="AJ583" s="282"/>
      <c r="AK583" s="282"/>
      <c r="AL583" s="282"/>
      <c r="AM583" s="282"/>
      <c r="AN583" s="282"/>
      <c r="AO583" s="282"/>
      <c r="AP583" s="282"/>
      <c r="AQ583" s="282"/>
      <c r="AR583" s="282"/>
      <c r="AS583" s="282"/>
      <c r="AT583" s="282"/>
      <c r="AU583" s="282"/>
      <c r="AV583" s="282"/>
      <c r="AW583" s="282"/>
      <c r="AX583" s="282"/>
      <c r="AY583" s="282"/>
      <c r="AZ583" s="282"/>
      <c r="BA583" s="282"/>
    </row>
    <row r="584" spans="1:53">
      <c r="A584" s="282"/>
      <c r="B584" s="282"/>
      <c r="C584" s="282"/>
      <c r="D584" s="282"/>
      <c r="E584" s="282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  <c r="AC584" s="282"/>
      <c r="AD584" s="282"/>
      <c r="AE584" s="282"/>
      <c r="AF584" s="282"/>
      <c r="AG584" s="282"/>
      <c r="AH584" s="281"/>
      <c r="AI584" s="282"/>
      <c r="AJ584" s="282"/>
      <c r="AK584" s="282"/>
      <c r="AL584" s="282"/>
      <c r="AM584" s="282"/>
      <c r="AN584" s="282"/>
      <c r="AO584" s="282"/>
      <c r="AP584" s="282"/>
      <c r="AQ584" s="282"/>
      <c r="AR584" s="282"/>
      <c r="AS584" s="282"/>
      <c r="AT584" s="282"/>
      <c r="AU584" s="282"/>
      <c r="AV584" s="282"/>
      <c r="AW584" s="282"/>
      <c r="AX584" s="282"/>
      <c r="AY584" s="282"/>
      <c r="AZ584" s="282"/>
      <c r="BA584" s="282"/>
    </row>
    <row r="585" spans="1:53">
      <c r="A585" s="282"/>
      <c r="B585" s="282"/>
      <c r="C585" s="282"/>
      <c r="D585" s="282"/>
      <c r="E585" s="282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  <c r="AA585" s="282"/>
      <c r="AB585" s="282"/>
      <c r="AC585" s="282"/>
      <c r="AD585" s="282"/>
      <c r="AE585" s="282"/>
      <c r="AF585" s="282"/>
      <c r="AG585" s="282"/>
      <c r="AH585" s="281"/>
      <c r="AI585" s="282"/>
      <c r="AJ585" s="282"/>
      <c r="AK585" s="282"/>
      <c r="AL585" s="282"/>
      <c r="AM585" s="282"/>
      <c r="AN585" s="282"/>
      <c r="AO585" s="282"/>
      <c r="AP585" s="282"/>
      <c r="AQ585" s="282"/>
      <c r="AR585" s="282"/>
      <c r="AS585" s="282"/>
      <c r="AT585" s="282"/>
      <c r="AU585" s="282"/>
      <c r="AV585" s="282"/>
      <c r="AW585" s="282"/>
      <c r="AX585" s="282"/>
      <c r="AY585" s="282"/>
      <c r="AZ585" s="282"/>
      <c r="BA585" s="282"/>
    </row>
    <row r="586" spans="1:53">
      <c r="A586" s="282"/>
      <c r="B586" s="282"/>
      <c r="C586" s="282"/>
      <c r="D586" s="282"/>
      <c r="E586" s="282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  <c r="AA586" s="282"/>
      <c r="AB586" s="282"/>
      <c r="AC586" s="282"/>
      <c r="AD586" s="282"/>
      <c r="AE586" s="282"/>
      <c r="AF586" s="282"/>
      <c r="AG586" s="282"/>
      <c r="AH586" s="281"/>
      <c r="AI586" s="282"/>
      <c r="AJ586" s="282"/>
      <c r="AK586" s="282"/>
      <c r="AL586" s="282"/>
      <c r="AM586" s="282"/>
      <c r="AN586" s="282"/>
      <c r="AO586" s="282"/>
      <c r="AP586" s="282"/>
      <c r="AQ586" s="282"/>
      <c r="AR586" s="282"/>
      <c r="AS586" s="282"/>
      <c r="AT586" s="282"/>
      <c r="AU586" s="282"/>
      <c r="AV586" s="282"/>
      <c r="AW586" s="282"/>
      <c r="AX586" s="282"/>
      <c r="AY586" s="282"/>
      <c r="AZ586" s="282"/>
      <c r="BA586" s="282"/>
    </row>
    <row r="587" spans="1:53">
      <c r="A587" s="282"/>
      <c r="B587" s="282"/>
      <c r="C587" s="282"/>
      <c r="D587" s="282"/>
      <c r="E587" s="282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  <c r="AA587" s="282"/>
      <c r="AB587" s="282"/>
      <c r="AC587" s="282"/>
      <c r="AD587" s="282"/>
      <c r="AE587" s="282"/>
      <c r="AF587" s="282"/>
      <c r="AG587" s="282"/>
      <c r="AH587" s="281"/>
      <c r="AI587" s="282"/>
      <c r="AJ587" s="282"/>
      <c r="AK587" s="282"/>
      <c r="AL587" s="282"/>
      <c r="AM587" s="282"/>
      <c r="AN587" s="282"/>
      <c r="AO587" s="282"/>
      <c r="AP587" s="282"/>
      <c r="AQ587" s="282"/>
      <c r="AR587" s="282"/>
      <c r="AS587" s="282"/>
      <c r="AT587" s="282"/>
      <c r="AU587" s="282"/>
      <c r="AV587" s="282"/>
      <c r="AW587" s="282"/>
      <c r="AX587" s="282"/>
      <c r="AY587" s="282"/>
      <c r="AZ587" s="282"/>
      <c r="BA587" s="282"/>
    </row>
    <row r="588" spans="1:53">
      <c r="A588" s="282"/>
      <c r="B588" s="282"/>
      <c r="C588" s="282"/>
      <c r="D588" s="282"/>
      <c r="E588" s="282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  <c r="AA588" s="282"/>
      <c r="AB588" s="282"/>
      <c r="AC588" s="282"/>
      <c r="AD588" s="282"/>
      <c r="AE588" s="282"/>
      <c r="AF588" s="282"/>
      <c r="AG588" s="282"/>
      <c r="AH588" s="281"/>
      <c r="AI588" s="282"/>
      <c r="AJ588" s="282"/>
      <c r="AK588" s="282"/>
      <c r="AL588" s="282"/>
      <c r="AM588" s="282"/>
      <c r="AN588" s="282"/>
      <c r="AO588" s="282"/>
      <c r="AP588" s="282"/>
      <c r="AQ588" s="282"/>
      <c r="AR588" s="282"/>
      <c r="AS588" s="282"/>
      <c r="AT588" s="282"/>
      <c r="AU588" s="282"/>
      <c r="AV588" s="282"/>
      <c r="AW588" s="282"/>
      <c r="AX588" s="282"/>
      <c r="AY588" s="282"/>
      <c r="AZ588" s="282"/>
      <c r="BA588" s="282"/>
    </row>
    <row r="589" spans="1:53">
      <c r="A589" s="282"/>
      <c r="B589" s="282"/>
      <c r="C589" s="282"/>
      <c r="D589" s="282"/>
      <c r="E589" s="282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  <c r="AA589" s="282"/>
      <c r="AB589" s="282"/>
      <c r="AC589" s="282"/>
      <c r="AD589" s="282"/>
      <c r="AE589" s="282"/>
      <c r="AF589" s="282"/>
      <c r="AG589" s="282"/>
      <c r="AH589" s="281"/>
      <c r="AI589" s="282"/>
      <c r="AJ589" s="282"/>
      <c r="AK589" s="282"/>
      <c r="AL589" s="282"/>
      <c r="AM589" s="282"/>
      <c r="AN589" s="282"/>
      <c r="AO589" s="282"/>
      <c r="AP589" s="282"/>
      <c r="AQ589" s="282"/>
      <c r="AR589" s="282"/>
      <c r="AS589" s="282"/>
      <c r="AT589" s="282"/>
      <c r="AU589" s="282"/>
      <c r="AV589" s="282"/>
      <c r="AW589" s="282"/>
      <c r="AX589" s="282"/>
      <c r="AY589" s="282"/>
      <c r="AZ589" s="282"/>
      <c r="BA589" s="282"/>
    </row>
    <row r="590" spans="1:53">
      <c r="A590" s="282"/>
      <c r="B590" s="282"/>
      <c r="C590" s="282"/>
      <c r="D590" s="282"/>
      <c r="E590" s="282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  <c r="AA590" s="282"/>
      <c r="AB590" s="282"/>
      <c r="AC590" s="282"/>
      <c r="AD590" s="282"/>
      <c r="AE590" s="282"/>
      <c r="AF590" s="282"/>
      <c r="AG590" s="282"/>
      <c r="AH590" s="281"/>
      <c r="AI590" s="282"/>
      <c r="AJ590" s="282"/>
      <c r="AK590" s="282"/>
      <c r="AL590" s="282"/>
      <c r="AM590" s="282"/>
      <c r="AN590" s="282"/>
      <c r="AO590" s="282"/>
      <c r="AP590" s="282"/>
      <c r="AQ590" s="282"/>
      <c r="AR590" s="282"/>
      <c r="AS590" s="282"/>
      <c r="AT590" s="282"/>
      <c r="AU590" s="282"/>
      <c r="AV590" s="282"/>
      <c r="AW590" s="282"/>
      <c r="AX590" s="282"/>
      <c r="AY590" s="282"/>
      <c r="AZ590" s="282"/>
      <c r="BA590" s="282"/>
    </row>
    <row r="591" spans="1:53">
      <c r="A591" s="282"/>
      <c r="B591" s="282"/>
      <c r="C591" s="282"/>
      <c r="D591" s="282"/>
      <c r="E591" s="282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  <c r="AA591" s="282"/>
      <c r="AB591" s="282"/>
      <c r="AC591" s="282"/>
      <c r="AD591" s="282"/>
      <c r="AE591" s="282"/>
      <c r="AF591" s="282"/>
      <c r="AG591" s="282"/>
      <c r="AH591" s="281"/>
      <c r="AI591" s="282"/>
      <c r="AJ591" s="282"/>
      <c r="AK591" s="282"/>
      <c r="AL591" s="282"/>
      <c r="AM591" s="282"/>
      <c r="AN591" s="282"/>
      <c r="AO591" s="282"/>
      <c r="AP591" s="282"/>
      <c r="AQ591" s="282"/>
      <c r="AR591" s="282"/>
      <c r="AS591" s="282"/>
      <c r="AT591" s="282"/>
      <c r="AU591" s="282"/>
      <c r="AV591" s="282"/>
      <c r="AW591" s="282"/>
      <c r="AX591" s="282"/>
      <c r="AY591" s="282"/>
      <c r="AZ591" s="282"/>
      <c r="BA591" s="282"/>
    </row>
    <row r="592" spans="1:53">
      <c r="A592" s="282"/>
      <c r="B592" s="282"/>
      <c r="C592" s="282"/>
      <c r="D592" s="282"/>
      <c r="E592" s="282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  <c r="AA592" s="282"/>
      <c r="AB592" s="282"/>
      <c r="AC592" s="282"/>
      <c r="AD592" s="282"/>
      <c r="AE592" s="282"/>
      <c r="AF592" s="282"/>
      <c r="AG592" s="282"/>
      <c r="AH592" s="281"/>
      <c r="AI592" s="282"/>
      <c r="AJ592" s="282"/>
      <c r="AK592" s="282"/>
      <c r="AL592" s="282"/>
      <c r="AM592" s="282"/>
      <c r="AN592" s="282"/>
      <c r="AO592" s="282"/>
      <c r="AP592" s="282"/>
      <c r="AQ592" s="282"/>
      <c r="AR592" s="282"/>
      <c r="AS592" s="282"/>
      <c r="AT592" s="282"/>
      <c r="AU592" s="282"/>
      <c r="AV592" s="282"/>
      <c r="AW592" s="282"/>
      <c r="AX592" s="282"/>
      <c r="AY592" s="282"/>
      <c r="AZ592" s="282"/>
      <c r="BA592" s="282"/>
    </row>
    <row r="593" spans="1:53">
      <c r="A593" s="282"/>
      <c r="B593" s="282"/>
      <c r="C593" s="282"/>
      <c r="D593" s="282"/>
      <c r="E593" s="282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  <c r="AC593" s="282"/>
      <c r="AD593" s="282"/>
      <c r="AE593" s="282"/>
      <c r="AF593" s="282"/>
      <c r="AG593" s="282"/>
      <c r="AH593" s="281"/>
      <c r="AI593" s="282"/>
      <c r="AJ593" s="282"/>
      <c r="AK593" s="282"/>
      <c r="AL593" s="282"/>
      <c r="AM593" s="282"/>
      <c r="AN593" s="282"/>
      <c r="AO593" s="282"/>
      <c r="AP593" s="282"/>
      <c r="AQ593" s="282"/>
      <c r="AR593" s="282"/>
      <c r="AS593" s="282"/>
      <c r="AT593" s="282"/>
      <c r="AU593" s="282"/>
      <c r="AV593" s="282"/>
      <c r="AW593" s="282"/>
      <c r="AX593" s="282"/>
      <c r="AY593" s="282"/>
      <c r="AZ593" s="282"/>
      <c r="BA593" s="282"/>
    </row>
    <row r="594" spans="1:53">
      <c r="A594" s="282"/>
      <c r="B594" s="282"/>
      <c r="C594" s="282"/>
      <c r="D594" s="282"/>
      <c r="E594" s="282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  <c r="AA594" s="282"/>
      <c r="AB594" s="282"/>
      <c r="AC594" s="282"/>
      <c r="AD594" s="282"/>
      <c r="AE594" s="282"/>
      <c r="AF594" s="282"/>
      <c r="AG594" s="282"/>
      <c r="AH594" s="281"/>
      <c r="AI594" s="282"/>
      <c r="AJ594" s="282"/>
      <c r="AK594" s="282"/>
      <c r="AL594" s="282"/>
      <c r="AM594" s="282"/>
      <c r="AN594" s="282"/>
      <c r="AO594" s="282"/>
      <c r="AP594" s="282"/>
      <c r="AQ594" s="282"/>
      <c r="AR594" s="282"/>
      <c r="AS594" s="282"/>
      <c r="AT594" s="282"/>
      <c r="AU594" s="282"/>
      <c r="AV594" s="282"/>
      <c r="AW594" s="282"/>
      <c r="AX594" s="282"/>
      <c r="AY594" s="282"/>
      <c r="AZ594" s="282"/>
      <c r="BA594" s="282"/>
    </row>
    <row r="595" spans="1:53">
      <c r="A595" s="282"/>
      <c r="B595" s="282"/>
      <c r="C595" s="282"/>
      <c r="D595" s="282"/>
      <c r="E595" s="282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  <c r="AA595" s="282"/>
      <c r="AB595" s="282"/>
      <c r="AC595" s="282"/>
      <c r="AD595" s="282"/>
      <c r="AE595" s="282"/>
      <c r="AF595" s="282"/>
      <c r="AG595" s="282"/>
      <c r="AH595" s="281"/>
      <c r="AI595" s="282"/>
      <c r="AJ595" s="282"/>
      <c r="AK595" s="282"/>
      <c r="AL595" s="282"/>
      <c r="AM595" s="282"/>
      <c r="AN595" s="282"/>
      <c r="AO595" s="282"/>
      <c r="AP595" s="282"/>
      <c r="AQ595" s="282"/>
      <c r="AR595" s="282"/>
      <c r="AS595" s="282"/>
      <c r="AT595" s="282"/>
      <c r="AU595" s="282"/>
      <c r="AV595" s="282"/>
      <c r="AW595" s="282"/>
      <c r="AX595" s="282"/>
      <c r="AY595" s="282"/>
      <c r="AZ595" s="282"/>
      <c r="BA595" s="282"/>
    </row>
    <row r="596" spans="1:53">
      <c r="A596" s="282"/>
      <c r="B596" s="282"/>
      <c r="C596" s="282"/>
      <c r="D596" s="282"/>
      <c r="E596" s="282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  <c r="AA596" s="282"/>
      <c r="AB596" s="282"/>
      <c r="AC596" s="282"/>
      <c r="AD596" s="282"/>
      <c r="AE596" s="282"/>
      <c r="AF596" s="282"/>
      <c r="AG596" s="282"/>
      <c r="AH596" s="281"/>
      <c r="AI596" s="282"/>
      <c r="AJ596" s="282"/>
      <c r="AK596" s="282"/>
      <c r="AL596" s="282"/>
      <c r="AM596" s="282"/>
      <c r="AN596" s="282"/>
      <c r="AO596" s="282"/>
      <c r="AP596" s="282"/>
      <c r="AQ596" s="282"/>
      <c r="AR596" s="282"/>
      <c r="AS596" s="282"/>
      <c r="AT596" s="282"/>
      <c r="AU596" s="282"/>
      <c r="AV596" s="282"/>
      <c r="AW596" s="282"/>
      <c r="AX596" s="282"/>
      <c r="AY596" s="282"/>
      <c r="AZ596" s="282"/>
      <c r="BA596" s="282"/>
    </row>
    <row r="597" spans="1:53">
      <c r="A597" s="282"/>
      <c r="B597" s="282"/>
      <c r="C597" s="282"/>
      <c r="D597" s="282"/>
      <c r="E597" s="282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  <c r="AA597" s="282"/>
      <c r="AB597" s="282"/>
      <c r="AC597" s="282"/>
      <c r="AD597" s="282"/>
      <c r="AE597" s="282"/>
      <c r="AF597" s="282"/>
      <c r="AG597" s="282"/>
      <c r="AH597" s="281"/>
      <c r="AI597" s="282"/>
      <c r="AJ597" s="282"/>
      <c r="AK597" s="282"/>
      <c r="AL597" s="282"/>
      <c r="AM597" s="282"/>
      <c r="AN597" s="282"/>
      <c r="AO597" s="282"/>
      <c r="AP597" s="282"/>
      <c r="AQ597" s="282"/>
      <c r="AR597" s="282"/>
      <c r="AS597" s="282"/>
      <c r="AT597" s="282"/>
      <c r="AU597" s="282"/>
      <c r="AV597" s="282"/>
      <c r="AW597" s="282"/>
      <c r="AX597" s="282"/>
      <c r="AY597" s="282"/>
      <c r="AZ597" s="282"/>
      <c r="BA597" s="282"/>
    </row>
    <row r="598" spans="1:53">
      <c r="A598" s="282"/>
      <c r="B598" s="282"/>
      <c r="C598" s="282"/>
      <c r="D598" s="282"/>
      <c r="E598" s="282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  <c r="AA598" s="282"/>
      <c r="AB598" s="282"/>
      <c r="AC598" s="282"/>
      <c r="AD598" s="282"/>
      <c r="AE598" s="282"/>
      <c r="AF598" s="282"/>
      <c r="AG598" s="282"/>
      <c r="AH598" s="281"/>
      <c r="AI598" s="282"/>
      <c r="AJ598" s="282"/>
      <c r="AK598" s="282"/>
      <c r="AL598" s="282"/>
      <c r="AM598" s="282"/>
      <c r="AN598" s="282"/>
      <c r="AO598" s="282"/>
      <c r="AP598" s="282"/>
      <c r="AQ598" s="282"/>
      <c r="AR598" s="282"/>
      <c r="AS598" s="282"/>
      <c r="AT598" s="282"/>
      <c r="AU598" s="282"/>
      <c r="AV598" s="282"/>
      <c r="AW598" s="282"/>
      <c r="AX598" s="282"/>
      <c r="AY598" s="282"/>
      <c r="AZ598" s="282"/>
      <c r="BA598" s="282"/>
    </row>
    <row r="599" spans="1:53">
      <c r="A599" s="282"/>
      <c r="B599" s="282"/>
      <c r="C599" s="282"/>
      <c r="D599" s="282"/>
      <c r="E599" s="282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  <c r="AA599" s="282"/>
      <c r="AB599" s="282"/>
      <c r="AC599" s="282"/>
      <c r="AD599" s="282"/>
      <c r="AE599" s="282"/>
      <c r="AF599" s="282"/>
      <c r="AG599" s="282"/>
      <c r="AH599" s="281"/>
      <c r="AI599" s="282"/>
      <c r="AJ599" s="282"/>
      <c r="AK599" s="282"/>
      <c r="AL599" s="282"/>
      <c r="AM599" s="282"/>
      <c r="AN599" s="282"/>
      <c r="AO599" s="282"/>
      <c r="AP599" s="282"/>
      <c r="AQ599" s="282"/>
      <c r="AR599" s="282"/>
      <c r="AS599" s="282"/>
      <c r="AT599" s="282"/>
      <c r="AU599" s="282"/>
      <c r="AV599" s="282"/>
      <c r="AW599" s="282"/>
      <c r="AX599" s="282"/>
      <c r="AY599" s="282"/>
      <c r="AZ599" s="282"/>
      <c r="BA599" s="282"/>
    </row>
    <row r="600" spans="1:53">
      <c r="A600" s="282"/>
      <c r="B600" s="282"/>
      <c r="C600" s="282"/>
      <c r="D600" s="282"/>
      <c r="E600" s="282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  <c r="AA600" s="282"/>
      <c r="AB600" s="282"/>
      <c r="AC600" s="282"/>
      <c r="AD600" s="282"/>
      <c r="AE600" s="282"/>
      <c r="AF600" s="282"/>
      <c r="AG600" s="282"/>
      <c r="AH600" s="281"/>
      <c r="AI600" s="282"/>
      <c r="AJ600" s="282"/>
      <c r="AK600" s="282"/>
      <c r="AL600" s="282"/>
      <c r="AM600" s="282"/>
      <c r="AN600" s="282"/>
      <c r="AO600" s="282"/>
      <c r="AP600" s="282"/>
      <c r="AQ600" s="282"/>
      <c r="AR600" s="282"/>
      <c r="AS600" s="282"/>
      <c r="AT600" s="282"/>
      <c r="AU600" s="282"/>
      <c r="AV600" s="282"/>
      <c r="AW600" s="282"/>
      <c r="AX600" s="282"/>
      <c r="AY600" s="282"/>
      <c r="AZ600" s="282"/>
      <c r="BA600" s="282"/>
    </row>
    <row r="601" spans="1:53">
      <c r="A601" s="282"/>
      <c r="B601" s="282"/>
      <c r="C601" s="282"/>
      <c r="D601" s="282"/>
      <c r="E601" s="282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  <c r="AA601" s="282"/>
      <c r="AB601" s="282"/>
      <c r="AC601" s="282"/>
      <c r="AD601" s="282"/>
      <c r="AE601" s="282"/>
      <c r="AF601" s="282"/>
      <c r="AG601" s="282"/>
      <c r="AH601" s="281"/>
      <c r="AI601" s="282"/>
      <c r="AJ601" s="282"/>
      <c r="AK601" s="282"/>
      <c r="AL601" s="282"/>
      <c r="AM601" s="282"/>
      <c r="AN601" s="282"/>
      <c r="AO601" s="282"/>
      <c r="AP601" s="282"/>
      <c r="AQ601" s="282"/>
      <c r="AR601" s="282"/>
      <c r="AS601" s="282"/>
      <c r="AT601" s="282"/>
      <c r="AU601" s="282"/>
      <c r="AV601" s="282"/>
      <c r="AW601" s="282"/>
      <c r="AX601" s="282"/>
      <c r="AY601" s="282"/>
      <c r="AZ601" s="282"/>
      <c r="BA601" s="282"/>
    </row>
    <row r="602" spans="1:53">
      <c r="A602" s="282"/>
      <c r="B602" s="282"/>
      <c r="C602" s="282"/>
      <c r="D602" s="282"/>
      <c r="E602" s="282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  <c r="AA602" s="282"/>
      <c r="AB602" s="282"/>
      <c r="AC602" s="282"/>
      <c r="AD602" s="282"/>
      <c r="AE602" s="282"/>
      <c r="AF602" s="282"/>
      <c r="AG602" s="282"/>
      <c r="AH602" s="281"/>
      <c r="AI602" s="282"/>
      <c r="AJ602" s="282"/>
      <c r="AK602" s="282"/>
      <c r="AL602" s="282"/>
      <c r="AM602" s="282"/>
      <c r="AN602" s="282"/>
      <c r="AO602" s="282"/>
      <c r="AP602" s="282"/>
      <c r="AQ602" s="282"/>
      <c r="AR602" s="282"/>
      <c r="AS602" s="282"/>
      <c r="AT602" s="282"/>
      <c r="AU602" s="282"/>
      <c r="AV602" s="282"/>
      <c r="AW602" s="282"/>
      <c r="AX602" s="282"/>
      <c r="AY602" s="282"/>
      <c r="AZ602" s="282"/>
      <c r="BA602" s="282"/>
    </row>
    <row r="603" spans="1:53">
      <c r="A603" s="282"/>
      <c r="B603" s="282"/>
      <c r="C603" s="282"/>
      <c r="D603" s="282"/>
      <c r="E603" s="282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  <c r="AA603" s="282"/>
      <c r="AB603" s="282"/>
      <c r="AC603" s="282"/>
      <c r="AD603" s="282"/>
      <c r="AE603" s="282"/>
      <c r="AF603" s="282"/>
      <c r="AG603" s="282"/>
      <c r="AH603" s="281"/>
      <c r="AI603" s="282"/>
      <c r="AJ603" s="282"/>
      <c r="AK603" s="282"/>
      <c r="AL603" s="282"/>
      <c r="AM603" s="282"/>
      <c r="AN603" s="282"/>
      <c r="AO603" s="282"/>
      <c r="AP603" s="282"/>
      <c r="AQ603" s="282"/>
      <c r="AR603" s="282"/>
      <c r="AS603" s="282"/>
      <c r="AT603" s="282"/>
      <c r="AU603" s="282"/>
      <c r="AV603" s="282"/>
      <c r="AW603" s="282"/>
      <c r="AX603" s="282"/>
      <c r="AY603" s="282"/>
      <c r="AZ603" s="282"/>
      <c r="BA603" s="282"/>
    </row>
    <row r="604" spans="1:53">
      <c r="A604" s="282"/>
      <c r="B604" s="282"/>
      <c r="C604" s="282"/>
      <c r="D604" s="282"/>
      <c r="E604" s="282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  <c r="AA604" s="282"/>
      <c r="AB604" s="282"/>
      <c r="AC604" s="282"/>
      <c r="AD604" s="282"/>
      <c r="AE604" s="282"/>
      <c r="AF604" s="282"/>
      <c r="AG604" s="282"/>
      <c r="AH604" s="281"/>
      <c r="AI604" s="282"/>
      <c r="AJ604" s="282"/>
      <c r="AK604" s="282"/>
      <c r="AL604" s="282"/>
      <c r="AM604" s="282"/>
      <c r="AN604" s="282"/>
      <c r="AO604" s="282"/>
      <c r="AP604" s="282"/>
      <c r="AQ604" s="282"/>
      <c r="AR604" s="282"/>
      <c r="AS604" s="282"/>
      <c r="AT604" s="282"/>
      <c r="AU604" s="282"/>
      <c r="AV604" s="282"/>
      <c r="AW604" s="282"/>
      <c r="AX604" s="282"/>
      <c r="AY604" s="282"/>
      <c r="AZ604" s="282"/>
      <c r="BA604" s="282"/>
    </row>
    <row r="605" spans="1:53">
      <c r="A605" s="282"/>
      <c r="B605" s="282"/>
      <c r="C605" s="282"/>
      <c r="D605" s="282"/>
      <c r="E605" s="282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  <c r="AA605" s="282"/>
      <c r="AB605" s="282"/>
      <c r="AC605" s="282"/>
      <c r="AD605" s="282"/>
      <c r="AE605" s="282"/>
      <c r="AF605" s="282"/>
      <c r="AG605" s="282"/>
      <c r="AH605" s="281"/>
      <c r="AI605" s="282"/>
      <c r="AJ605" s="282"/>
      <c r="AK605" s="282"/>
      <c r="AL605" s="282"/>
      <c r="AM605" s="282"/>
      <c r="AN605" s="282"/>
      <c r="AO605" s="282"/>
      <c r="AP605" s="282"/>
      <c r="AQ605" s="282"/>
      <c r="AR605" s="282"/>
      <c r="AS605" s="282"/>
      <c r="AT605" s="282"/>
      <c r="AU605" s="282"/>
      <c r="AV605" s="282"/>
      <c r="AW605" s="282"/>
      <c r="AX605" s="282"/>
      <c r="AY605" s="282"/>
      <c r="AZ605" s="282"/>
      <c r="BA605" s="282"/>
    </row>
    <row r="606" spans="1:53">
      <c r="A606" s="282"/>
      <c r="B606" s="282"/>
      <c r="C606" s="282"/>
      <c r="D606" s="282"/>
      <c r="E606" s="282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  <c r="AC606" s="282"/>
      <c r="AD606" s="282"/>
      <c r="AE606" s="282"/>
      <c r="AF606" s="282"/>
      <c r="AG606" s="282"/>
      <c r="AH606" s="281"/>
      <c r="AI606" s="282"/>
      <c r="AJ606" s="282"/>
      <c r="AK606" s="282"/>
      <c r="AL606" s="282"/>
      <c r="AM606" s="282"/>
      <c r="AN606" s="282"/>
      <c r="AO606" s="282"/>
      <c r="AP606" s="282"/>
      <c r="AQ606" s="282"/>
      <c r="AR606" s="282"/>
      <c r="AS606" s="282"/>
      <c r="AT606" s="282"/>
      <c r="AU606" s="282"/>
      <c r="AV606" s="282"/>
      <c r="AW606" s="282"/>
      <c r="AX606" s="282"/>
      <c r="AY606" s="282"/>
      <c r="AZ606" s="282"/>
      <c r="BA606" s="282"/>
    </row>
    <row r="607" spans="1:53">
      <c r="A607" s="282"/>
      <c r="B607" s="282"/>
      <c r="C607" s="282"/>
      <c r="D607" s="282"/>
      <c r="E607" s="282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  <c r="AC607" s="282"/>
      <c r="AD607" s="282"/>
      <c r="AE607" s="282"/>
      <c r="AF607" s="282"/>
      <c r="AG607" s="282"/>
      <c r="AH607" s="281"/>
      <c r="AI607" s="282"/>
      <c r="AJ607" s="282"/>
      <c r="AK607" s="282"/>
      <c r="AL607" s="282"/>
      <c r="AM607" s="282"/>
      <c r="AN607" s="282"/>
      <c r="AO607" s="282"/>
      <c r="AP607" s="282"/>
      <c r="AQ607" s="282"/>
      <c r="AR607" s="282"/>
      <c r="AS607" s="282"/>
      <c r="AT607" s="282"/>
      <c r="AU607" s="282"/>
      <c r="AV607" s="282"/>
      <c r="AW607" s="282"/>
      <c r="AX607" s="282"/>
      <c r="AY607" s="282"/>
      <c r="AZ607" s="282"/>
      <c r="BA607" s="282"/>
    </row>
    <row r="608" spans="1:53">
      <c r="A608" s="282"/>
      <c r="B608" s="282"/>
      <c r="C608" s="282"/>
      <c r="D608" s="282"/>
      <c r="E608" s="282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  <c r="AC608" s="282"/>
      <c r="AD608" s="282"/>
      <c r="AE608" s="282"/>
      <c r="AF608" s="282"/>
      <c r="AG608" s="282"/>
      <c r="AH608" s="281"/>
      <c r="AI608" s="282"/>
      <c r="AJ608" s="282"/>
      <c r="AK608" s="282"/>
      <c r="AL608" s="282"/>
      <c r="AM608" s="282"/>
      <c r="AN608" s="282"/>
      <c r="AO608" s="282"/>
      <c r="AP608" s="282"/>
      <c r="AQ608" s="282"/>
      <c r="AR608" s="282"/>
      <c r="AS608" s="282"/>
      <c r="AT608" s="282"/>
      <c r="AU608" s="282"/>
      <c r="AV608" s="282"/>
      <c r="AW608" s="282"/>
      <c r="AX608" s="282"/>
      <c r="AY608" s="282"/>
      <c r="AZ608" s="282"/>
      <c r="BA608" s="282"/>
    </row>
    <row r="609" spans="1:53">
      <c r="A609" s="282"/>
      <c r="B609" s="282"/>
      <c r="C609" s="282"/>
      <c r="D609" s="282"/>
      <c r="E609" s="282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  <c r="AC609" s="282"/>
      <c r="AD609" s="282"/>
      <c r="AE609" s="282"/>
      <c r="AF609" s="282"/>
      <c r="AG609" s="282"/>
      <c r="AH609" s="281"/>
      <c r="AI609" s="282"/>
      <c r="AJ609" s="282"/>
      <c r="AK609" s="282"/>
      <c r="AL609" s="282"/>
      <c r="AM609" s="282"/>
      <c r="AN609" s="282"/>
      <c r="AO609" s="282"/>
      <c r="AP609" s="282"/>
      <c r="AQ609" s="282"/>
      <c r="AR609" s="282"/>
      <c r="AS609" s="282"/>
      <c r="AT609" s="282"/>
      <c r="AU609" s="282"/>
      <c r="AV609" s="282"/>
      <c r="AW609" s="282"/>
      <c r="AX609" s="282"/>
      <c r="AY609" s="282"/>
      <c r="AZ609" s="282"/>
      <c r="BA609" s="282"/>
    </row>
    <row r="610" spans="1:53">
      <c r="A610" s="282"/>
      <c r="B610" s="282"/>
      <c r="C610" s="282"/>
      <c r="D610" s="282"/>
      <c r="E610" s="282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  <c r="AC610" s="282"/>
      <c r="AD610" s="282"/>
      <c r="AE610" s="282"/>
      <c r="AF610" s="282"/>
      <c r="AG610" s="282"/>
      <c r="AH610" s="281"/>
      <c r="AI610" s="282"/>
      <c r="AJ610" s="282"/>
      <c r="AK610" s="282"/>
      <c r="AL610" s="282"/>
      <c r="AM610" s="282"/>
      <c r="AN610" s="282"/>
      <c r="AO610" s="282"/>
      <c r="AP610" s="282"/>
      <c r="AQ610" s="282"/>
      <c r="AR610" s="282"/>
      <c r="AS610" s="282"/>
      <c r="AT610" s="282"/>
      <c r="AU610" s="282"/>
      <c r="AV610" s="282"/>
      <c r="AW610" s="282"/>
      <c r="AX610" s="282"/>
      <c r="AY610" s="282"/>
      <c r="AZ610" s="282"/>
      <c r="BA610" s="282"/>
    </row>
    <row r="611" spans="1:53">
      <c r="A611" s="282"/>
      <c r="B611" s="282"/>
      <c r="C611" s="282"/>
      <c r="D611" s="282"/>
      <c r="E611" s="282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  <c r="AC611" s="282"/>
      <c r="AD611" s="282"/>
      <c r="AE611" s="282"/>
      <c r="AF611" s="282"/>
      <c r="AG611" s="282"/>
      <c r="AH611" s="281"/>
      <c r="AI611" s="282"/>
      <c r="AJ611" s="282"/>
      <c r="AK611" s="282"/>
      <c r="AL611" s="282"/>
      <c r="AM611" s="282"/>
      <c r="AN611" s="282"/>
      <c r="AO611" s="282"/>
      <c r="AP611" s="282"/>
      <c r="AQ611" s="282"/>
      <c r="AR611" s="282"/>
      <c r="AS611" s="282"/>
      <c r="AT611" s="282"/>
      <c r="AU611" s="282"/>
      <c r="AV611" s="282"/>
      <c r="AW611" s="282"/>
      <c r="AX611" s="282"/>
      <c r="AY611" s="282"/>
      <c r="AZ611" s="282"/>
      <c r="BA611" s="282"/>
    </row>
    <row r="612" spans="1:53">
      <c r="A612" s="282"/>
      <c r="B612" s="282"/>
      <c r="C612" s="282"/>
      <c r="D612" s="282"/>
      <c r="E612" s="282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  <c r="AC612" s="282"/>
      <c r="AD612" s="282"/>
      <c r="AE612" s="282"/>
      <c r="AF612" s="282"/>
      <c r="AG612" s="282"/>
      <c r="AH612" s="281"/>
      <c r="AI612" s="282"/>
      <c r="AJ612" s="282"/>
      <c r="AK612" s="282"/>
      <c r="AL612" s="282"/>
      <c r="AM612" s="282"/>
      <c r="AN612" s="282"/>
      <c r="AO612" s="282"/>
      <c r="AP612" s="282"/>
      <c r="AQ612" s="282"/>
      <c r="AR612" s="282"/>
      <c r="AS612" s="282"/>
      <c r="AT612" s="282"/>
      <c r="AU612" s="282"/>
      <c r="AV612" s="282"/>
      <c r="AW612" s="282"/>
      <c r="AX612" s="282"/>
      <c r="AY612" s="282"/>
      <c r="AZ612" s="282"/>
      <c r="BA612" s="282"/>
    </row>
    <row r="613" spans="1:53">
      <c r="A613" s="282"/>
      <c r="B613" s="282"/>
      <c r="C613" s="282"/>
      <c r="D613" s="282"/>
      <c r="E613" s="282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  <c r="AC613" s="282"/>
      <c r="AD613" s="282"/>
      <c r="AE613" s="282"/>
      <c r="AF613" s="282"/>
      <c r="AG613" s="282"/>
      <c r="AH613" s="281"/>
      <c r="AI613" s="282"/>
      <c r="AJ613" s="282"/>
      <c r="AK613" s="282"/>
      <c r="AL613" s="282"/>
      <c r="AM613" s="282"/>
      <c r="AN613" s="282"/>
      <c r="AO613" s="282"/>
      <c r="AP613" s="282"/>
      <c r="AQ613" s="282"/>
      <c r="AR613" s="282"/>
      <c r="AS613" s="282"/>
      <c r="AT613" s="282"/>
      <c r="AU613" s="282"/>
      <c r="AV613" s="282"/>
      <c r="AW613" s="282"/>
      <c r="AX613" s="282"/>
      <c r="AY613" s="282"/>
      <c r="AZ613" s="282"/>
      <c r="BA613" s="282"/>
    </row>
    <row r="614" spans="1:53">
      <c r="A614" s="282"/>
      <c r="B614" s="282"/>
      <c r="C614" s="282"/>
      <c r="D614" s="282"/>
      <c r="E614" s="282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  <c r="AA614" s="282"/>
      <c r="AB614" s="282"/>
      <c r="AC614" s="282"/>
      <c r="AD614" s="282"/>
      <c r="AE614" s="282"/>
      <c r="AF614" s="282"/>
      <c r="AG614" s="282"/>
      <c r="AH614" s="281"/>
      <c r="AI614" s="282"/>
      <c r="AJ614" s="282"/>
      <c r="AK614" s="282"/>
      <c r="AL614" s="282"/>
      <c r="AM614" s="282"/>
      <c r="AN614" s="282"/>
      <c r="AO614" s="282"/>
      <c r="AP614" s="282"/>
      <c r="AQ614" s="282"/>
      <c r="AR614" s="282"/>
      <c r="AS614" s="282"/>
      <c r="AT614" s="282"/>
      <c r="AU614" s="282"/>
      <c r="AV614" s="282"/>
      <c r="AW614" s="282"/>
      <c r="AX614" s="282"/>
      <c r="AY614" s="282"/>
      <c r="AZ614" s="282"/>
      <c r="BA614" s="282"/>
    </row>
    <row r="615" spans="1:53">
      <c r="A615" s="282"/>
      <c r="B615" s="282"/>
      <c r="C615" s="282"/>
      <c r="D615" s="282"/>
      <c r="E615" s="282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  <c r="AA615" s="282"/>
      <c r="AB615" s="282"/>
      <c r="AC615" s="282"/>
      <c r="AD615" s="282"/>
      <c r="AE615" s="282"/>
      <c r="AF615" s="282"/>
      <c r="AG615" s="282"/>
      <c r="AH615" s="281"/>
      <c r="AI615" s="282"/>
      <c r="AJ615" s="282"/>
      <c r="AK615" s="282"/>
      <c r="AL615" s="282"/>
      <c r="AM615" s="282"/>
      <c r="AN615" s="282"/>
      <c r="AO615" s="282"/>
      <c r="AP615" s="282"/>
      <c r="AQ615" s="282"/>
      <c r="AR615" s="282"/>
      <c r="AS615" s="282"/>
      <c r="AT615" s="282"/>
      <c r="AU615" s="282"/>
      <c r="AV615" s="282"/>
      <c r="AW615" s="282"/>
      <c r="AX615" s="282"/>
      <c r="AY615" s="282"/>
      <c r="AZ615" s="282"/>
      <c r="BA615" s="282"/>
    </row>
    <row r="616" spans="1:53">
      <c r="A616" s="282"/>
      <c r="B616" s="282"/>
      <c r="C616" s="282"/>
      <c r="D616" s="282"/>
      <c r="E616" s="282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  <c r="AA616" s="282"/>
      <c r="AB616" s="282"/>
      <c r="AC616" s="282"/>
      <c r="AD616" s="282"/>
      <c r="AE616" s="282"/>
      <c r="AF616" s="282"/>
      <c r="AG616" s="282"/>
      <c r="AH616" s="281"/>
      <c r="AI616" s="282"/>
      <c r="AJ616" s="282"/>
      <c r="AK616" s="282"/>
      <c r="AL616" s="282"/>
      <c r="AM616" s="282"/>
      <c r="AN616" s="282"/>
      <c r="AO616" s="282"/>
      <c r="AP616" s="282"/>
      <c r="AQ616" s="282"/>
      <c r="AR616" s="282"/>
      <c r="AS616" s="282"/>
      <c r="AT616" s="282"/>
      <c r="AU616" s="282"/>
      <c r="AV616" s="282"/>
      <c r="AW616" s="282"/>
      <c r="AX616" s="282"/>
      <c r="AY616" s="282"/>
      <c r="AZ616" s="282"/>
      <c r="BA616" s="282"/>
    </row>
    <row r="617" spans="1:53">
      <c r="A617" s="282"/>
      <c r="B617" s="282"/>
      <c r="C617" s="282"/>
      <c r="D617" s="282"/>
      <c r="E617" s="282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  <c r="AA617" s="282"/>
      <c r="AB617" s="282"/>
      <c r="AC617" s="282"/>
      <c r="AD617" s="282"/>
      <c r="AE617" s="282"/>
      <c r="AF617" s="282"/>
      <c r="AG617" s="282"/>
      <c r="AH617" s="281"/>
      <c r="AI617" s="282"/>
      <c r="AJ617" s="282"/>
      <c r="AK617" s="282"/>
      <c r="AL617" s="282"/>
      <c r="AM617" s="282"/>
      <c r="AN617" s="282"/>
      <c r="AO617" s="282"/>
      <c r="AP617" s="282"/>
      <c r="AQ617" s="282"/>
      <c r="AR617" s="282"/>
      <c r="AS617" s="282"/>
      <c r="AT617" s="282"/>
      <c r="AU617" s="282"/>
      <c r="AV617" s="282"/>
      <c r="AW617" s="282"/>
      <c r="AX617" s="282"/>
      <c r="AY617" s="282"/>
      <c r="AZ617" s="282"/>
      <c r="BA617" s="282"/>
    </row>
    <row r="618" spans="1:53">
      <c r="A618" s="282"/>
      <c r="B618" s="282"/>
      <c r="C618" s="282"/>
      <c r="D618" s="282"/>
      <c r="E618" s="282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  <c r="AC618" s="282"/>
      <c r="AD618" s="282"/>
      <c r="AE618" s="282"/>
      <c r="AF618" s="282"/>
      <c r="AG618" s="282"/>
      <c r="AH618" s="281"/>
      <c r="AI618" s="282"/>
      <c r="AJ618" s="282"/>
      <c r="AK618" s="282"/>
      <c r="AL618" s="282"/>
      <c r="AM618" s="282"/>
      <c r="AN618" s="282"/>
      <c r="AO618" s="282"/>
      <c r="AP618" s="282"/>
      <c r="AQ618" s="282"/>
      <c r="AR618" s="282"/>
      <c r="AS618" s="282"/>
      <c r="AT618" s="282"/>
      <c r="AU618" s="282"/>
      <c r="AV618" s="282"/>
      <c r="AW618" s="282"/>
      <c r="AX618" s="282"/>
      <c r="AY618" s="282"/>
      <c r="AZ618" s="282"/>
      <c r="BA618" s="282"/>
    </row>
    <row r="619" spans="1:53">
      <c r="A619" s="282"/>
      <c r="B619" s="282"/>
      <c r="C619" s="282"/>
      <c r="D619" s="282"/>
      <c r="E619" s="282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  <c r="AC619" s="282"/>
      <c r="AD619" s="282"/>
      <c r="AE619" s="282"/>
      <c r="AF619" s="282"/>
      <c r="AG619" s="282"/>
      <c r="AH619" s="281"/>
      <c r="AI619" s="282"/>
      <c r="AJ619" s="282"/>
      <c r="AK619" s="282"/>
      <c r="AL619" s="282"/>
      <c r="AM619" s="282"/>
      <c r="AN619" s="282"/>
      <c r="AO619" s="282"/>
      <c r="AP619" s="282"/>
      <c r="AQ619" s="282"/>
      <c r="AR619" s="282"/>
      <c r="AS619" s="282"/>
      <c r="AT619" s="282"/>
      <c r="AU619" s="282"/>
      <c r="AV619" s="282"/>
      <c r="AW619" s="282"/>
      <c r="AX619" s="282"/>
      <c r="AY619" s="282"/>
      <c r="AZ619" s="282"/>
      <c r="BA619" s="282"/>
    </row>
    <row r="620" spans="1:53">
      <c r="A620" s="282"/>
      <c r="B620" s="282"/>
      <c r="C620" s="282"/>
      <c r="D620" s="282"/>
      <c r="E620" s="282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  <c r="AC620" s="282"/>
      <c r="AD620" s="282"/>
      <c r="AE620" s="282"/>
      <c r="AF620" s="282"/>
      <c r="AG620" s="282"/>
      <c r="AH620" s="281"/>
      <c r="AI620" s="282"/>
      <c r="AJ620" s="282"/>
      <c r="AK620" s="282"/>
      <c r="AL620" s="282"/>
      <c r="AM620" s="282"/>
      <c r="AN620" s="282"/>
      <c r="AO620" s="282"/>
      <c r="AP620" s="282"/>
      <c r="AQ620" s="282"/>
      <c r="AR620" s="282"/>
      <c r="AS620" s="282"/>
      <c r="AT620" s="282"/>
      <c r="AU620" s="282"/>
      <c r="AV620" s="282"/>
      <c r="AW620" s="282"/>
      <c r="AX620" s="282"/>
      <c r="AY620" s="282"/>
      <c r="AZ620" s="282"/>
      <c r="BA620" s="282"/>
    </row>
    <row r="621" spans="1:53">
      <c r="A621" s="282"/>
      <c r="B621" s="282"/>
      <c r="C621" s="282"/>
      <c r="D621" s="282"/>
      <c r="E621" s="282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  <c r="AC621" s="282"/>
      <c r="AD621" s="282"/>
      <c r="AE621" s="282"/>
      <c r="AF621" s="282"/>
      <c r="AG621" s="282"/>
      <c r="AH621" s="281"/>
      <c r="AI621" s="282"/>
      <c r="AJ621" s="282"/>
      <c r="AK621" s="282"/>
      <c r="AL621" s="282"/>
      <c r="AM621" s="282"/>
      <c r="AN621" s="282"/>
      <c r="AO621" s="282"/>
      <c r="AP621" s="282"/>
      <c r="AQ621" s="282"/>
      <c r="AR621" s="282"/>
      <c r="AS621" s="282"/>
      <c r="AT621" s="282"/>
      <c r="AU621" s="282"/>
      <c r="AV621" s="282"/>
      <c r="AW621" s="282"/>
      <c r="AX621" s="282"/>
      <c r="AY621" s="282"/>
      <c r="AZ621" s="282"/>
      <c r="BA621" s="282"/>
    </row>
    <row r="622" spans="1:53">
      <c r="A622" s="282"/>
      <c r="B622" s="282"/>
      <c r="C622" s="282"/>
      <c r="D622" s="282"/>
      <c r="E622" s="282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  <c r="AC622" s="282"/>
      <c r="AD622" s="282"/>
      <c r="AE622" s="282"/>
      <c r="AF622" s="282"/>
      <c r="AG622" s="282"/>
      <c r="AH622" s="281"/>
      <c r="AI622" s="282"/>
      <c r="AJ622" s="282"/>
      <c r="AK622" s="282"/>
      <c r="AL622" s="282"/>
      <c r="AM622" s="282"/>
      <c r="AN622" s="282"/>
      <c r="AO622" s="282"/>
      <c r="AP622" s="282"/>
      <c r="AQ622" s="282"/>
      <c r="AR622" s="282"/>
      <c r="AS622" s="282"/>
      <c r="AT622" s="282"/>
      <c r="AU622" s="282"/>
      <c r="AV622" s="282"/>
      <c r="AW622" s="282"/>
      <c r="AX622" s="282"/>
      <c r="AY622" s="282"/>
      <c r="AZ622" s="282"/>
      <c r="BA622" s="282"/>
    </row>
    <row r="623" spans="1:53">
      <c r="A623" s="282"/>
      <c r="B623" s="282"/>
      <c r="C623" s="282"/>
      <c r="D623" s="282"/>
      <c r="E623" s="282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  <c r="AC623" s="282"/>
      <c r="AD623" s="282"/>
      <c r="AE623" s="282"/>
      <c r="AF623" s="282"/>
      <c r="AG623" s="282"/>
      <c r="AH623" s="281"/>
      <c r="AI623" s="282"/>
      <c r="AJ623" s="282"/>
      <c r="AK623" s="282"/>
      <c r="AL623" s="282"/>
      <c r="AM623" s="282"/>
      <c r="AN623" s="282"/>
      <c r="AO623" s="282"/>
      <c r="AP623" s="282"/>
      <c r="AQ623" s="282"/>
      <c r="AR623" s="282"/>
      <c r="AS623" s="282"/>
      <c r="AT623" s="282"/>
      <c r="AU623" s="282"/>
      <c r="AV623" s="282"/>
      <c r="AW623" s="282"/>
      <c r="AX623" s="282"/>
      <c r="AY623" s="282"/>
      <c r="AZ623" s="282"/>
      <c r="BA623" s="282"/>
    </row>
    <row r="624" spans="1:53">
      <c r="A624" s="282"/>
      <c r="B624" s="282"/>
      <c r="C624" s="282"/>
      <c r="D624" s="282"/>
      <c r="E624" s="282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  <c r="AC624" s="282"/>
      <c r="AD624" s="282"/>
      <c r="AE624" s="282"/>
      <c r="AF624" s="282"/>
      <c r="AG624" s="282"/>
      <c r="AH624" s="281"/>
      <c r="AI624" s="282"/>
      <c r="AJ624" s="282"/>
      <c r="AK624" s="282"/>
      <c r="AL624" s="282"/>
      <c r="AM624" s="282"/>
      <c r="AN624" s="282"/>
      <c r="AO624" s="282"/>
      <c r="AP624" s="282"/>
      <c r="AQ624" s="282"/>
      <c r="AR624" s="282"/>
      <c r="AS624" s="282"/>
      <c r="AT624" s="282"/>
      <c r="AU624" s="282"/>
      <c r="AV624" s="282"/>
      <c r="AW624" s="282"/>
      <c r="AX624" s="282"/>
      <c r="AY624" s="282"/>
      <c r="AZ624" s="282"/>
      <c r="BA624" s="282"/>
    </row>
    <row r="625" spans="1:53">
      <c r="A625" s="282"/>
      <c r="B625" s="282"/>
      <c r="C625" s="282"/>
      <c r="D625" s="282"/>
      <c r="E625" s="282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  <c r="AC625" s="282"/>
      <c r="AD625" s="282"/>
      <c r="AE625" s="282"/>
      <c r="AF625" s="282"/>
      <c r="AG625" s="282"/>
      <c r="AH625" s="281"/>
      <c r="AI625" s="282"/>
      <c r="AJ625" s="282"/>
      <c r="AK625" s="282"/>
      <c r="AL625" s="282"/>
      <c r="AM625" s="282"/>
      <c r="AN625" s="282"/>
      <c r="AO625" s="282"/>
      <c r="AP625" s="282"/>
      <c r="AQ625" s="282"/>
      <c r="AR625" s="282"/>
      <c r="AS625" s="282"/>
      <c r="AT625" s="282"/>
      <c r="AU625" s="282"/>
      <c r="AV625" s="282"/>
      <c r="AW625" s="282"/>
      <c r="AX625" s="282"/>
      <c r="AY625" s="282"/>
      <c r="AZ625" s="282"/>
      <c r="BA625" s="282"/>
    </row>
    <row r="626" spans="1:53">
      <c r="A626" s="282"/>
      <c r="B626" s="282"/>
      <c r="C626" s="282"/>
      <c r="D626" s="282"/>
      <c r="E626" s="282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  <c r="AC626" s="282"/>
      <c r="AD626" s="282"/>
      <c r="AE626" s="282"/>
      <c r="AF626" s="282"/>
      <c r="AG626" s="282"/>
      <c r="AH626" s="281"/>
      <c r="AI626" s="282"/>
      <c r="AJ626" s="282"/>
      <c r="AK626" s="282"/>
      <c r="AL626" s="282"/>
      <c r="AM626" s="282"/>
      <c r="AN626" s="282"/>
      <c r="AO626" s="282"/>
      <c r="AP626" s="282"/>
      <c r="AQ626" s="282"/>
      <c r="AR626" s="282"/>
      <c r="AS626" s="282"/>
      <c r="AT626" s="282"/>
      <c r="AU626" s="282"/>
      <c r="AV626" s="282"/>
      <c r="AW626" s="282"/>
      <c r="AX626" s="282"/>
      <c r="AY626" s="282"/>
      <c r="AZ626" s="282"/>
      <c r="BA626" s="282"/>
    </row>
    <row r="627" spans="1:53">
      <c r="A627" s="282"/>
      <c r="B627" s="282"/>
      <c r="C627" s="282"/>
      <c r="D627" s="282"/>
      <c r="E627" s="282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  <c r="AA627" s="282"/>
      <c r="AB627" s="282"/>
      <c r="AC627" s="282"/>
      <c r="AD627" s="282"/>
      <c r="AE627" s="282"/>
      <c r="AF627" s="282"/>
      <c r="AG627" s="282"/>
      <c r="AH627" s="281"/>
      <c r="AI627" s="282"/>
      <c r="AJ627" s="282"/>
      <c r="AK627" s="282"/>
      <c r="AL627" s="282"/>
      <c r="AM627" s="282"/>
      <c r="AN627" s="282"/>
      <c r="AO627" s="282"/>
      <c r="AP627" s="282"/>
      <c r="AQ627" s="282"/>
      <c r="AR627" s="282"/>
      <c r="AS627" s="282"/>
      <c r="AT627" s="282"/>
      <c r="AU627" s="282"/>
      <c r="AV627" s="282"/>
      <c r="AW627" s="282"/>
      <c r="AX627" s="282"/>
      <c r="AY627" s="282"/>
      <c r="AZ627" s="282"/>
      <c r="BA627" s="282"/>
    </row>
    <row r="628" spans="1:53">
      <c r="A628" s="282"/>
      <c r="B628" s="282"/>
      <c r="C628" s="282"/>
      <c r="D628" s="282"/>
      <c r="E628" s="282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  <c r="AA628" s="282"/>
      <c r="AB628" s="282"/>
      <c r="AC628" s="282"/>
      <c r="AD628" s="282"/>
      <c r="AE628" s="282"/>
      <c r="AF628" s="282"/>
      <c r="AG628" s="282"/>
      <c r="AH628" s="281"/>
      <c r="AI628" s="282"/>
      <c r="AJ628" s="282"/>
      <c r="AK628" s="282"/>
      <c r="AL628" s="282"/>
      <c r="AM628" s="282"/>
      <c r="AN628" s="282"/>
      <c r="AO628" s="282"/>
      <c r="AP628" s="282"/>
      <c r="AQ628" s="282"/>
      <c r="AR628" s="282"/>
      <c r="AS628" s="282"/>
      <c r="AT628" s="282"/>
      <c r="AU628" s="282"/>
      <c r="AV628" s="282"/>
      <c r="AW628" s="282"/>
      <c r="AX628" s="282"/>
      <c r="AY628" s="282"/>
      <c r="AZ628" s="282"/>
      <c r="BA628" s="282"/>
    </row>
    <row r="629" spans="1:53">
      <c r="A629" s="282"/>
      <c r="B629" s="282"/>
      <c r="C629" s="282"/>
      <c r="D629" s="282"/>
      <c r="E629" s="282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  <c r="AA629" s="282"/>
      <c r="AB629" s="282"/>
      <c r="AC629" s="282"/>
      <c r="AD629" s="282"/>
      <c r="AE629" s="282"/>
      <c r="AF629" s="282"/>
      <c r="AG629" s="282"/>
      <c r="AH629" s="281"/>
      <c r="AI629" s="282"/>
      <c r="AJ629" s="282"/>
      <c r="AK629" s="282"/>
      <c r="AL629" s="282"/>
      <c r="AM629" s="282"/>
      <c r="AN629" s="282"/>
      <c r="AO629" s="282"/>
      <c r="AP629" s="282"/>
      <c r="AQ629" s="282"/>
      <c r="AR629" s="282"/>
      <c r="AS629" s="282"/>
      <c r="AT629" s="282"/>
      <c r="AU629" s="282"/>
      <c r="AV629" s="282"/>
      <c r="AW629" s="282"/>
      <c r="AX629" s="282"/>
      <c r="AY629" s="282"/>
      <c r="AZ629" s="282"/>
      <c r="BA629" s="282"/>
    </row>
    <row r="630" spans="1:53">
      <c r="A630" s="282"/>
      <c r="B630" s="282"/>
      <c r="C630" s="282"/>
      <c r="D630" s="282"/>
      <c r="E630" s="282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  <c r="AC630" s="282"/>
      <c r="AD630" s="282"/>
      <c r="AE630" s="282"/>
      <c r="AF630" s="282"/>
      <c r="AG630" s="282"/>
      <c r="AH630" s="281"/>
      <c r="AI630" s="282"/>
      <c r="AJ630" s="282"/>
      <c r="AK630" s="282"/>
      <c r="AL630" s="282"/>
      <c r="AM630" s="282"/>
      <c r="AN630" s="282"/>
      <c r="AO630" s="282"/>
      <c r="AP630" s="282"/>
      <c r="AQ630" s="282"/>
      <c r="AR630" s="282"/>
      <c r="AS630" s="282"/>
      <c r="AT630" s="282"/>
      <c r="AU630" s="282"/>
      <c r="AV630" s="282"/>
      <c r="AW630" s="282"/>
      <c r="AX630" s="282"/>
      <c r="AY630" s="282"/>
      <c r="AZ630" s="282"/>
      <c r="BA630" s="282"/>
    </row>
    <row r="631" spans="1:53">
      <c r="A631" s="282"/>
      <c r="B631" s="282"/>
      <c r="C631" s="282"/>
      <c r="D631" s="282"/>
      <c r="E631" s="282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  <c r="AC631" s="282"/>
      <c r="AD631" s="282"/>
      <c r="AE631" s="282"/>
      <c r="AF631" s="282"/>
      <c r="AG631" s="282"/>
      <c r="AH631" s="281"/>
      <c r="AI631" s="282"/>
      <c r="AJ631" s="282"/>
      <c r="AK631" s="282"/>
      <c r="AL631" s="282"/>
      <c r="AM631" s="282"/>
      <c r="AN631" s="282"/>
      <c r="AO631" s="282"/>
      <c r="AP631" s="282"/>
      <c r="AQ631" s="282"/>
      <c r="AR631" s="282"/>
      <c r="AS631" s="282"/>
      <c r="AT631" s="282"/>
      <c r="AU631" s="282"/>
      <c r="AV631" s="282"/>
      <c r="AW631" s="282"/>
      <c r="AX631" s="282"/>
      <c r="AY631" s="282"/>
      <c r="AZ631" s="282"/>
      <c r="BA631" s="282"/>
    </row>
    <row r="632" spans="1:53">
      <c r="A632" s="282"/>
      <c r="B632" s="282"/>
      <c r="C632" s="282"/>
      <c r="D632" s="282"/>
      <c r="E632" s="282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  <c r="AC632" s="282"/>
      <c r="AD632" s="282"/>
      <c r="AE632" s="282"/>
      <c r="AF632" s="282"/>
      <c r="AG632" s="282"/>
      <c r="AH632" s="281"/>
      <c r="AI632" s="282"/>
      <c r="AJ632" s="282"/>
      <c r="AK632" s="282"/>
      <c r="AL632" s="282"/>
      <c r="AM632" s="282"/>
      <c r="AN632" s="282"/>
      <c r="AO632" s="282"/>
      <c r="AP632" s="282"/>
      <c r="AQ632" s="282"/>
      <c r="AR632" s="282"/>
      <c r="AS632" s="282"/>
      <c r="AT632" s="282"/>
      <c r="AU632" s="282"/>
      <c r="AV632" s="282"/>
      <c r="AW632" s="282"/>
      <c r="AX632" s="282"/>
      <c r="AY632" s="282"/>
      <c r="AZ632" s="282"/>
      <c r="BA632" s="282"/>
    </row>
    <row r="633" spans="1:53">
      <c r="A633" s="282"/>
      <c r="B633" s="282"/>
      <c r="C633" s="282"/>
      <c r="D633" s="282"/>
      <c r="E633" s="282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  <c r="AC633" s="282"/>
      <c r="AD633" s="282"/>
      <c r="AE633" s="282"/>
      <c r="AF633" s="282"/>
      <c r="AG633" s="282"/>
      <c r="AH633" s="281"/>
      <c r="AI633" s="282"/>
      <c r="AJ633" s="282"/>
      <c r="AK633" s="282"/>
      <c r="AL633" s="282"/>
      <c r="AM633" s="282"/>
      <c r="AN633" s="282"/>
      <c r="AO633" s="282"/>
      <c r="AP633" s="282"/>
      <c r="AQ633" s="282"/>
      <c r="AR633" s="282"/>
      <c r="AS633" s="282"/>
      <c r="AT633" s="282"/>
      <c r="AU633" s="282"/>
      <c r="AV633" s="282"/>
      <c r="AW633" s="282"/>
      <c r="AX633" s="282"/>
      <c r="AY633" s="282"/>
      <c r="AZ633" s="282"/>
      <c r="BA633" s="282"/>
    </row>
    <row r="634" spans="1:53">
      <c r="A634" s="282"/>
      <c r="B634" s="282"/>
      <c r="C634" s="282"/>
      <c r="D634" s="282"/>
      <c r="E634" s="282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  <c r="AA634" s="282"/>
      <c r="AB634" s="282"/>
      <c r="AC634" s="282"/>
      <c r="AD634" s="282"/>
      <c r="AE634" s="282"/>
      <c r="AF634" s="282"/>
      <c r="AG634" s="282"/>
      <c r="AH634" s="281"/>
      <c r="AI634" s="282"/>
      <c r="AJ634" s="282"/>
      <c r="AK634" s="282"/>
      <c r="AL634" s="282"/>
      <c r="AM634" s="282"/>
      <c r="AN634" s="282"/>
      <c r="AO634" s="282"/>
      <c r="AP634" s="282"/>
      <c r="AQ634" s="282"/>
      <c r="AR634" s="282"/>
      <c r="AS634" s="282"/>
      <c r="AT634" s="282"/>
      <c r="AU634" s="282"/>
      <c r="AV634" s="282"/>
      <c r="AW634" s="282"/>
      <c r="AX634" s="282"/>
      <c r="AY634" s="282"/>
      <c r="AZ634" s="282"/>
      <c r="BA634" s="282"/>
    </row>
    <row r="635" spans="1:53">
      <c r="A635" s="282"/>
      <c r="B635" s="282"/>
      <c r="C635" s="282"/>
      <c r="D635" s="282"/>
      <c r="E635" s="282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  <c r="AA635" s="282"/>
      <c r="AB635" s="282"/>
      <c r="AC635" s="282"/>
      <c r="AD635" s="282"/>
      <c r="AE635" s="282"/>
      <c r="AF635" s="282"/>
      <c r="AG635" s="282"/>
      <c r="AH635" s="281"/>
      <c r="AI635" s="282"/>
      <c r="AJ635" s="282"/>
      <c r="AK635" s="282"/>
      <c r="AL635" s="282"/>
      <c r="AM635" s="282"/>
      <c r="AN635" s="282"/>
      <c r="AO635" s="282"/>
      <c r="AP635" s="282"/>
      <c r="AQ635" s="282"/>
      <c r="AR635" s="282"/>
      <c r="AS635" s="282"/>
      <c r="AT635" s="282"/>
      <c r="AU635" s="282"/>
      <c r="AV635" s="282"/>
      <c r="AW635" s="282"/>
      <c r="AX635" s="282"/>
      <c r="AY635" s="282"/>
      <c r="AZ635" s="282"/>
      <c r="BA635" s="282"/>
    </row>
    <row r="636" spans="1:53">
      <c r="A636" s="282"/>
      <c r="B636" s="282"/>
      <c r="C636" s="282"/>
      <c r="D636" s="282"/>
      <c r="E636" s="282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  <c r="AA636" s="282"/>
      <c r="AB636" s="282"/>
      <c r="AC636" s="282"/>
      <c r="AD636" s="282"/>
      <c r="AE636" s="282"/>
      <c r="AF636" s="282"/>
      <c r="AG636" s="282"/>
      <c r="AH636" s="281"/>
      <c r="AI636" s="282"/>
      <c r="AJ636" s="282"/>
      <c r="AK636" s="282"/>
      <c r="AL636" s="282"/>
      <c r="AM636" s="282"/>
      <c r="AN636" s="282"/>
      <c r="AO636" s="282"/>
      <c r="AP636" s="282"/>
      <c r="AQ636" s="282"/>
      <c r="AR636" s="282"/>
      <c r="AS636" s="282"/>
      <c r="AT636" s="282"/>
      <c r="AU636" s="282"/>
      <c r="AV636" s="282"/>
      <c r="AW636" s="282"/>
      <c r="AX636" s="282"/>
      <c r="AY636" s="282"/>
      <c r="AZ636" s="282"/>
      <c r="BA636" s="282"/>
    </row>
    <row r="637" spans="1:53">
      <c r="A637" s="282"/>
      <c r="B637" s="282"/>
      <c r="C637" s="282"/>
      <c r="D637" s="282"/>
      <c r="E637" s="282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  <c r="AA637" s="282"/>
      <c r="AB637" s="282"/>
      <c r="AC637" s="282"/>
      <c r="AD637" s="282"/>
      <c r="AE637" s="282"/>
      <c r="AF637" s="282"/>
      <c r="AG637" s="282"/>
      <c r="AH637" s="281"/>
      <c r="AI637" s="282"/>
      <c r="AJ637" s="282"/>
      <c r="AK637" s="282"/>
      <c r="AL637" s="282"/>
      <c r="AM637" s="282"/>
      <c r="AN637" s="282"/>
      <c r="AO637" s="282"/>
      <c r="AP637" s="282"/>
      <c r="AQ637" s="282"/>
      <c r="AR637" s="282"/>
      <c r="AS637" s="282"/>
      <c r="AT637" s="282"/>
      <c r="AU637" s="282"/>
      <c r="AV637" s="282"/>
      <c r="AW637" s="282"/>
      <c r="AX637" s="282"/>
      <c r="AY637" s="282"/>
      <c r="AZ637" s="282"/>
      <c r="BA637" s="282"/>
    </row>
    <row r="638" spans="1:53">
      <c r="A638" s="282"/>
      <c r="B638" s="282"/>
      <c r="C638" s="282"/>
      <c r="D638" s="282"/>
      <c r="E638" s="282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  <c r="AA638" s="282"/>
      <c r="AB638" s="282"/>
      <c r="AC638" s="282"/>
      <c r="AD638" s="282"/>
      <c r="AE638" s="282"/>
      <c r="AF638" s="282"/>
      <c r="AG638" s="282"/>
      <c r="AH638" s="281"/>
      <c r="AI638" s="282"/>
      <c r="AJ638" s="282"/>
      <c r="AK638" s="282"/>
      <c r="AL638" s="282"/>
      <c r="AM638" s="282"/>
      <c r="AN638" s="282"/>
      <c r="AO638" s="282"/>
      <c r="AP638" s="282"/>
      <c r="AQ638" s="282"/>
      <c r="AR638" s="282"/>
      <c r="AS638" s="282"/>
      <c r="AT638" s="282"/>
      <c r="AU638" s="282"/>
      <c r="AV638" s="282"/>
      <c r="AW638" s="282"/>
      <c r="AX638" s="282"/>
      <c r="AY638" s="282"/>
      <c r="AZ638" s="282"/>
      <c r="BA638" s="282"/>
    </row>
    <row r="639" spans="1:53">
      <c r="A639" s="282"/>
      <c r="B639" s="282"/>
      <c r="C639" s="282"/>
      <c r="D639" s="282"/>
      <c r="E639" s="282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  <c r="AA639" s="282"/>
      <c r="AB639" s="282"/>
      <c r="AC639" s="282"/>
      <c r="AD639" s="282"/>
      <c r="AE639" s="282"/>
      <c r="AF639" s="282"/>
      <c r="AG639" s="282"/>
      <c r="AH639" s="281"/>
      <c r="AI639" s="282"/>
      <c r="AJ639" s="282"/>
      <c r="AK639" s="282"/>
      <c r="AL639" s="282"/>
      <c r="AM639" s="282"/>
      <c r="AN639" s="282"/>
      <c r="AO639" s="282"/>
      <c r="AP639" s="282"/>
      <c r="AQ639" s="282"/>
      <c r="AR639" s="282"/>
      <c r="AS639" s="282"/>
      <c r="AT639" s="282"/>
      <c r="AU639" s="282"/>
      <c r="AV639" s="282"/>
      <c r="AW639" s="282"/>
      <c r="AX639" s="282"/>
      <c r="AY639" s="282"/>
      <c r="AZ639" s="282"/>
      <c r="BA639" s="282"/>
    </row>
    <row r="640" spans="1:53">
      <c r="A640" s="282"/>
      <c r="B640" s="282"/>
      <c r="C640" s="282"/>
      <c r="D640" s="282"/>
      <c r="E640" s="282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  <c r="AA640" s="282"/>
      <c r="AB640" s="282"/>
      <c r="AC640" s="282"/>
      <c r="AD640" s="282"/>
      <c r="AE640" s="282"/>
      <c r="AF640" s="282"/>
      <c r="AG640" s="282"/>
      <c r="AH640" s="281"/>
      <c r="AI640" s="282"/>
      <c r="AJ640" s="282"/>
      <c r="AK640" s="282"/>
      <c r="AL640" s="282"/>
      <c r="AM640" s="282"/>
      <c r="AN640" s="282"/>
      <c r="AO640" s="282"/>
      <c r="AP640" s="282"/>
      <c r="AQ640" s="282"/>
      <c r="AR640" s="282"/>
      <c r="AS640" s="282"/>
      <c r="AT640" s="282"/>
      <c r="AU640" s="282"/>
      <c r="AV640" s="282"/>
      <c r="AW640" s="282"/>
      <c r="AX640" s="282"/>
      <c r="AY640" s="282"/>
      <c r="AZ640" s="282"/>
      <c r="BA640" s="282"/>
    </row>
    <row r="641" spans="1:53">
      <c r="A641" s="282"/>
      <c r="B641" s="282"/>
      <c r="C641" s="282"/>
      <c r="D641" s="282"/>
      <c r="E641" s="282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  <c r="AA641" s="282"/>
      <c r="AB641" s="282"/>
      <c r="AC641" s="282"/>
      <c r="AD641" s="282"/>
      <c r="AE641" s="282"/>
      <c r="AF641" s="282"/>
      <c r="AG641" s="282"/>
      <c r="AH641" s="281"/>
      <c r="AI641" s="282"/>
      <c r="AJ641" s="282"/>
      <c r="AK641" s="282"/>
      <c r="AL641" s="282"/>
      <c r="AM641" s="282"/>
      <c r="AN641" s="282"/>
      <c r="AO641" s="282"/>
      <c r="AP641" s="282"/>
      <c r="AQ641" s="282"/>
      <c r="AR641" s="282"/>
      <c r="AS641" s="282"/>
      <c r="AT641" s="282"/>
      <c r="AU641" s="282"/>
      <c r="AV641" s="282"/>
      <c r="AW641" s="282"/>
      <c r="AX641" s="282"/>
      <c r="AY641" s="282"/>
      <c r="AZ641" s="282"/>
      <c r="BA641" s="282"/>
    </row>
    <row r="642" spans="1:53">
      <c r="A642" s="282"/>
      <c r="B642" s="282"/>
      <c r="C642" s="282"/>
      <c r="D642" s="282"/>
      <c r="E642" s="282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  <c r="AA642" s="282"/>
      <c r="AB642" s="282"/>
      <c r="AC642" s="282"/>
      <c r="AD642" s="282"/>
      <c r="AE642" s="282"/>
      <c r="AF642" s="282"/>
      <c r="AG642" s="282"/>
      <c r="AH642" s="281"/>
      <c r="AI642" s="282"/>
      <c r="AJ642" s="282"/>
      <c r="AK642" s="282"/>
      <c r="AL642" s="282"/>
      <c r="AM642" s="282"/>
      <c r="AN642" s="282"/>
      <c r="AO642" s="282"/>
      <c r="AP642" s="282"/>
      <c r="AQ642" s="282"/>
      <c r="AR642" s="282"/>
      <c r="AS642" s="282"/>
      <c r="AT642" s="282"/>
      <c r="AU642" s="282"/>
      <c r="AV642" s="282"/>
      <c r="AW642" s="282"/>
      <c r="AX642" s="282"/>
      <c r="AY642" s="282"/>
      <c r="AZ642" s="282"/>
      <c r="BA642" s="282"/>
    </row>
    <row r="643" spans="1:53">
      <c r="A643" s="282"/>
      <c r="B643" s="282"/>
      <c r="C643" s="282"/>
      <c r="D643" s="282"/>
      <c r="E643" s="282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  <c r="AA643" s="282"/>
      <c r="AB643" s="282"/>
      <c r="AC643" s="282"/>
      <c r="AD643" s="282"/>
      <c r="AE643" s="282"/>
      <c r="AF643" s="282"/>
      <c r="AG643" s="282"/>
      <c r="AH643" s="281"/>
      <c r="AI643" s="282"/>
      <c r="AJ643" s="282"/>
      <c r="AK643" s="282"/>
      <c r="AL643" s="282"/>
      <c r="AM643" s="282"/>
      <c r="AN643" s="282"/>
      <c r="AO643" s="282"/>
      <c r="AP643" s="282"/>
      <c r="AQ643" s="282"/>
      <c r="AR643" s="282"/>
      <c r="AS643" s="282"/>
      <c r="AT643" s="282"/>
      <c r="AU643" s="282"/>
      <c r="AV643" s="282"/>
      <c r="AW643" s="282"/>
      <c r="AX643" s="282"/>
      <c r="AY643" s="282"/>
      <c r="AZ643" s="282"/>
      <c r="BA643" s="282"/>
    </row>
    <row r="644" spans="1:53">
      <c r="A644" s="282"/>
      <c r="B644" s="282"/>
      <c r="C644" s="282"/>
      <c r="D644" s="282"/>
      <c r="E644" s="282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  <c r="AA644" s="282"/>
      <c r="AB644" s="282"/>
      <c r="AC644" s="282"/>
      <c r="AD644" s="282"/>
      <c r="AE644" s="282"/>
      <c r="AF644" s="282"/>
      <c r="AG644" s="282"/>
      <c r="AH644" s="281"/>
      <c r="AI644" s="282"/>
      <c r="AJ644" s="282"/>
      <c r="AK644" s="282"/>
      <c r="AL644" s="282"/>
      <c r="AM644" s="282"/>
      <c r="AN644" s="282"/>
      <c r="AO644" s="282"/>
      <c r="AP644" s="282"/>
      <c r="AQ644" s="282"/>
      <c r="AR644" s="282"/>
      <c r="AS644" s="282"/>
      <c r="AT644" s="282"/>
      <c r="AU644" s="282"/>
      <c r="AV644" s="282"/>
      <c r="AW644" s="282"/>
      <c r="AX644" s="282"/>
      <c r="AY644" s="282"/>
      <c r="AZ644" s="282"/>
      <c r="BA644" s="282"/>
    </row>
    <row r="645" spans="1:53">
      <c r="A645" s="282"/>
      <c r="B645" s="282"/>
      <c r="C645" s="282"/>
      <c r="D645" s="282"/>
      <c r="E645" s="282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  <c r="AA645" s="282"/>
      <c r="AB645" s="282"/>
      <c r="AC645" s="282"/>
      <c r="AD645" s="282"/>
      <c r="AE645" s="282"/>
      <c r="AF645" s="282"/>
      <c r="AG645" s="282"/>
      <c r="AH645" s="281"/>
      <c r="AI645" s="282"/>
      <c r="AJ645" s="282"/>
      <c r="AK645" s="282"/>
      <c r="AL645" s="282"/>
      <c r="AM645" s="282"/>
      <c r="AN645" s="282"/>
      <c r="AO645" s="282"/>
      <c r="AP645" s="282"/>
      <c r="AQ645" s="282"/>
      <c r="AR645" s="282"/>
      <c r="AS645" s="282"/>
      <c r="AT645" s="282"/>
      <c r="AU645" s="282"/>
      <c r="AV645" s="282"/>
      <c r="AW645" s="282"/>
      <c r="AX645" s="282"/>
      <c r="AY645" s="282"/>
      <c r="AZ645" s="282"/>
      <c r="BA645" s="282"/>
    </row>
    <row r="646" spans="1:53">
      <c r="A646" s="282"/>
      <c r="B646" s="282"/>
      <c r="C646" s="282"/>
      <c r="D646" s="282"/>
      <c r="E646" s="282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  <c r="AA646" s="282"/>
      <c r="AB646" s="282"/>
      <c r="AC646" s="282"/>
      <c r="AD646" s="282"/>
      <c r="AE646" s="282"/>
      <c r="AF646" s="282"/>
      <c r="AG646" s="282"/>
      <c r="AH646" s="281"/>
      <c r="AI646" s="282"/>
      <c r="AJ646" s="282"/>
      <c r="AK646" s="282"/>
      <c r="AL646" s="282"/>
      <c r="AM646" s="282"/>
      <c r="AN646" s="282"/>
      <c r="AO646" s="282"/>
      <c r="AP646" s="282"/>
      <c r="AQ646" s="282"/>
      <c r="AR646" s="282"/>
      <c r="AS646" s="282"/>
      <c r="AT646" s="282"/>
      <c r="AU646" s="282"/>
      <c r="AV646" s="282"/>
      <c r="AW646" s="282"/>
      <c r="AX646" s="282"/>
      <c r="AY646" s="282"/>
      <c r="AZ646" s="282"/>
      <c r="BA646" s="282"/>
    </row>
    <row r="647" spans="1:53">
      <c r="A647" s="282"/>
      <c r="B647" s="282"/>
      <c r="C647" s="282"/>
      <c r="D647" s="282"/>
      <c r="E647" s="282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  <c r="AA647" s="282"/>
      <c r="AB647" s="282"/>
      <c r="AC647" s="282"/>
      <c r="AD647" s="282"/>
      <c r="AE647" s="282"/>
      <c r="AF647" s="282"/>
      <c r="AG647" s="282"/>
      <c r="AH647" s="281"/>
      <c r="AI647" s="282"/>
      <c r="AJ647" s="282"/>
      <c r="AK647" s="282"/>
      <c r="AL647" s="282"/>
      <c r="AM647" s="282"/>
      <c r="AN647" s="282"/>
      <c r="AO647" s="282"/>
      <c r="AP647" s="282"/>
      <c r="AQ647" s="282"/>
      <c r="AR647" s="282"/>
      <c r="AS647" s="282"/>
      <c r="AT647" s="282"/>
      <c r="AU647" s="282"/>
      <c r="AV647" s="282"/>
      <c r="AW647" s="282"/>
      <c r="AX647" s="282"/>
      <c r="AY647" s="282"/>
      <c r="AZ647" s="282"/>
      <c r="BA647" s="282"/>
    </row>
    <row r="648" spans="1:53">
      <c r="A648" s="282"/>
      <c r="B648" s="282"/>
      <c r="C648" s="282"/>
      <c r="D648" s="282"/>
      <c r="E648" s="282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  <c r="AA648" s="282"/>
      <c r="AB648" s="282"/>
      <c r="AC648" s="282"/>
      <c r="AD648" s="282"/>
      <c r="AE648" s="282"/>
      <c r="AF648" s="282"/>
      <c r="AG648" s="282"/>
      <c r="AH648" s="281"/>
      <c r="AI648" s="282"/>
      <c r="AJ648" s="282"/>
      <c r="AK648" s="282"/>
      <c r="AL648" s="282"/>
      <c r="AM648" s="282"/>
      <c r="AN648" s="282"/>
      <c r="AO648" s="282"/>
      <c r="AP648" s="282"/>
      <c r="AQ648" s="282"/>
      <c r="AR648" s="282"/>
      <c r="AS648" s="282"/>
      <c r="AT648" s="282"/>
      <c r="AU648" s="282"/>
      <c r="AV648" s="282"/>
      <c r="AW648" s="282"/>
      <c r="AX648" s="282"/>
      <c r="AY648" s="282"/>
      <c r="AZ648" s="282"/>
      <c r="BA648" s="282"/>
    </row>
    <row r="649" spans="1:53">
      <c r="A649" s="282"/>
      <c r="B649" s="282"/>
      <c r="C649" s="282"/>
      <c r="D649" s="282"/>
      <c r="E649" s="282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  <c r="AA649" s="282"/>
      <c r="AB649" s="282"/>
      <c r="AC649" s="282"/>
      <c r="AD649" s="282"/>
      <c r="AE649" s="282"/>
      <c r="AF649" s="282"/>
      <c r="AG649" s="282"/>
      <c r="AH649" s="281"/>
      <c r="AI649" s="282"/>
      <c r="AJ649" s="282"/>
      <c r="AK649" s="282"/>
      <c r="AL649" s="282"/>
      <c r="AM649" s="282"/>
      <c r="AN649" s="282"/>
      <c r="AO649" s="282"/>
      <c r="AP649" s="282"/>
      <c r="AQ649" s="282"/>
      <c r="AR649" s="282"/>
      <c r="AS649" s="282"/>
      <c r="AT649" s="282"/>
      <c r="AU649" s="282"/>
      <c r="AV649" s="282"/>
      <c r="AW649" s="282"/>
      <c r="AX649" s="282"/>
      <c r="AY649" s="282"/>
      <c r="AZ649" s="282"/>
      <c r="BA649" s="282"/>
    </row>
    <row r="650" spans="1:53">
      <c r="A650" s="282"/>
      <c r="B650" s="282"/>
      <c r="C650" s="282"/>
      <c r="D650" s="282"/>
      <c r="E650" s="282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  <c r="AA650" s="282"/>
      <c r="AB650" s="282"/>
      <c r="AC650" s="282"/>
      <c r="AD650" s="282"/>
      <c r="AE650" s="282"/>
      <c r="AF650" s="282"/>
      <c r="AG650" s="282"/>
      <c r="AH650" s="281"/>
      <c r="AI650" s="282"/>
      <c r="AJ650" s="282"/>
      <c r="AK650" s="282"/>
      <c r="AL650" s="282"/>
      <c r="AM650" s="282"/>
      <c r="AN650" s="282"/>
      <c r="AO650" s="282"/>
      <c r="AP650" s="282"/>
      <c r="AQ650" s="282"/>
      <c r="AR650" s="282"/>
      <c r="AS650" s="282"/>
      <c r="AT650" s="282"/>
      <c r="AU650" s="282"/>
      <c r="AV650" s="282"/>
      <c r="AW650" s="282"/>
      <c r="AX650" s="282"/>
      <c r="AY650" s="282"/>
      <c r="AZ650" s="282"/>
      <c r="BA650" s="282"/>
    </row>
    <row r="651" spans="1:53">
      <c r="A651" s="282"/>
      <c r="B651" s="282"/>
      <c r="C651" s="282"/>
      <c r="D651" s="282"/>
      <c r="E651" s="282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  <c r="AA651" s="282"/>
      <c r="AB651" s="282"/>
      <c r="AC651" s="282"/>
      <c r="AD651" s="282"/>
      <c r="AE651" s="282"/>
      <c r="AF651" s="282"/>
      <c r="AG651" s="282"/>
      <c r="AH651" s="281"/>
      <c r="AI651" s="282"/>
      <c r="AJ651" s="282"/>
      <c r="AK651" s="282"/>
      <c r="AL651" s="282"/>
      <c r="AM651" s="282"/>
      <c r="AN651" s="282"/>
      <c r="AO651" s="282"/>
      <c r="AP651" s="282"/>
      <c r="AQ651" s="282"/>
      <c r="AR651" s="282"/>
      <c r="AS651" s="282"/>
      <c r="AT651" s="282"/>
      <c r="AU651" s="282"/>
      <c r="AV651" s="282"/>
      <c r="AW651" s="282"/>
      <c r="AX651" s="282"/>
      <c r="AY651" s="282"/>
      <c r="AZ651" s="282"/>
      <c r="BA651" s="282"/>
    </row>
    <row r="652" spans="1:53">
      <c r="A652" s="282"/>
      <c r="B652" s="282"/>
      <c r="C652" s="282"/>
      <c r="D652" s="282"/>
      <c r="E652" s="282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  <c r="AA652" s="282"/>
      <c r="AB652" s="282"/>
      <c r="AC652" s="282"/>
      <c r="AD652" s="282"/>
      <c r="AE652" s="282"/>
      <c r="AF652" s="282"/>
      <c r="AG652" s="282"/>
      <c r="AH652" s="281"/>
      <c r="AI652" s="282"/>
      <c r="AJ652" s="282"/>
      <c r="AK652" s="282"/>
      <c r="AL652" s="282"/>
      <c r="AM652" s="282"/>
      <c r="AN652" s="282"/>
      <c r="AO652" s="282"/>
      <c r="AP652" s="282"/>
      <c r="AQ652" s="282"/>
      <c r="AR652" s="282"/>
      <c r="AS652" s="282"/>
      <c r="AT652" s="282"/>
      <c r="AU652" s="282"/>
      <c r="AV652" s="282"/>
      <c r="AW652" s="282"/>
      <c r="AX652" s="282"/>
      <c r="AY652" s="282"/>
      <c r="AZ652" s="282"/>
      <c r="BA652" s="282"/>
    </row>
    <row r="653" spans="1:53">
      <c r="A653" s="282"/>
      <c r="B653" s="282"/>
      <c r="C653" s="282"/>
      <c r="D653" s="282"/>
      <c r="E653" s="282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  <c r="AA653" s="282"/>
      <c r="AB653" s="282"/>
      <c r="AC653" s="282"/>
      <c r="AD653" s="282"/>
      <c r="AE653" s="282"/>
      <c r="AF653" s="282"/>
      <c r="AG653" s="282"/>
      <c r="AH653" s="281"/>
      <c r="AI653" s="282"/>
      <c r="AJ653" s="282"/>
      <c r="AK653" s="282"/>
      <c r="AL653" s="282"/>
      <c r="AM653" s="282"/>
      <c r="AN653" s="282"/>
      <c r="AO653" s="282"/>
      <c r="AP653" s="282"/>
      <c r="AQ653" s="282"/>
      <c r="AR653" s="282"/>
      <c r="AS653" s="282"/>
      <c r="AT653" s="282"/>
      <c r="AU653" s="282"/>
      <c r="AV653" s="282"/>
      <c r="AW653" s="282"/>
      <c r="AX653" s="282"/>
      <c r="AY653" s="282"/>
      <c r="AZ653" s="282"/>
      <c r="BA653" s="282"/>
    </row>
    <row r="654" spans="1:53">
      <c r="A654" s="282"/>
      <c r="B654" s="282"/>
      <c r="C654" s="282"/>
      <c r="D654" s="282"/>
      <c r="E654" s="282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  <c r="AA654" s="282"/>
      <c r="AB654" s="282"/>
      <c r="AC654" s="282"/>
      <c r="AD654" s="282"/>
      <c r="AE654" s="282"/>
      <c r="AF654" s="282"/>
      <c r="AG654" s="282"/>
      <c r="AH654" s="281"/>
      <c r="AI654" s="282"/>
      <c r="AJ654" s="282"/>
      <c r="AK654" s="282"/>
      <c r="AL654" s="282"/>
      <c r="AM654" s="282"/>
      <c r="AN654" s="282"/>
      <c r="AO654" s="282"/>
      <c r="AP654" s="282"/>
      <c r="AQ654" s="282"/>
      <c r="AR654" s="282"/>
      <c r="AS654" s="282"/>
      <c r="AT654" s="282"/>
      <c r="AU654" s="282"/>
      <c r="AV654" s="282"/>
      <c r="AW654" s="282"/>
      <c r="AX654" s="282"/>
      <c r="AY654" s="282"/>
      <c r="AZ654" s="282"/>
      <c r="BA654" s="282"/>
    </row>
    <row r="655" spans="1:53">
      <c r="A655" s="282"/>
      <c r="B655" s="282"/>
      <c r="C655" s="282"/>
      <c r="D655" s="282"/>
      <c r="E655" s="282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  <c r="AA655" s="282"/>
      <c r="AB655" s="282"/>
      <c r="AC655" s="282"/>
      <c r="AD655" s="282"/>
      <c r="AE655" s="282"/>
      <c r="AF655" s="282"/>
      <c r="AG655" s="282"/>
      <c r="AH655" s="281"/>
      <c r="AI655" s="282"/>
      <c r="AJ655" s="282"/>
      <c r="AK655" s="282"/>
      <c r="AL655" s="282"/>
      <c r="AM655" s="282"/>
      <c r="AN655" s="282"/>
      <c r="AO655" s="282"/>
      <c r="AP655" s="282"/>
      <c r="AQ655" s="282"/>
      <c r="AR655" s="282"/>
      <c r="AS655" s="282"/>
      <c r="AT655" s="282"/>
      <c r="AU655" s="282"/>
      <c r="AV655" s="282"/>
      <c r="AW655" s="282"/>
      <c r="AX655" s="282"/>
      <c r="AY655" s="282"/>
      <c r="AZ655" s="282"/>
      <c r="BA655" s="282"/>
    </row>
    <row r="656" spans="1:53">
      <c r="A656" s="282"/>
      <c r="B656" s="282"/>
      <c r="C656" s="282"/>
      <c r="D656" s="282"/>
      <c r="E656" s="282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  <c r="AA656" s="282"/>
      <c r="AB656" s="282"/>
      <c r="AC656" s="282"/>
      <c r="AD656" s="282"/>
      <c r="AE656" s="282"/>
      <c r="AF656" s="282"/>
      <c r="AG656" s="282"/>
      <c r="AH656" s="281"/>
      <c r="AI656" s="282"/>
      <c r="AJ656" s="282"/>
      <c r="AK656" s="282"/>
      <c r="AL656" s="282"/>
      <c r="AM656" s="282"/>
      <c r="AN656" s="282"/>
      <c r="AO656" s="282"/>
      <c r="AP656" s="282"/>
      <c r="AQ656" s="282"/>
      <c r="AR656" s="282"/>
      <c r="AS656" s="282"/>
      <c r="AT656" s="282"/>
      <c r="AU656" s="282"/>
      <c r="AV656" s="282"/>
      <c r="AW656" s="282"/>
      <c r="AX656" s="282"/>
      <c r="AY656" s="282"/>
      <c r="AZ656" s="282"/>
      <c r="BA656" s="282"/>
    </row>
    <row r="657" spans="1:53">
      <c r="A657" s="282"/>
      <c r="B657" s="282"/>
      <c r="C657" s="282"/>
      <c r="D657" s="282"/>
      <c r="E657" s="282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  <c r="AA657" s="282"/>
      <c r="AB657" s="282"/>
      <c r="AC657" s="282"/>
      <c r="AD657" s="282"/>
      <c r="AE657" s="282"/>
      <c r="AF657" s="282"/>
      <c r="AG657" s="282"/>
      <c r="AH657" s="281"/>
      <c r="AI657" s="282"/>
      <c r="AJ657" s="282"/>
      <c r="AK657" s="282"/>
      <c r="AL657" s="282"/>
      <c r="AM657" s="282"/>
      <c r="AN657" s="282"/>
      <c r="AO657" s="282"/>
      <c r="AP657" s="282"/>
      <c r="AQ657" s="282"/>
      <c r="AR657" s="282"/>
      <c r="AS657" s="282"/>
      <c r="AT657" s="282"/>
      <c r="AU657" s="282"/>
      <c r="AV657" s="282"/>
      <c r="AW657" s="282"/>
      <c r="AX657" s="282"/>
      <c r="AY657" s="282"/>
      <c r="AZ657" s="282"/>
      <c r="BA657" s="282"/>
    </row>
    <row r="658" spans="1:53">
      <c r="A658" s="282"/>
      <c r="B658" s="282"/>
      <c r="C658" s="282"/>
      <c r="D658" s="282"/>
      <c r="E658" s="282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  <c r="AA658" s="282"/>
      <c r="AB658" s="282"/>
      <c r="AC658" s="282"/>
      <c r="AD658" s="282"/>
      <c r="AE658" s="282"/>
      <c r="AF658" s="282"/>
      <c r="AG658" s="282"/>
      <c r="AH658" s="281"/>
      <c r="AI658" s="282"/>
      <c r="AJ658" s="282"/>
      <c r="AK658" s="282"/>
      <c r="AL658" s="282"/>
      <c r="AM658" s="282"/>
      <c r="AN658" s="282"/>
      <c r="AO658" s="282"/>
      <c r="AP658" s="282"/>
      <c r="AQ658" s="282"/>
      <c r="AR658" s="282"/>
      <c r="AS658" s="282"/>
      <c r="AT658" s="282"/>
      <c r="AU658" s="282"/>
      <c r="AV658" s="282"/>
      <c r="AW658" s="282"/>
      <c r="AX658" s="282"/>
      <c r="AY658" s="282"/>
      <c r="AZ658" s="282"/>
      <c r="BA658" s="282"/>
    </row>
    <row r="659" spans="1:53">
      <c r="A659" s="282"/>
      <c r="B659" s="282"/>
      <c r="C659" s="282"/>
      <c r="D659" s="282"/>
      <c r="E659" s="282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  <c r="AA659" s="282"/>
      <c r="AB659" s="282"/>
      <c r="AC659" s="282"/>
      <c r="AD659" s="282"/>
      <c r="AE659" s="282"/>
      <c r="AF659" s="282"/>
      <c r="AG659" s="282"/>
      <c r="AH659" s="281"/>
      <c r="AI659" s="282"/>
      <c r="AJ659" s="282"/>
      <c r="AK659" s="282"/>
      <c r="AL659" s="282"/>
      <c r="AM659" s="282"/>
      <c r="AN659" s="282"/>
      <c r="AO659" s="282"/>
      <c r="AP659" s="282"/>
      <c r="AQ659" s="282"/>
      <c r="AR659" s="282"/>
      <c r="AS659" s="282"/>
      <c r="AT659" s="282"/>
      <c r="AU659" s="282"/>
      <c r="AV659" s="282"/>
      <c r="AW659" s="282"/>
      <c r="AX659" s="282"/>
      <c r="AY659" s="282"/>
      <c r="AZ659" s="282"/>
      <c r="BA659" s="282"/>
    </row>
    <row r="660" spans="1:53">
      <c r="A660" s="282"/>
      <c r="B660" s="282"/>
      <c r="C660" s="282"/>
      <c r="D660" s="282"/>
      <c r="E660" s="282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  <c r="AA660" s="282"/>
      <c r="AB660" s="282"/>
      <c r="AC660" s="282"/>
      <c r="AD660" s="282"/>
      <c r="AE660" s="282"/>
      <c r="AF660" s="282"/>
      <c r="AG660" s="282"/>
      <c r="AH660" s="281"/>
      <c r="AI660" s="282"/>
      <c r="AJ660" s="282"/>
      <c r="AK660" s="282"/>
      <c r="AL660" s="282"/>
      <c r="AM660" s="282"/>
      <c r="AN660" s="282"/>
      <c r="AO660" s="282"/>
      <c r="AP660" s="282"/>
      <c r="AQ660" s="282"/>
      <c r="AR660" s="282"/>
      <c r="AS660" s="282"/>
      <c r="AT660" s="282"/>
      <c r="AU660" s="282"/>
      <c r="AV660" s="282"/>
      <c r="AW660" s="282"/>
      <c r="AX660" s="282"/>
      <c r="AY660" s="282"/>
      <c r="AZ660" s="282"/>
      <c r="BA660" s="282"/>
    </row>
    <row r="661" spans="1:53">
      <c r="A661" s="282"/>
      <c r="B661" s="282"/>
      <c r="C661" s="282"/>
      <c r="D661" s="282"/>
      <c r="E661" s="282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  <c r="AA661" s="282"/>
      <c r="AB661" s="282"/>
      <c r="AC661" s="282"/>
      <c r="AD661" s="282"/>
      <c r="AE661" s="282"/>
      <c r="AF661" s="282"/>
      <c r="AG661" s="282"/>
      <c r="AH661" s="281"/>
      <c r="AI661" s="282"/>
      <c r="AJ661" s="282"/>
      <c r="AK661" s="282"/>
      <c r="AL661" s="282"/>
      <c r="AM661" s="282"/>
      <c r="AN661" s="282"/>
      <c r="AO661" s="282"/>
      <c r="AP661" s="282"/>
      <c r="AQ661" s="282"/>
      <c r="AR661" s="282"/>
      <c r="AS661" s="282"/>
      <c r="AT661" s="282"/>
      <c r="AU661" s="282"/>
      <c r="AV661" s="282"/>
      <c r="AW661" s="282"/>
      <c r="AX661" s="282"/>
      <c r="AY661" s="282"/>
      <c r="AZ661" s="282"/>
      <c r="BA661" s="282"/>
    </row>
    <row r="662" spans="1:53">
      <c r="A662" s="282"/>
      <c r="B662" s="282"/>
      <c r="C662" s="282"/>
      <c r="D662" s="282"/>
      <c r="E662" s="282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  <c r="AA662" s="282"/>
      <c r="AB662" s="282"/>
      <c r="AC662" s="282"/>
      <c r="AD662" s="282"/>
      <c r="AE662" s="282"/>
      <c r="AF662" s="282"/>
      <c r="AG662" s="282"/>
      <c r="AH662" s="281"/>
      <c r="AI662" s="282"/>
      <c r="AJ662" s="282"/>
      <c r="AK662" s="282"/>
      <c r="AL662" s="282"/>
      <c r="AM662" s="282"/>
      <c r="AN662" s="282"/>
      <c r="AO662" s="282"/>
      <c r="AP662" s="282"/>
      <c r="AQ662" s="282"/>
      <c r="AR662" s="282"/>
      <c r="AS662" s="282"/>
      <c r="AT662" s="282"/>
      <c r="AU662" s="282"/>
      <c r="AV662" s="282"/>
      <c r="AW662" s="282"/>
      <c r="AX662" s="282"/>
      <c r="AY662" s="282"/>
      <c r="AZ662" s="282"/>
      <c r="BA662" s="282"/>
    </row>
    <row r="663" spans="1:53">
      <c r="A663" s="282"/>
      <c r="B663" s="282"/>
      <c r="C663" s="282"/>
      <c r="D663" s="282"/>
      <c r="E663" s="282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  <c r="AA663" s="282"/>
      <c r="AB663" s="282"/>
      <c r="AC663" s="282"/>
      <c r="AD663" s="282"/>
      <c r="AE663" s="282"/>
      <c r="AF663" s="282"/>
      <c r="AG663" s="282"/>
      <c r="AH663" s="281"/>
      <c r="AI663" s="282"/>
      <c r="AJ663" s="282"/>
      <c r="AK663" s="282"/>
      <c r="AL663" s="282"/>
      <c r="AM663" s="282"/>
      <c r="AN663" s="282"/>
      <c r="AO663" s="282"/>
      <c r="AP663" s="282"/>
      <c r="AQ663" s="282"/>
      <c r="AR663" s="282"/>
      <c r="AS663" s="282"/>
      <c r="AT663" s="282"/>
      <c r="AU663" s="282"/>
      <c r="AV663" s="282"/>
      <c r="AW663" s="282"/>
      <c r="AX663" s="282"/>
      <c r="AY663" s="282"/>
      <c r="AZ663" s="282"/>
      <c r="BA663" s="282"/>
    </row>
    <row r="664" spans="1:53">
      <c r="A664" s="282"/>
      <c r="B664" s="282"/>
      <c r="C664" s="282"/>
      <c r="D664" s="282"/>
      <c r="E664" s="282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  <c r="AA664" s="282"/>
      <c r="AB664" s="282"/>
      <c r="AC664" s="282"/>
      <c r="AD664" s="282"/>
      <c r="AE664" s="282"/>
      <c r="AF664" s="282"/>
      <c r="AG664" s="282"/>
      <c r="AH664" s="281"/>
      <c r="AI664" s="282"/>
      <c r="AJ664" s="282"/>
      <c r="AK664" s="282"/>
      <c r="AL664" s="282"/>
      <c r="AM664" s="282"/>
      <c r="AN664" s="282"/>
      <c r="AO664" s="282"/>
      <c r="AP664" s="282"/>
      <c r="AQ664" s="282"/>
      <c r="AR664" s="282"/>
      <c r="AS664" s="282"/>
      <c r="AT664" s="282"/>
      <c r="AU664" s="282"/>
      <c r="AV664" s="282"/>
      <c r="AW664" s="282"/>
      <c r="AX664" s="282"/>
      <c r="AY664" s="282"/>
      <c r="AZ664" s="282"/>
      <c r="BA664" s="282"/>
    </row>
    <row r="665" spans="1:53">
      <c r="A665" s="282"/>
      <c r="B665" s="282"/>
      <c r="C665" s="282"/>
      <c r="D665" s="282"/>
      <c r="E665" s="282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  <c r="AA665" s="282"/>
      <c r="AB665" s="282"/>
      <c r="AC665" s="282"/>
      <c r="AD665" s="282"/>
      <c r="AE665" s="282"/>
      <c r="AF665" s="282"/>
      <c r="AG665" s="282"/>
      <c r="AH665" s="281"/>
      <c r="AI665" s="282"/>
      <c r="AJ665" s="282"/>
      <c r="AK665" s="282"/>
      <c r="AL665" s="282"/>
      <c r="AM665" s="282"/>
      <c r="AN665" s="282"/>
      <c r="AO665" s="282"/>
      <c r="AP665" s="282"/>
      <c r="AQ665" s="282"/>
      <c r="AR665" s="282"/>
      <c r="AS665" s="282"/>
      <c r="AT665" s="282"/>
      <c r="AU665" s="282"/>
      <c r="AV665" s="282"/>
      <c r="AW665" s="282"/>
      <c r="AX665" s="282"/>
      <c r="AY665" s="282"/>
      <c r="AZ665" s="282"/>
      <c r="BA665" s="282"/>
    </row>
    <row r="666" spans="1:53">
      <c r="A666" s="282"/>
      <c r="B666" s="282"/>
      <c r="C666" s="282"/>
      <c r="D666" s="282"/>
      <c r="E666" s="282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  <c r="AA666" s="282"/>
      <c r="AB666" s="282"/>
      <c r="AC666" s="282"/>
      <c r="AD666" s="282"/>
      <c r="AE666" s="282"/>
      <c r="AF666" s="282"/>
      <c r="AG666" s="282"/>
      <c r="AH666" s="281"/>
      <c r="AI666" s="282"/>
      <c r="AJ666" s="282"/>
      <c r="AK666" s="282"/>
      <c r="AL666" s="282"/>
      <c r="AM666" s="282"/>
      <c r="AN666" s="282"/>
      <c r="AO666" s="282"/>
      <c r="AP666" s="282"/>
      <c r="AQ666" s="282"/>
      <c r="AR666" s="282"/>
      <c r="AS666" s="282"/>
      <c r="AT666" s="282"/>
      <c r="AU666" s="282"/>
      <c r="AV666" s="282"/>
      <c r="AW666" s="282"/>
      <c r="AX666" s="282"/>
      <c r="AY666" s="282"/>
      <c r="AZ666" s="282"/>
      <c r="BA666" s="282"/>
    </row>
    <row r="667" spans="1:53">
      <c r="A667" s="282"/>
      <c r="B667" s="282"/>
      <c r="C667" s="282"/>
      <c r="D667" s="282"/>
      <c r="E667" s="282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  <c r="AA667" s="282"/>
      <c r="AB667" s="282"/>
      <c r="AC667" s="282"/>
      <c r="AD667" s="282"/>
      <c r="AE667" s="282"/>
      <c r="AF667" s="282"/>
      <c r="AG667" s="282"/>
      <c r="AH667" s="281"/>
      <c r="AI667" s="282"/>
      <c r="AJ667" s="282"/>
      <c r="AK667" s="282"/>
      <c r="AL667" s="282"/>
      <c r="AM667" s="282"/>
      <c r="AN667" s="282"/>
      <c r="AO667" s="282"/>
      <c r="AP667" s="282"/>
      <c r="AQ667" s="282"/>
      <c r="AR667" s="282"/>
      <c r="AS667" s="282"/>
      <c r="AT667" s="282"/>
      <c r="AU667" s="282"/>
      <c r="AV667" s="282"/>
      <c r="AW667" s="282"/>
      <c r="AX667" s="282"/>
      <c r="AY667" s="282"/>
      <c r="AZ667" s="282"/>
      <c r="BA667" s="282"/>
    </row>
    <row r="668" spans="1:53">
      <c r="A668" s="282"/>
      <c r="B668" s="282"/>
      <c r="C668" s="282"/>
      <c r="D668" s="282"/>
      <c r="E668" s="282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  <c r="AA668" s="282"/>
      <c r="AB668" s="282"/>
      <c r="AC668" s="282"/>
      <c r="AD668" s="282"/>
      <c r="AE668" s="282"/>
      <c r="AF668" s="282"/>
      <c r="AG668" s="282"/>
      <c r="AH668" s="281"/>
      <c r="AI668" s="282"/>
      <c r="AJ668" s="282"/>
      <c r="AK668" s="282"/>
      <c r="AL668" s="282"/>
      <c r="AM668" s="282"/>
      <c r="AN668" s="282"/>
      <c r="AO668" s="282"/>
      <c r="AP668" s="282"/>
      <c r="AQ668" s="282"/>
      <c r="AR668" s="282"/>
      <c r="AS668" s="282"/>
      <c r="AT668" s="282"/>
      <c r="AU668" s="282"/>
      <c r="AV668" s="282"/>
      <c r="AW668" s="282"/>
      <c r="AX668" s="282"/>
      <c r="AY668" s="282"/>
      <c r="AZ668" s="282"/>
      <c r="BA668" s="282"/>
    </row>
    <row r="669" spans="1:53">
      <c r="A669" s="282"/>
      <c r="B669" s="282"/>
      <c r="C669" s="282"/>
      <c r="D669" s="282"/>
      <c r="E669" s="282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  <c r="AA669" s="282"/>
      <c r="AB669" s="282"/>
      <c r="AC669" s="282"/>
      <c r="AD669" s="282"/>
      <c r="AE669" s="282"/>
      <c r="AF669" s="282"/>
      <c r="AG669" s="282"/>
      <c r="AH669" s="281"/>
      <c r="AI669" s="282"/>
      <c r="AJ669" s="282"/>
      <c r="AK669" s="282"/>
      <c r="AL669" s="282"/>
      <c r="AM669" s="282"/>
      <c r="AN669" s="282"/>
      <c r="AO669" s="282"/>
      <c r="AP669" s="282"/>
      <c r="AQ669" s="282"/>
      <c r="AR669" s="282"/>
      <c r="AS669" s="282"/>
      <c r="AT669" s="282"/>
      <c r="AU669" s="282"/>
      <c r="AV669" s="282"/>
      <c r="AW669" s="282"/>
      <c r="AX669" s="282"/>
      <c r="AY669" s="282"/>
      <c r="AZ669" s="282"/>
      <c r="BA669" s="282"/>
    </row>
    <row r="670" spans="1:53">
      <c r="A670" s="282"/>
      <c r="B670" s="282"/>
      <c r="C670" s="282"/>
      <c r="D670" s="282"/>
      <c r="E670" s="282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  <c r="AA670" s="282"/>
      <c r="AB670" s="282"/>
      <c r="AC670" s="282"/>
      <c r="AD670" s="282"/>
      <c r="AE670" s="282"/>
      <c r="AF670" s="282"/>
      <c r="AG670" s="282"/>
      <c r="AH670" s="281"/>
      <c r="AI670" s="282"/>
      <c r="AJ670" s="282"/>
      <c r="AK670" s="282"/>
      <c r="AL670" s="282"/>
      <c r="AM670" s="282"/>
      <c r="AN670" s="282"/>
      <c r="AO670" s="282"/>
      <c r="AP670" s="282"/>
      <c r="AQ670" s="282"/>
      <c r="AR670" s="282"/>
      <c r="AS670" s="282"/>
      <c r="AT670" s="282"/>
      <c r="AU670" s="282"/>
      <c r="AV670" s="282"/>
      <c r="AW670" s="282"/>
      <c r="AX670" s="282"/>
      <c r="AY670" s="282"/>
      <c r="AZ670" s="282"/>
      <c r="BA670" s="282"/>
    </row>
    <row r="671" spans="1:53">
      <c r="A671" s="282"/>
      <c r="B671" s="282"/>
      <c r="C671" s="282"/>
      <c r="D671" s="282"/>
      <c r="E671" s="282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  <c r="AA671" s="282"/>
      <c r="AB671" s="282"/>
      <c r="AC671" s="282"/>
      <c r="AD671" s="282"/>
      <c r="AE671" s="282"/>
      <c r="AF671" s="282"/>
      <c r="AG671" s="282"/>
      <c r="AH671" s="281"/>
      <c r="AI671" s="282"/>
      <c r="AJ671" s="282"/>
      <c r="AK671" s="282"/>
      <c r="AL671" s="282"/>
      <c r="AM671" s="282"/>
      <c r="AN671" s="282"/>
      <c r="AO671" s="282"/>
      <c r="AP671" s="282"/>
      <c r="AQ671" s="282"/>
      <c r="AR671" s="282"/>
      <c r="AS671" s="282"/>
      <c r="AT671" s="282"/>
      <c r="AU671" s="282"/>
      <c r="AV671" s="282"/>
      <c r="AW671" s="282"/>
      <c r="AX671" s="282"/>
      <c r="AY671" s="282"/>
      <c r="AZ671" s="282"/>
      <c r="BA671" s="282"/>
    </row>
    <row r="672" spans="1:53">
      <c r="A672" s="282"/>
      <c r="B672" s="282"/>
      <c r="C672" s="282"/>
      <c r="D672" s="282"/>
      <c r="E672" s="282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  <c r="AA672" s="282"/>
      <c r="AB672" s="282"/>
      <c r="AC672" s="282"/>
      <c r="AD672" s="282"/>
      <c r="AE672" s="282"/>
      <c r="AF672" s="282"/>
      <c r="AG672" s="282"/>
      <c r="AH672" s="281"/>
      <c r="AI672" s="282"/>
      <c r="AJ672" s="282"/>
      <c r="AK672" s="282"/>
      <c r="AL672" s="282"/>
      <c r="AM672" s="282"/>
      <c r="AN672" s="282"/>
      <c r="AO672" s="282"/>
      <c r="AP672" s="282"/>
      <c r="AQ672" s="282"/>
      <c r="AR672" s="282"/>
      <c r="AS672" s="282"/>
      <c r="AT672" s="282"/>
      <c r="AU672" s="282"/>
      <c r="AV672" s="282"/>
      <c r="AW672" s="282"/>
      <c r="AX672" s="282"/>
      <c r="AY672" s="282"/>
      <c r="AZ672" s="282"/>
      <c r="BA672" s="282"/>
    </row>
    <row r="673" spans="1:53">
      <c r="A673" s="282"/>
      <c r="B673" s="282"/>
      <c r="C673" s="282"/>
      <c r="D673" s="282"/>
      <c r="E673" s="282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  <c r="AA673" s="282"/>
      <c r="AB673" s="282"/>
      <c r="AC673" s="282"/>
      <c r="AD673" s="282"/>
      <c r="AE673" s="282"/>
      <c r="AF673" s="282"/>
      <c r="AG673" s="282"/>
      <c r="AH673" s="281"/>
      <c r="AI673" s="282"/>
      <c r="AJ673" s="282"/>
      <c r="AK673" s="282"/>
      <c r="AL673" s="282"/>
      <c r="AM673" s="282"/>
      <c r="AN673" s="282"/>
      <c r="AO673" s="282"/>
      <c r="AP673" s="282"/>
      <c r="AQ673" s="282"/>
      <c r="AR673" s="282"/>
      <c r="AS673" s="282"/>
      <c r="AT673" s="282"/>
      <c r="AU673" s="282"/>
      <c r="AV673" s="282"/>
      <c r="AW673" s="282"/>
      <c r="AX673" s="282"/>
      <c r="AY673" s="282"/>
      <c r="AZ673" s="282"/>
      <c r="BA673" s="282"/>
    </row>
    <row r="674" spans="1:53">
      <c r="A674" s="282"/>
      <c r="B674" s="282"/>
      <c r="C674" s="282"/>
      <c r="D674" s="282"/>
      <c r="E674" s="282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  <c r="AA674" s="282"/>
      <c r="AB674" s="282"/>
      <c r="AC674" s="282"/>
      <c r="AD674" s="282"/>
      <c r="AE674" s="282"/>
      <c r="AF674" s="282"/>
      <c r="AG674" s="282"/>
      <c r="AH674" s="281"/>
      <c r="AI674" s="282"/>
      <c r="AJ674" s="282"/>
      <c r="AK674" s="282"/>
      <c r="AL674" s="282"/>
      <c r="AM674" s="282"/>
      <c r="AN674" s="282"/>
      <c r="AO674" s="282"/>
      <c r="AP674" s="282"/>
      <c r="AQ674" s="282"/>
      <c r="AR674" s="282"/>
      <c r="AS674" s="282"/>
      <c r="AT674" s="282"/>
      <c r="AU674" s="282"/>
      <c r="AV674" s="282"/>
      <c r="AW674" s="282"/>
      <c r="AX674" s="282"/>
      <c r="AY674" s="282"/>
      <c r="AZ674" s="282"/>
      <c r="BA674" s="282"/>
    </row>
    <row r="675" spans="1:53">
      <c r="A675" s="282"/>
      <c r="B675" s="282"/>
      <c r="C675" s="282"/>
      <c r="D675" s="282"/>
      <c r="E675" s="282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  <c r="AA675" s="282"/>
      <c r="AB675" s="282"/>
      <c r="AC675" s="282"/>
      <c r="AD675" s="282"/>
      <c r="AE675" s="282"/>
      <c r="AF675" s="282"/>
      <c r="AG675" s="282"/>
      <c r="AH675" s="281"/>
      <c r="AI675" s="282"/>
      <c r="AJ675" s="282"/>
      <c r="AK675" s="282"/>
      <c r="AL675" s="282"/>
      <c r="AM675" s="282"/>
      <c r="AN675" s="282"/>
      <c r="AO675" s="282"/>
      <c r="AP675" s="282"/>
      <c r="AQ675" s="282"/>
      <c r="AR675" s="282"/>
      <c r="AS675" s="282"/>
      <c r="AT675" s="282"/>
      <c r="AU675" s="282"/>
      <c r="AV675" s="282"/>
      <c r="AW675" s="282"/>
      <c r="AX675" s="282"/>
      <c r="AY675" s="282"/>
      <c r="AZ675" s="282"/>
      <c r="BA675" s="282"/>
    </row>
    <row r="676" spans="1:53">
      <c r="A676" s="282"/>
      <c r="B676" s="282"/>
      <c r="C676" s="282"/>
      <c r="D676" s="282"/>
      <c r="E676" s="282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  <c r="AA676" s="282"/>
      <c r="AB676" s="282"/>
      <c r="AC676" s="282"/>
      <c r="AD676" s="282"/>
      <c r="AE676" s="282"/>
      <c r="AF676" s="282"/>
      <c r="AG676" s="282"/>
      <c r="AH676" s="281"/>
      <c r="AI676" s="282"/>
      <c r="AJ676" s="282"/>
      <c r="AK676" s="282"/>
      <c r="AL676" s="282"/>
      <c r="AM676" s="282"/>
      <c r="AN676" s="282"/>
      <c r="AO676" s="282"/>
      <c r="AP676" s="282"/>
      <c r="AQ676" s="282"/>
      <c r="AR676" s="282"/>
      <c r="AS676" s="282"/>
      <c r="AT676" s="282"/>
      <c r="AU676" s="282"/>
      <c r="AV676" s="282"/>
      <c r="AW676" s="282"/>
      <c r="AX676" s="282"/>
      <c r="AY676" s="282"/>
      <c r="AZ676" s="282"/>
      <c r="BA676" s="282"/>
    </row>
    <row r="677" spans="1:53">
      <c r="A677" s="282"/>
      <c r="B677" s="282"/>
      <c r="C677" s="282"/>
      <c r="D677" s="282"/>
      <c r="E677" s="282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  <c r="AA677" s="282"/>
      <c r="AB677" s="282"/>
      <c r="AC677" s="282"/>
      <c r="AD677" s="282"/>
      <c r="AE677" s="282"/>
      <c r="AF677" s="282"/>
      <c r="AG677" s="282"/>
      <c r="AH677" s="281"/>
      <c r="AI677" s="282"/>
      <c r="AJ677" s="282"/>
      <c r="AK677" s="282"/>
      <c r="AL677" s="282"/>
      <c r="AM677" s="282"/>
      <c r="AN677" s="282"/>
      <c r="AO677" s="282"/>
      <c r="AP677" s="282"/>
      <c r="AQ677" s="282"/>
      <c r="AR677" s="282"/>
      <c r="AS677" s="282"/>
      <c r="AT677" s="282"/>
      <c r="AU677" s="282"/>
      <c r="AV677" s="282"/>
      <c r="AW677" s="282"/>
      <c r="AX677" s="282"/>
      <c r="AY677" s="282"/>
      <c r="AZ677" s="282"/>
      <c r="BA677" s="282"/>
    </row>
    <row r="678" spans="1:53">
      <c r="A678" s="282"/>
      <c r="B678" s="282"/>
      <c r="C678" s="282"/>
      <c r="D678" s="282"/>
      <c r="E678" s="282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  <c r="AA678" s="282"/>
      <c r="AB678" s="282"/>
      <c r="AC678" s="282"/>
      <c r="AD678" s="282"/>
      <c r="AE678" s="282"/>
      <c r="AF678" s="282"/>
      <c r="AG678" s="282"/>
      <c r="AH678" s="281"/>
      <c r="AI678" s="282"/>
      <c r="AJ678" s="282"/>
      <c r="AK678" s="282"/>
      <c r="AL678" s="282"/>
      <c r="AM678" s="282"/>
      <c r="AN678" s="282"/>
      <c r="AO678" s="282"/>
      <c r="AP678" s="282"/>
      <c r="AQ678" s="282"/>
      <c r="AR678" s="282"/>
      <c r="AS678" s="282"/>
      <c r="AT678" s="282"/>
      <c r="AU678" s="282"/>
      <c r="AV678" s="282"/>
      <c r="AW678" s="282"/>
      <c r="AX678" s="282"/>
      <c r="AY678" s="282"/>
      <c r="AZ678" s="282"/>
      <c r="BA678" s="282"/>
    </row>
    <row r="679" spans="1:53">
      <c r="A679" s="282"/>
      <c r="B679" s="282"/>
      <c r="C679" s="282"/>
      <c r="D679" s="282"/>
      <c r="E679" s="282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  <c r="AA679" s="282"/>
      <c r="AB679" s="282"/>
      <c r="AC679" s="282"/>
      <c r="AD679" s="282"/>
      <c r="AE679" s="282"/>
      <c r="AF679" s="282"/>
      <c r="AG679" s="282"/>
      <c r="AH679" s="281"/>
      <c r="AI679" s="282"/>
      <c r="AJ679" s="282"/>
      <c r="AK679" s="282"/>
      <c r="AL679" s="282"/>
      <c r="AM679" s="282"/>
      <c r="AN679" s="282"/>
      <c r="AO679" s="282"/>
      <c r="AP679" s="282"/>
      <c r="AQ679" s="282"/>
      <c r="AR679" s="282"/>
      <c r="AS679" s="282"/>
      <c r="AT679" s="282"/>
      <c r="AU679" s="282"/>
      <c r="AV679" s="282"/>
      <c r="AW679" s="282"/>
      <c r="AX679" s="282"/>
      <c r="AY679" s="282"/>
      <c r="AZ679" s="282"/>
      <c r="BA679" s="282"/>
    </row>
    <row r="680" spans="1:53">
      <c r="A680" s="282"/>
      <c r="B680" s="282"/>
      <c r="C680" s="282"/>
      <c r="D680" s="282"/>
      <c r="E680" s="282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  <c r="AA680" s="282"/>
      <c r="AB680" s="282"/>
      <c r="AC680" s="282"/>
      <c r="AD680" s="282"/>
      <c r="AE680" s="282"/>
      <c r="AF680" s="282"/>
      <c r="AG680" s="282"/>
      <c r="AH680" s="281"/>
      <c r="AI680" s="282"/>
      <c r="AJ680" s="282"/>
      <c r="AK680" s="282"/>
      <c r="AL680" s="282"/>
      <c r="AM680" s="282"/>
      <c r="AN680" s="282"/>
      <c r="AO680" s="282"/>
      <c r="AP680" s="282"/>
      <c r="AQ680" s="282"/>
      <c r="AR680" s="282"/>
      <c r="AS680" s="282"/>
      <c r="AT680" s="282"/>
      <c r="AU680" s="282"/>
      <c r="AV680" s="282"/>
      <c r="AW680" s="282"/>
      <c r="AX680" s="282"/>
      <c r="AY680" s="282"/>
      <c r="AZ680" s="282"/>
      <c r="BA680" s="282"/>
    </row>
    <row r="681" spans="1:53">
      <c r="A681" s="282"/>
      <c r="B681" s="282"/>
      <c r="C681" s="282"/>
      <c r="D681" s="282"/>
      <c r="E681" s="282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  <c r="AA681" s="282"/>
      <c r="AB681" s="282"/>
      <c r="AC681" s="282"/>
      <c r="AD681" s="282"/>
      <c r="AE681" s="282"/>
      <c r="AF681" s="282"/>
      <c r="AG681" s="282"/>
      <c r="AH681" s="281"/>
      <c r="AI681" s="282"/>
      <c r="AJ681" s="282"/>
      <c r="AK681" s="282"/>
      <c r="AL681" s="282"/>
      <c r="AM681" s="282"/>
      <c r="AN681" s="282"/>
      <c r="AO681" s="282"/>
      <c r="AP681" s="282"/>
      <c r="AQ681" s="282"/>
      <c r="AR681" s="282"/>
      <c r="AS681" s="282"/>
      <c r="AT681" s="282"/>
      <c r="AU681" s="282"/>
      <c r="AV681" s="282"/>
      <c r="AW681" s="282"/>
      <c r="AX681" s="282"/>
      <c r="AY681" s="282"/>
      <c r="AZ681" s="282"/>
      <c r="BA681" s="282"/>
    </row>
    <row r="682" spans="1:53">
      <c r="A682" s="282"/>
      <c r="B682" s="282"/>
      <c r="C682" s="282"/>
      <c r="D682" s="282"/>
      <c r="E682" s="282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  <c r="AA682" s="282"/>
      <c r="AB682" s="282"/>
      <c r="AC682" s="282"/>
      <c r="AD682" s="282"/>
      <c r="AE682" s="282"/>
      <c r="AF682" s="282"/>
      <c r="AG682" s="282"/>
      <c r="AH682" s="281"/>
      <c r="AI682" s="282"/>
      <c r="AJ682" s="282"/>
      <c r="AK682" s="282"/>
      <c r="AL682" s="282"/>
      <c r="AM682" s="282"/>
      <c r="AN682" s="282"/>
      <c r="AO682" s="282"/>
      <c r="AP682" s="282"/>
      <c r="AQ682" s="282"/>
      <c r="AR682" s="282"/>
      <c r="AS682" s="282"/>
      <c r="AT682" s="282"/>
      <c r="AU682" s="282"/>
      <c r="AV682" s="282"/>
      <c r="AW682" s="282"/>
      <c r="AX682" s="282"/>
      <c r="AY682" s="282"/>
      <c r="AZ682" s="282"/>
      <c r="BA682" s="282"/>
    </row>
    <row r="683" spans="1:53">
      <c r="A683" s="282"/>
      <c r="B683" s="282"/>
      <c r="C683" s="282"/>
      <c r="D683" s="282"/>
      <c r="E683" s="282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  <c r="AA683" s="282"/>
      <c r="AB683" s="282"/>
      <c r="AC683" s="282"/>
      <c r="AD683" s="282"/>
      <c r="AE683" s="282"/>
      <c r="AF683" s="282"/>
      <c r="AG683" s="282"/>
      <c r="AH683" s="281"/>
      <c r="AI683" s="282"/>
      <c r="AJ683" s="282"/>
      <c r="AK683" s="282"/>
      <c r="AL683" s="282"/>
      <c r="AM683" s="282"/>
      <c r="AN683" s="282"/>
      <c r="AO683" s="282"/>
      <c r="AP683" s="282"/>
      <c r="AQ683" s="282"/>
      <c r="AR683" s="282"/>
      <c r="AS683" s="282"/>
      <c r="AT683" s="282"/>
      <c r="AU683" s="282"/>
      <c r="AV683" s="282"/>
      <c r="AW683" s="282"/>
      <c r="AX683" s="282"/>
      <c r="AY683" s="282"/>
      <c r="AZ683" s="282"/>
      <c r="BA683" s="282"/>
    </row>
    <row r="684" spans="1:53">
      <c r="A684" s="282"/>
      <c r="B684" s="282"/>
      <c r="C684" s="282"/>
      <c r="D684" s="282"/>
      <c r="E684" s="282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  <c r="AA684" s="282"/>
      <c r="AB684" s="282"/>
      <c r="AC684" s="282"/>
      <c r="AD684" s="282"/>
      <c r="AE684" s="282"/>
      <c r="AF684" s="282"/>
      <c r="AG684" s="282"/>
      <c r="AH684" s="281"/>
      <c r="AI684" s="282"/>
      <c r="AJ684" s="282"/>
      <c r="AK684" s="282"/>
      <c r="AL684" s="282"/>
      <c r="AM684" s="282"/>
      <c r="AN684" s="282"/>
      <c r="AO684" s="282"/>
      <c r="AP684" s="282"/>
      <c r="AQ684" s="282"/>
      <c r="AR684" s="282"/>
      <c r="AS684" s="282"/>
      <c r="AT684" s="282"/>
      <c r="AU684" s="282"/>
      <c r="AV684" s="282"/>
      <c r="AW684" s="282"/>
      <c r="AX684" s="282"/>
      <c r="AY684" s="282"/>
      <c r="AZ684" s="282"/>
      <c r="BA684" s="282"/>
    </row>
    <row r="685" spans="1:53">
      <c r="A685" s="282"/>
      <c r="B685" s="282"/>
      <c r="C685" s="282"/>
      <c r="D685" s="282"/>
      <c r="E685" s="282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  <c r="AA685" s="282"/>
      <c r="AB685" s="282"/>
      <c r="AC685" s="282"/>
      <c r="AD685" s="282"/>
      <c r="AE685" s="282"/>
      <c r="AF685" s="282"/>
      <c r="AG685" s="282"/>
      <c r="AH685" s="281"/>
      <c r="AI685" s="282"/>
      <c r="AJ685" s="282"/>
      <c r="AK685" s="282"/>
      <c r="AL685" s="282"/>
      <c r="AM685" s="282"/>
      <c r="AN685" s="282"/>
      <c r="AO685" s="282"/>
      <c r="AP685" s="282"/>
      <c r="AQ685" s="282"/>
      <c r="AR685" s="282"/>
      <c r="AS685" s="282"/>
      <c r="AT685" s="282"/>
      <c r="AU685" s="282"/>
      <c r="AV685" s="282"/>
      <c r="AW685" s="282"/>
      <c r="AX685" s="282"/>
      <c r="AY685" s="282"/>
      <c r="AZ685" s="282"/>
      <c r="BA685" s="282"/>
    </row>
    <row r="686" spans="1:53">
      <c r="A686" s="282"/>
      <c r="B686" s="282"/>
      <c r="C686" s="282"/>
      <c r="D686" s="282"/>
      <c r="E686" s="282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  <c r="AA686" s="282"/>
      <c r="AB686" s="282"/>
      <c r="AC686" s="282"/>
      <c r="AD686" s="282"/>
      <c r="AE686" s="282"/>
      <c r="AF686" s="282"/>
      <c r="AG686" s="282"/>
      <c r="AH686" s="281"/>
      <c r="AI686" s="282"/>
      <c r="AJ686" s="282"/>
      <c r="AK686" s="282"/>
      <c r="AL686" s="282"/>
      <c r="AM686" s="282"/>
      <c r="AN686" s="282"/>
      <c r="AO686" s="282"/>
      <c r="AP686" s="282"/>
      <c r="AQ686" s="282"/>
      <c r="AR686" s="282"/>
      <c r="AS686" s="282"/>
      <c r="AT686" s="282"/>
      <c r="AU686" s="282"/>
      <c r="AV686" s="282"/>
      <c r="AW686" s="282"/>
      <c r="AX686" s="282"/>
      <c r="AY686" s="282"/>
      <c r="AZ686" s="282"/>
      <c r="BA686" s="282"/>
    </row>
    <row r="687" spans="1:53">
      <c r="A687" s="282"/>
      <c r="B687" s="282"/>
      <c r="C687" s="282"/>
      <c r="D687" s="282"/>
      <c r="E687" s="282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  <c r="AA687" s="282"/>
      <c r="AB687" s="282"/>
      <c r="AC687" s="282"/>
      <c r="AD687" s="282"/>
      <c r="AE687" s="282"/>
      <c r="AF687" s="282"/>
      <c r="AG687" s="282"/>
      <c r="AH687" s="281"/>
      <c r="AI687" s="282"/>
      <c r="AJ687" s="282"/>
      <c r="AK687" s="282"/>
      <c r="AL687" s="282"/>
      <c r="AM687" s="282"/>
      <c r="AN687" s="282"/>
      <c r="AO687" s="282"/>
      <c r="AP687" s="282"/>
      <c r="AQ687" s="282"/>
      <c r="AR687" s="282"/>
      <c r="AS687" s="282"/>
      <c r="AT687" s="282"/>
      <c r="AU687" s="282"/>
      <c r="AV687" s="282"/>
      <c r="AW687" s="282"/>
      <c r="AX687" s="282"/>
      <c r="AY687" s="282"/>
      <c r="AZ687" s="282"/>
      <c r="BA687" s="282"/>
    </row>
    <row r="688" spans="1:53">
      <c r="A688" s="282"/>
      <c r="B688" s="282"/>
      <c r="C688" s="282"/>
      <c r="D688" s="282"/>
      <c r="E688" s="282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  <c r="AA688" s="282"/>
      <c r="AB688" s="282"/>
      <c r="AC688" s="282"/>
      <c r="AD688" s="282"/>
      <c r="AE688" s="282"/>
      <c r="AF688" s="282"/>
      <c r="AG688" s="282"/>
      <c r="AH688" s="281"/>
      <c r="AI688" s="282"/>
      <c r="AJ688" s="282"/>
      <c r="AK688" s="282"/>
      <c r="AL688" s="282"/>
      <c r="AM688" s="282"/>
      <c r="AN688" s="282"/>
      <c r="AO688" s="282"/>
      <c r="AP688" s="282"/>
      <c r="AQ688" s="282"/>
      <c r="AR688" s="282"/>
      <c r="AS688" s="282"/>
      <c r="AT688" s="282"/>
      <c r="AU688" s="282"/>
      <c r="AV688" s="282"/>
      <c r="AW688" s="282"/>
      <c r="AX688" s="282"/>
      <c r="AY688" s="282"/>
      <c r="AZ688" s="282"/>
      <c r="BA688" s="282"/>
    </row>
    <row r="689" spans="1:53">
      <c r="A689" s="282"/>
      <c r="B689" s="282"/>
      <c r="C689" s="282"/>
      <c r="D689" s="282"/>
      <c r="E689" s="282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  <c r="AA689" s="282"/>
      <c r="AB689" s="282"/>
      <c r="AC689" s="282"/>
      <c r="AD689" s="282"/>
      <c r="AE689" s="282"/>
      <c r="AF689" s="282"/>
      <c r="AG689" s="282"/>
      <c r="AH689" s="281"/>
      <c r="AI689" s="282"/>
      <c r="AJ689" s="282"/>
      <c r="AK689" s="282"/>
      <c r="AL689" s="282"/>
      <c r="AM689" s="282"/>
      <c r="AN689" s="282"/>
      <c r="AO689" s="282"/>
      <c r="AP689" s="282"/>
      <c r="AQ689" s="282"/>
      <c r="AR689" s="282"/>
      <c r="AS689" s="282"/>
      <c r="AT689" s="282"/>
      <c r="AU689" s="282"/>
      <c r="AV689" s="282"/>
      <c r="AW689" s="282"/>
      <c r="AX689" s="282"/>
      <c r="AY689" s="282"/>
      <c r="AZ689" s="282"/>
      <c r="BA689" s="282"/>
    </row>
    <row r="690" spans="1:53">
      <c r="A690" s="282"/>
      <c r="B690" s="282"/>
      <c r="C690" s="282"/>
      <c r="D690" s="282"/>
      <c r="E690" s="282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  <c r="AA690" s="282"/>
      <c r="AB690" s="282"/>
      <c r="AC690" s="282"/>
      <c r="AD690" s="282"/>
      <c r="AE690" s="282"/>
      <c r="AF690" s="282"/>
      <c r="AG690" s="282"/>
      <c r="AH690" s="281"/>
      <c r="AI690" s="282"/>
      <c r="AJ690" s="282"/>
      <c r="AK690" s="282"/>
      <c r="AL690" s="282"/>
      <c r="AM690" s="282"/>
      <c r="AN690" s="282"/>
      <c r="AO690" s="282"/>
      <c r="AP690" s="282"/>
      <c r="AQ690" s="282"/>
      <c r="AR690" s="282"/>
      <c r="AS690" s="282"/>
      <c r="AT690" s="282"/>
      <c r="AU690" s="282"/>
      <c r="AV690" s="282"/>
      <c r="AW690" s="282"/>
      <c r="AX690" s="282"/>
      <c r="AY690" s="282"/>
      <c r="AZ690" s="282"/>
      <c r="BA690" s="282"/>
    </row>
    <row r="691" spans="1:53">
      <c r="A691" s="282"/>
      <c r="B691" s="282"/>
      <c r="C691" s="282"/>
      <c r="D691" s="282"/>
      <c r="E691" s="282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  <c r="AA691" s="282"/>
      <c r="AB691" s="282"/>
      <c r="AC691" s="282"/>
      <c r="AD691" s="282"/>
      <c r="AE691" s="282"/>
      <c r="AF691" s="282"/>
      <c r="AG691" s="282"/>
      <c r="AH691" s="281"/>
      <c r="AI691" s="282"/>
      <c r="AJ691" s="282"/>
      <c r="AK691" s="282"/>
      <c r="AL691" s="282"/>
      <c r="AM691" s="282"/>
      <c r="AN691" s="282"/>
      <c r="AO691" s="282"/>
      <c r="AP691" s="282"/>
      <c r="AQ691" s="282"/>
      <c r="AR691" s="282"/>
      <c r="AS691" s="282"/>
      <c r="AT691" s="282"/>
      <c r="AU691" s="282"/>
      <c r="AV691" s="282"/>
      <c r="AW691" s="282"/>
      <c r="AX691" s="282"/>
      <c r="AY691" s="282"/>
      <c r="AZ691" s="282"/>
      <c r="BA691" s="282"/>
    </row>
    <row r="692" spans="1:53">
      <c r="A692" s="282"/>
      <c r="B692" s="282"/>
      <c r="C692" s="282"/>
      <c r="D692" s="282"/>
      <c r="E692" s="282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  <c r="AA692" s="282"/>
      <c r="AB692" s="282"/>
      <c r="AC692" s="282"/>
      <c r="AD692" s="282"/>
      <c r="AE692" s="282"/>
      <c r="AF692" s="282"/>
      <c r="AG692" s="282"/>
      <c r="AH692" s="281"/>
      <c r="AI692" s="282"/>
      <c r="AJ692" s="282"/>
      <c r="AK692" s="282"/>
      <c r="AL692" s="282"/>
      <c r="AM692" s="282"/>
      <c r="AN692" s="282"/>
      <c r="AO692" s="282"/>
      <c r="AP692" s="282"/>
      <c r="AQ692" s="282"/>
      <c r="AR692" s="282"/>
      <c r="AS692" s="282"/>
      <c r="AT692" s="282"/>
      <c r="AU692" s="282"/>
      <c r="AV692" s="282"/>
      <c r="AW692" s="282"/>
      <c r="AX692" s="282"/>
      <c r="AY692" s="282"/>
      <c r="AZ692" s="282"/>
      <c r="BA692" s="282"/>
    </row>
    <row r="693" spans="1:53">
      <c r="A693" s="282"/>
      <c r="B693" s="282"/>
      <c r="C693" s="282"/>
      <c r="D693" s="282"/>
      <c r="E693" s="282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  <c r="AA693" s="282"/>
      <c r="AB693" s="282"/>
      <c r="AC693" s="282"/>
      <c r="AD693" s="282"/>
      <c r="AE693" s="282"/>
      <c r="AF693" s="282"/>
      <c r="AG693" s="282"/>
      <c r="AH693" s="281"/>
      <c r="AI693" s="282"/>
      <c r="AJ693" s="282"/>
      <c r="AK693" s="282"/>
      <c r="AL693" s="282"/>
      <c r="AM693" s="282"/>
      <c r="AN693" s="282"/>
      <c r="AO693" s="282"/>
      <c r="AP693" s="282"/>
      <c r="AQ693" s="282"/>
      <c r="AR693" s="282"/>
      <c r="AS693" s="282"/>
      <c r="AT693" s="282"/>
      <c r="AU693" s="282"/>
      <c r="AV693" s="282"/>
      <c r="AW693" s="282"/>
      <c r="AX693" s="282"/>
      <c r="AY693" s="282"/>
      <c r="AZ693" s="282"/>
      <c r="BA693" s="282"/>
    </row>
    <row r="694" spans="1:53">
      <c r="A694" s="282"/>
      <c r="B694" s="282"/>
      <c r="C694" s="282"/>
      <c r="D694" s="282"/>
      <c r="E694" s="282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  <c r="AA694" s="282"/>
      <c r="AB694" s="282"/>
      <c r="AC694" s="282"/>
      <c r="AD694" s="282"/>
      <c r="AE694" s="282"/>
      <c r="AF694" s="282"/>
      <c r="AG694" s="282"/>
      <c r="AH694" s="281"/>
      <c r="AI694" s="282"/>
      <c r="AJ694" s="282"/>
      <c r="AK694" s="282"/>
      <c r="AL694" s="282"/>
      <c r="AM694" s="282"/>
      <c r="AN694" s="282"/>
      <c r="AO694" s="282"/>
      <c r="AP694" s="282"/>
      <c r="AQ694" s="282"/>
      <c r="AR694" s="282"/>
      <c r="AS694" s="282"/>
      <c r="AT694" s="282"/>
      <c r="AU694" s="282"/>
      <c r="AV694" s="282"/>
      <c r="AW694" s="282"/>
      <c r="AX694" s="282"/>
      <c r="AY694" s="282"/>
      <c r="AZ694" s="282"/>
      <c r="BA694" s="282"/>
    </row>
    <row r="695" spans="1:53">
      <c r="A695" s="282"/>
      <c r="B695" s="282"/>
      <c r="C695" s="282"/>
      <c r="D695" s="282"/>
      <c r="E695" s="282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  <c r="AA695" s="282"/>
      <c r="AB695" s="282"/>
      <c r="AC695" s="282"/>
      <c r="AD695" s="282"/>
      <c r="AE695" s="282"/>
      <c r="AF695" s="282"/>
      <c r="AG695" s="282"/>
      <c r="AH695" s="281"/>
      <c r="AI695" s="282"/>
      <c r="AJ695" s="282"/>
      <c r="AK695" s="282"/>
      <c r="AL695" s="282"/>
      <c r="AM695" s="282"/>
      <c r="AN695" s="282"/>
      <c r="AO695" s="282"/>
      <c r="AP695" s="282"/>
      <c r="AQ695" s="282"/>
      <c r="AR695" s="282"/>
      <c r="AS695" s="282"/>
      <c r="AT695" s="282"/>
      <c r="AU695" s="282"/>
      <c r="AV695" s="282"/>
      <c r="AW695" s="282"/>
      <c r="AX695" s="282"/>
      <c r="AY695" s="282"/>
      <c r="AZ695" s="282"/>
      <c r="BA695" s="282"/>
    </row>
    <row r="696" spans="1:53">
      <c r="A696" s="282"/>
      <c r="B696" s="282"/>
      <c r="C696" s="282"/>
      <c r="D696" s="282"/>
      <c r="E696" s="282"/>
      <c r="F696" s="282"/>
      <c r="G696" s="282"/>
      <c r="H696" s="282"/>
      <c r="I696" s="282"/>
      <c r="J696" s="282"/>
      <c r="K696" s="282"/>
      <c r="L696" s="282"/>
      <c r="M696" s="282"/>
      <c r="N696" s="282"/>
      <c r="O696" s="282"/>
      <c r="P696" s="282"/>
      <c r="Q696" s="282"/>
      <c r="R696" s="282"/>
      <c r="S696" s="282"/>
      <c r="T696" s="282"/>
      <c r="U696" s="282"/>
      <c r="V696" s="282"/>
      <c r="W696" s="282"/>
      <c r="X696" s="282"/>
      <c r="Y696" s="282"/>
      <c r="Z696" s="282"/>
      <c r="AA696" s="282"/>
      <c r="AB696" s="282"/>
      <c r="AC696" s="282"/>
      <c r="AD696" s="282"/>
      <c r="AE696" s="282"/>
      <c r="AF696" s="282"/>
      <c r="AG696" s="282"/>
      <c r="AH696" s="281"/>
      <c r="AI696" s="282"/>
      <c r="AJ696" s="282"/>
      <c r="AK696" s="282"/>
      <c r="AL696" s="282"/>
      <c r="AM696" s="282"/>
      <c r="AN696" s="282"/>
      <c r="AO696" s="282"/>
      <c r="AP696" s="282"/>
      <c r="AQ696" s="282"/>
      <c r="AR696" s="282"/>
      <c r="AS696" s="282"/>
      <c r="AT696" s="282"/>
      <c r="AU696" s="282"/>
      <c r="AV696" s="282"/>
      <c r="AW696" s="282"/>
      <c r="AX696" s="282"/>
      <c r="AY696" s="282"/>
      <c r="AZ696" s="282"/>
      <c r="BA696" s="282"/>
    </row>
    <row r="697" spans="1:53">
      <c r="A697" s="282"/>
      <c r="B697" s="282"/>
      <c r="C697" s="282"/>
      <c r="D697" s="282"/>
      <c r="E697" s="282"/>
      <c r="F697" s="282"/>
      <c r="G697" s="282"/>
      <c r="H697" s="282"/>
      <c r="I697" s="282"/>
      <c r="J697" s="282"/>
      <c r="K697" s="282"/>
      <c r="L697" s="282"/>
      <c r="M697" s="282"/>
      <c r="N697" s="282"/>
      <c r="O697" s="282"/>
      <c r="P697" s="282"/>
      <c r="Q697" s="282"/>
      <c r="R697" s="282"/>
      <c r="S697" s="282"/>
      <c r="T697" s="282"/>
      <c r="U697" s="282"/>
      <c r="V697" s="282"/>
      <c r="W697" s="282"/>
      <c r="X697" s="282"/>
      <c r="Y697" s="282"/>
      <c r="Z697" s="282"/>
      <c r="AA697" s="282"/>
      <c r="AB697" s="282"/>
      <c r="AC697" s="282"/>
      <c r="AD697" s="282"/>
      <c r="AE697" s="282"/>
      <c r="AF697" s="282"/>
      <c r="AG697" s="282"/>
      <c r="AH697" s="281"/>
      <c r="AI697" s="282"/>
      <c r="AJ697" s="282"/>
      <c r="AK697" s="282"/>
      <c r="AL697" s="282"/>
      <c r="AM697" s="282"/>
      <c r="AN697" s="282"/>
      <c r="AO697" s="282"/>
      <c r="AP697" s="282"/>
      <c r="AQ697" s="282"/>
      <c r="AR697" s="282"/>
      <c r="AS697" s="282"/>
      <c r="AT697" s="282"/>
      <c r="AU697" s="282"/>
      <c r="AV697" s="282"/>
      <c r="AW697" s="282"/>
      <c r="AX697" s="282"/>
      <c r="AY697" s="282"/>
      <c r="AZ697" s="282"/>
      <c r="BA697" s="282"/>
    </row>
    <row r="698" spans="1:53">
      <c r="A698" s="282"/>
      <c r="B698" s="282"/>
      <c r="C698" s="282"/>
      <c r="D698" s="282"/>
      <c r="E698" s="282"/>
      <c r="F698" s="282"/>
      <c r="G698" s="282"/>
      <c r="H698" s="282"/>
      <c r="I698" s="282"/>
      <c r="J698" s="282"/>
      <c r="K698" s="282"/>
      <c r="L698" s="282"/>
      <c r="M698" s="282"/>
      <c r="N698" s="282"/>
      <c r="O698" s="282"/>
      <c r="P698" s="282"/>
      <c r="Q698" s="282"/>
      <c r="R698" s="282"/>
      <c r="S698" s="282"/>
      <c r="T698" s="282"/>
      <c r="U698" s="282"/>
      <c r="V698" s="282"/>
      <c r="W698" s="282"/>
      <c r="X698" s="282"/>
      <c r="Y698" s="282"/>
      <c r="Z698" s="282"/>
      <c r="AA698" s="282"/>
      <c r="AB698" s="282"/>
      <c r="AC698" s="282"/>
      <c r="AD698" s="282"/>
      <c r="AE698" s="282"/>
      <c r="AF698" s="282"/>
      <c r="AG698" s="282"/>
      <c r="AH698" s="281"/>
      <c r="AI698" s="282"/>
      <c r="AJ698" s="282"/>
      <c r="AK698" s="282"/>
      <c r="AL698" s="282"/>
      <c r="AM698" s="282"/>
      <c r="AN698" s="282"/>
      <c r="AO698" s="282"/>
      <c r="AP698" s="282"/>
      <c r="AQ698" s="282"/>
      <c r="AR698" s="282"/>
      <c r="AS698" s="282"/>
      <c r="AT698" s="282"/>
      <c r="AU698" s="282"/>
      <c r="AV698" s="282"/>
      <c r="AW698" s="282"/>
      <c r="AX698" s="282"/>
      <c r="AY698" s="282"/>
      <c r="AZ698" s="282"/>
      <c r="BA698" s="282"/>
    </row>
    <row r="699" spans="1:53">
      <c r="A699" s="282"/>
      <c r="B699" s="282"/>
      <c r="C699" s="282"/>
      <c r="D699" s="282"/>
      <c r="E699" s="282"/>
      <c r="F699" s="282"/>
      <c r="G699" s="282"/>
      <c r="H699" s="282"/>
      <c r="I699" s="282"/>
      <c r="J699" s="282"/>
      <c r="K699" s="282"/>
      <c r="L699" s="282"/>
      <c r="M699" s="282"/>
      <c r="N699" s="282"/>
      <c r="O699" s="282"/>
      <c r="P699" s="282"/>
      <c r="Q699" s="282"/>
      <c r="R699" s="282"/>
      <c r="S699" s="282"/>
      <c r="T699" s="282"/>
      <c r="U699" s="282"/>
      <c r="V699" s="282"/>
      <c r="W699" s="282"/>
      <c r="X699" s="282"/>
      <c r="Y699" s="282"/>
      <c r="Z699" s="282"/>
      <c r="AA699" s="282"/>
      <c r="AB699" s="282"/>
      <c r="AC699" s="282"/>
      <c r="AD699" s="282"/>
      <c r="AE699" s="282"/>
      <c r="AF699" s="282"/>
      <c r="AG699" s="282"/>
      <c r="AH699" s="281"/>
      <c r="AI699" s="282"/>
      <c r="AJ699" s="282"/>
      <c r="AK699" s="282"/>
      <c r="AL699" s="282"/>
      <c r="AM699" s="282"/>
      <c r="AN699" s="282"/>
      <c r="AO699" s="282"/>
      <c r="AP699" s="282"/>
      <c r="AQ699" s="282"/>
      <c r="AR699" s="282"/>
      <c r="AS699" s="282"/>
      <c r="AT699" s="282"/>
      <c r="AU699" s="282"/>
      <c r="AV699" s="282"/>
      <c r="AW699" s="282"/>
      <c r="AX699" s="282"/>
      <c r="AY699" s="282"/>
      <c r="AZ699" s="282"/>
      <c r="BA699" s="282"/>
    </row>
    <row r="700" spans="1:53">
      <c r="A700" s="282"/>
      <c r="B700" s="282"/>
      <c r="C700" s="282"/>
      <c r="D700" s="282"/>
      <c r="E700" s="282"/>
      <c r="F700" s="282"/>
      <c r="G700" s="282"/>
      <c r="H700" s="282"/>
      <c r="I700" s="282"/>
      <c r="J700" s="282"/>
      <c r="K700" s="282"/>
      <c r="L700" s="282"/>
      <c r="M700" s="282"/>
      <c r="N700" s="282"/>
      <c r="O700" s="282"/>
      <c r="P700" s="282"/>
      <c r="Q700" s="282"/>
      <c r="R700" s="282"/>
      <c r="S700" s="282"/>
      <c r="T700" s="282"/>
      <c r="U700" s="282"/>
      <c r="V700" s="282"/>
      <c r="W700" s="282"/>
      <c r="X700" s="282"/>
      <c r="Y700" s="282"/>
      <c r="Z700" s="282"/>
      <c r="AA700" s="282"/>
      <c r="AB700" s="282"/>
      <c r="AC700" s="282"/>
      <c r="AD700" s="282"/>
      <c r="AE700" s="282"/>
      <c r="AF700" s="282"/>
      <c r="AG700" s="282"/>
      <c r="AH700" s="281"/>
      <c r="AI700" s="282"/>
      <c r="AJ700" s="282"/>
      <c r="AK700" s="282"/>
      <c r="AL700" s="282"/>
      <c r="AM700" s="282"/>
      <c r="AN700" s="282"/>
      <c r="AO700" s="282"/>
      <c r="AP700" s="282"/>
      <c r="AQ700" s="282"/>
      <c r="AR700" s="282"/>
      <c r="AS700" s="282"/>
      <c r="AT700" s="282"/>
      <c r="AU700" s="282"/>
      <c r="AV700" s="282"/>
      <c r="AW700" s="282"/>
      <c r="AX700" s="282"/>
      <c r="AY700" s="282"/>
      <c r="AZ700" s="282"/>
      <c r="BA700" s="282"/>
    </row>
    <row r="701" spans="1:53">
      <c r="A701" s="282"/>
      <c r="B701" s="282"/>
      <c r="C701" s="282"/>
      <c r="D701" s="282"/>
      <c r="E701" s="282"/>
      <c r="F701" s="282"/>
      <c r="G701" s="282"/>
      <c r="H701" s="282"/>
      <c r="I701" s="282"/>
      <c r="J701" s="282"/>
      <c r="K701" s="282"/>
      <c r="L701" s="282"/>
      <c r="M701" s="282"/>
      <c r="N701" s="282"/>
      <c r="O701" s="282"/>
      <c r="P701" s="282"/>
      <c r="Q701" s="282"/>
      <c r="R701" s="282"/>
      <c r="S701" s="282"/>
      <c r="T701" s="282"/>
      <c r="U701" s="282"/>
      <c r="V701" s="282"/>
      <c r="W701" s="282"/>
      <c r="X701" s="282"/>
      <c r="Y701" s="282"/>
      <c r="Z701" s="282"/>
      <c r="AA701" s="282"/>
      <c r="AB701" s="282"/>
      <c r="AC701" s="282"/>
      <c r="AD701" s="282"/>
      <c r="AE701" s="282"/>
      <c r="AF701" s="282"/>
      <c r="AG701" s="282"/>
      <c r="AH701" s="281"/>
      <c r="AI701" s="282"/>
      <c r="AJ701" s="282"/>
      <c r="AK701" s="282"/>
      <c r="AL701" s="282"/>
      <c r="AM701" s="282"/>
      <c r="AN701" s="282"/>
      <c r="AO701" s="282"/>
      <c r="AP701" s="282"/>
      <c r="AQ701" s="282"/>
      <c r="AR701" s="282"/>
      <c r="AS701" s="282"/>
      <c r="AT701" s="282"/>
      <c r="AU701" s="282"/>
      <c r="AV701" s="282"/>
      <c r="AW701" s="282"/>
      <c r="AX701" s="282"/>
      <c r="AY701" s="282"/>
      <c r="AZ701" s="282"/>
      <c r="BA701" s="282"/>
    </row>
    <row r="702" spans="1:53">
      <c r="A702" s="282"/>
      <c r="B702" s="282"/>
      <c r="C702" s="282"/>
      <c r="D702" s="282"/>
      <c r="E702" s="282"/>
      <c r="F702" s="282"/>
      <c r="G702" s="282"/>
      <c r="H702" s="282"/>
      <c r="I702" s="282"/>
      <c r="J702" s="282"/>
      <c r="K702" s="282"/>
      <c r="L702" s="282"/>
      <c r="M702" s="282"/>
      <c r="N702" s="282"/>
      <c r="O702" s="282"/>
      <c r="P702" s="282"/>
      <c r="Q702" s="282"/>
      <c r="R702" s="282"/>
      <c r="S702" s="282"/>
      <c r="T702" s="282"/>
      <c r="U702" s="282"/>
      <c r="V702" s="282"/>
      <c r="W702" s="282"/>
      <c r="X702" s="282"/>
      <c r="Y702" s="282"/>
      <c r="Z702" s="282"/>
      <c r="AA702" s="282"/>
      <c r="AB702" s="282"/>
      <c r="AC702" s="282"/>
      <c r="AD702" s="282"/>
      <c r="AE702" s="282"/>
      <c r="AF702" s="282"/>
      <c r="AG702" s="282"/>
      <c r="AH702" s="281"/>
      <c r="AI702" s="282"/>
      <c r="AJ702" s="282"/>
      <c r="AK702" s="282"/>
      <c r="AL702" s="282"/>
      <c r="AM702" s="282"/>
      <c r="AN702" s="282"/>
      <c r="AO702" s="282"/>
      <c r="AP702" s="282"/>
      <c r="AQ702" s="282"/>
      <c r="AR702" s="282"/>
      <c r="AS702" s="282"/>
      <c r="AT702" s="282"/>
      <c r="AU702" s="282"/>
      <c r="AV702" s="282"/>
      <c r="AW702" s="282"/>
      <c r="AX702" s="282"/>
      <c r="AY702" s="282"/>
      <c r="AZ702" s="282"/>
      <c r="BA702" s="282"/>
    </row>
    <row r="703" spans="1:53">
      <c r="A703" s="282"/>
      <c r="B703" s="282"/>
      <c r="C703" s="282"/>
      <c r="D703" s="282"/>
      <c r="E703" s="282"/>
      <c r="F703" s="282"/>
      <c r="G703" s="282"/>
      <c r="H703" s="282"/>
      <c r="I703" s="282"/>
      <c r="J703" s="282"/>
      <c r="K703" s="282"/>
      <c r="L703" s="282"/>
      <c r="M703" s="282"/>
      <c r="N703" s="282"/>
      <c r="O703" s="282"/>
      <c r="P703" s="282"/>
      <c r="Q703" s="282"/>
      <c r="R703" s="282"/>
      <c r="S703" s="282"/>
      <c r="T703" s="282"/>
      <c r="U703" s="282"/>
      <c r="V703" s="282"/>
      <c r="W703" s="282"/>
      <c r="X703" s="282"/>
      <c r="Y703" s="282"/>
      <c r="Z703" s="282"/>
      <c r="AA703" s="282"/>
      <c r="AB703" s="282"/>
      <c r="AC703" s="282"/>
      <c r="AD703" s="282"/>
      <c r="AE703" s="282"/>
      <c r="AF703" s="282"/>
      <c r="AG703" s="282"/>
      <c r="AH703" s="281"/>
      <c r="AI703" s="282"/>
      <c r="AJ703" s="282"/>
      <c r="AK703" s="282"/>
      <c r="AL703" s="282"/>
      <c r="AM703" s="282"/>
      <c r="AN703" s="282"/>
      <c r="AO703" s="282"/>
      <c r="AP703" s="282"/>
      <c r="AQ703" s="282"/>
      <c r="AR703" s="282"/>
      <c r="AS703" s="282"/>
      <c r="AT703" s="282"/>
      <c r="AU703" s="282"/>
      <c r="AV703" s="282"/>
      <c r="AW703" s="282"/>
      <c r="AX703" s="282"/>
      <c r="AY703" s="282"/>
      <c r="AZ703" s="282"/>
      <c r="BA703" s="282"/>
    </row>
    <row r="704" spans="1:53">
      <c r="A704" s="282"/>
      <c r="B704" s="282"/>
      <c r="C704" s="282"/>
      <c r="D704" s="282"/>
      <c r="E704" s="282"/>
      <c r="F704" s="282"/>
      <c r="G704" s="282"/>
      <c r="H704" s="282"/>
      <c r="I704" s="282"/>
      <c r="J704" s="282"/>
      <c r="K704" s="282"/>
      <c r="L704" s="282"/>
      <c r="M704" s="282"/>
      <c r="N704" s="282"/>
      <c r="O704" s="282"/>
      <c r="P704" s="282"/>
      <c r="Q704" s="282"/>
      <c r="R704" s="282"/>
      <c r="S704" s="282"/>
      <c r="T704" s="282"/>
      <c r="U704" s="282"/>
      <c r="V704" s="282"/>
      <c r="W704" s="282"/>
      <c r="X704" s="282"/>
      <c r="Y704" s="282"/>
      <c r="Z704" s="282"/>
      <c r="AA704" s="282"/>
      <c r="AB704" s="282"/>
      <c r="AC704" s="282"/>
      <c r="AD704" s="282"/>
      <c r="AE704" s="282"/>
      <c r="AF704" s="282"/>
      <c r="AG704" s="282"/>
      <c r="AH704" s="281"/>
      <c r="AI704" s="282"/>
      <c r="AJ704" s="282"/>
      <c r="AK704" s="282"/>
      <c r="AL704" s="282"/>
      <c r="AM704" s="282"/>
      <c r="AN704" s="282"/>
      <c r="AO704" s="282"/>
      <c r="AP704" s="282"/>
      <c r="AQ704" s="282"/>
      <c r="AR704" s="282"/>
      <c r="AS704" s="282"/>
      <c r="AT704" s="282"/>
      <c r="AU704" s="282"/>
      <c r="AV704" s="282"/>
      <c r="AW704" s="282"/>
      <c r="AX704" s="282"/>
      <c r="AY704" s="282"/>
      <c r="AZ704" s="282"/>
      <c r="BA704" s="282"/>
    </row>
    <row r="705" spans="1:53">
      <c r="A705" s="282"/>
      <c r="B705" s="282"/>
      <c r="C705" s="282"/>
      <c r="D705" s="282"/>
      <c r="E705" s="282"/>
      <c r="F705" s="282"/>
      <c r="G705" s="282"/>
      <c r="H705" s="282"/>
      <c r="I705" s="282"/>
      <c r="J705" s="282"/>
      <c r="K705" s="282"/>
      <c r="L705" s="282"/>
      <c r="M705" s="282"/>
      <c r="N705" s="282"/>
      <c r="O705" s="282"/>
      <c r="P705" s="282"/>
      <c r="Q705" s="282"/>
      <c r="R705" s="282"/>
      <c r="S705" s="282"/>
      <c r="T705" s="282"/>
      <c r="U705" s="282"/>
      <c r="V705" s="282"/>
      <c r="W705" s="282"/>
      <c r="X705" s="282"/>
      <c r="Y705" s="282"/>
      <c r="Z705" s="282"/>
      <c r="AA705" s="282"/>
      <c r="AB705" s="282"/>
      <c r="AC705" s="282"/>
      <c r="AD705" s="282"/>
      <c r="AE705" s="282"/>
      <c r="AF705" s="282"/>
      <c r="AG705" s="282"/>
      <c r="AH705" s="281"/>
      <c r="AI705" s="282"/>
      <c r="AJ705" s="282"/>
      <c r="AK705" s="282"/>
      <c r="AL705" s="282"/>
      <c r="AM705" s="282"/>
      <c r="AN705" s="282"/>
      <c r="AO705" s="282"/>
      <c r="AP705" s="282"/>
      <c r="AQ705" s="282"/>
      <c r="AR705" s="282"/>
      <c r="AS705" s="282"/>
      <c r="AT705" s="282"/>
      <c r="AU705" s="282"/>
      <c r="AV705" s="282"/>
      <c r="AW705" s="282"/>
      <c r="AX705" s="282"/>
      <c r="AY705" s="282"/>
      <c r="AZ705" s="282"/>
      <c r="BA705" s="282"/>
    </row>
    <row r="706" spans="1:53">
      <c r="A706" s="282"/>
      <c r="B706" s="282"/>
      <c r="C706" s="282"/>
      <c r="D706" s="282"/>
      <c r="E706" s="282"/>
      <c r="F706" s="282"/>
      <c r="G706" s="282"/>
      <c r="H706" s="282"/>
      <c r="I706" s="282"/>
      <c r="J706" s="282"/>
      <c r="K706" s="282"/>
      <c r="L706" s="282"/>
      <c r="M706" s="282"/>
      <c r="N706" s="282"/>
      <c r="O706" s="282"/>
      <c r="P706" s="282"/>
      <c r="Q706" s="282"/>
      <c r="R706" s="282"/>
      <c r="S706" s="282"/>
      <c r="T706" s="282"/>
      <c r="U706" s="282"/>
      <c r="V706" s="282"/>
      <c r="W706" s="282"/>
      <c r="X706" s="282"/>
      <c r="Y706" s="282"/>
      <c r="Z706" s="282"/>
      <c r="AA706" s="282"/>
      <c r="AB706" s="282"/>
      <c r="AC706" s="282"/>
      <c r="AD706" s="282"/>
      <c r="AE706" s="282"/>
      <c r="AF706" s="282"/>
      <c r="AG706" s="282"/>
      <c r="AH706" s="281"/>
      <c r="AI706" s="282"/>
      <c r="AJ706" s="282"/>
      <c r="AK706" s="282"/>
      <c r="AL706" s="282"/>
      <c r="AM706" s="282"/>
      <c r="AN706" s="282"/>
      <c r="AO706" s="282"/>
      <c r="AP706" s="282"/>
      <c r="AQ706" s="282"/>
      <c r="AR706" s="282"/>
      <c r="AS706" s="282"/>
      <c r="AT706" s="282"/>
      <c r="AU706" s="282"/>
      <c r="AV706" s="282"/>
      <c r="AW706" s="282"/>
      <c r="AX706" s="282"/>
      <c r="AY706" s="282"/>
      <c r="AZ706" s="282"/>
      <c r="BA706" s="282"/>
    </row>
    <row r="707" spans="1:53">
      <c r="A707" s="282"/>
      <c r="B707" s="282"/>
      <c r="C707" s="282"/>
      <c r="D707" s="282"/>
      <c r="E707" s="282"/>
      <c r="F707" s="282"/>
      <c r="G707" s="282"/>
      <c r="H707" s="282"/>
      <c r="I707" s="282"/>
      <c r="J707" s="282"/>
      <c r="K707" s="282"/>
      <c r="L707" s="282"/>
      <c r="M707" s="282"/>
      <c r="N707" s="282"/>
      <c r="O707" s="282"/>
      <c r="P707" s="282"/>
      <c r="Q707" s="282"/>
      <c r="R707" s="282"/>
      <c r="S707" s="282"/>
      <c r="T707" s="282"/>
      <c r="U707" s="282"/>
      <c r="V707" s="282"/>
      <c r="W707" s="282"/>
      <c r="X707" s="282"/>
      <c r="Y707" s="282"/>
      <c r="Z707" s="282"/>
      <c r="AA707" s="282"/>
      <c r="AB707" s="282"/>
      <c r="AC707" s="282"/>
      <c r="AD707" s="282"/>
      <c r="AE707" s="282"/>
      <c r="AF707" s="282"/>
      <c r="AG707" s="282"/>
      <c r="AH707" s="281"/>
      <c r="AI707" s="282"/>
      <c r="AJ707" s="282"/>
      <c r="AK707" s="282"/>
      <c r="AL707" s="282"/>
      <c r="AM707" s="282"/>
      <c r="AN707" s="282"/>
      <c r="AO707" s="282"/>
      <c r="AP707" s="282"/>
      <c r="AQ707" s="282"/>
      <c r="AR707" s="282"/>
      <c r="AS707" s="282"/>
      <c r="AT707" s="282"/>
      <c r="AU707" s="282"/>
      <c r="AV707" s="282"/>
      <c r="AW707" s="282"/>
      <c r="AX707" s="282"/>
      <c r="AY707" s="282"/>
      <c r="AZ707" s="282"/>
      <c r="BA707" s="282"/>
    </row>
    <row r="708" spans="1:53">
      <c r="A708" s="282"/>
      <c r="B708" s="282"/>
      <c r="C708" s="282"/>
      <c r="D708" s="282"/>
      <c r="E708" s="282"/>
      <c r="F708" s="282"/>
      <c r="G708" s="282"/>
      <c r="H708" s="282"/>
      <c r="I708" s="282"/>
      <c r="J708" s="282"/>
      <c r="K708" s="282"/>
      <c r="L708" s="282"/>
      <c r="M708" s="282"/>
      <c r="N708" s="282"/>
      <c r="O708" s="282"/>
      <c r="P708" s="282"/>
      <c r="Q708" s="282"/>
      <c r="R708" s="282"/>
      <c r="S708" s="282"/>
      <c r="T708" s="282"/>
      <c r="U708" s="282"/>
      <c r="V708" s="282"/>
      <c r="W708" s="282"/>
      <c r="X708" s="282"/>
      <c r="Y708" s="282"/>
      <c r="Z708" s="282"/>
      <c r="AA708" s="282"/>
      <c r="AB708" s="282"/>
      <c r="AC708" s="282"/>
      <c r="AD708" s="282"/>
      <c r="AE708" s="282"/>
      <c r="AF708" s="282"/>
      <c r="AG708" s="282"/>
      <c r="AH708" s="281"/>
      <c r="AI708" s="282"/>
      <c r="AJ708" s="282"/>
      <c r="AK708" s="282"/>
      <c r="AL708" s="282"/>
      <c r="AM708" s="282"/>
      <c r="AN708" s="282"/>
      <c r="AO708" s="282"/>
      <c r="AP708" s="282"/>
      <c r="AQ708" s="282"/>
      <c r="AR708" s="282"/>
      <c r="AS708" s="282"/>
      <c r="AT708" s="282"/>
      <c r="AU708" s="282"/>
      <c r="AV708" s="282"/>
      <c r="AW708" s="282"/>
      <c r="AX708" s="282"/>
      <c r="AY708" s="282"/>
      <c r="AZ708" s="282"/>
      <c r="BA708" s="282"/>
    </row>
    <row r="709" spans="1:53">
      <c r="A709" s="282"/>
      <c r="B709" s="282"/>
      <c r="C709" s="282"/>
      <c r="D709" s="282"/>
      <c r="E709" s="282"/>
      <c r="F709" s="282"/>
      <c r="G709" s="282"/>
      <c r="H709" s="282"/>
      <c r="I709" s="282"/>
      <c r="J709" s="282"/>
      <c r="K709" s="282"/>
      <c r="L709" s="282"/>
      <c r="M709" s="282"/>
      <c r="N709" s="282"/>
      <c r="O709" s="282"/>
      <c r="P709" s="282"/>
      <c r="Q709" s="282"/>
      <c r="R709" s="282"/>
      <c r="S709" s="282"/>
      <c r="T709" s="282"/>
      <c r="U709" s="282"/>
      <c r="V709" s="282"/>
      <c r="W709" s="282"/>
      <c r="X709" s="282"/>
      <c r="Y709" s="282"/>
      <c r="Z709" s="282"/>
      <c r="AA709" s="282"/>
      <c r="AB709" s="282"/>
      <c r="AC709" s="282"/>
      <c r="AD709" s="282"/>
      <c r="AE709" s="282"/>
      <c r="AF709" s="282"/>
      <c r="AG709" s="282"/>
      <c r="AH709" s="281"/>
      <c r="AI709" s="282"/>
      <c r="AJ709" s="282"/>
      <c r="AK709" s="282"/>
      <c r="AL709" s="282"/>
      <c r="AM709" s="282"/>
      <c r="AN709" s="282"/>
      <c r="AO709" s="282"/>
      <c r="AP709" s="282"/>
      <c r="AQ709" s="282"/>
      <c r="AR709" s="282"/>
      <c r="AS709" s="282"/>
      <c r="AT709" s="282"/>
      <c r="AU709" s="282"/>
      <c r="AV709" s="282"/>
      <c r="AW709" s="282"/>
      <c r="AX709" s="282"/>
      <c r="AY709" s="282"/>
      <c r="AZ709" s="282"/>
      <c r="BA709" s="282"/>
    </row>
    <row r="710" spans="1:53">
      <c r="A710" s="282"/>
      <c r="B710" s="282"/>
      <c r="C710" s="282"/>
      <c r="D710" s="282"/>
      <c r="E710" s="282"/>
      <c r="F710" s="282"/>
      <c r="G710" s="282"/>
      <c r="H710" s="282"/>
      <c r="I710" s="282"/>
      <c r="J710" s="282"/>
      <c r="K710" s="282"/>
      <c r="L710" s="282"/>
      <c r="M710" s="282"/>
      <c r="N710" s="282"/>
      <c r="O710" s="282"/>
      <c r="P710" s="282"/>
      <c r="Q710" s="282"/>
      <c r="R710" s="282"/>
      <c r="S710" s="282"/>
      <c r="T710" s="282"/>
      <c r="U710" s="282"/>
      <c r="V710" s="282"/>
      <c r="W710" s="282"/>
      <c r="X710" s="282"/>
      <c r="Y710" s="282"/>
      <c r="Z710" s="282"/>
      <c r="AA710" s="282"/>
      <c r="AB710" s="282"/>
      <c r="AC710" s="282"/>
      <c r="AD710" s="282"/>
      <c r="AE710" s="282"/>
      <c r="AF710" s="282"/>
      <c r="AG710" s="282"/>
      <c r="AH710" s="281"/>
      <c r="AI710" s="282"/>
      <c r="AJ710" s="282"/>
      <c r="AK710" s="282"/>
      <c r="AL710" s="282"/>
      <c r="AM710" s="282"/>
      <c r="AN710" s="282"/>
      <c r="AO710" s="282"/>
      <c r="AP710" s="282"/>
      <c r="AQ710" s="282"/>
      <c r="AR710" s="282"/>
      <c r="AS710" s="282"/>
      <c r="AT710" s="282"/>
      <c r="AU710" s="282"/>
      <c r="AV710" s="282"/>
      <c r="AW710" s="282"/>
      <c r="AX710" s="282"/>
      <c r="AY710" s="282"/>
      <c r="AZ710" s="282"/>
      <c r="BA710" s="282"/>
    </row>
    <row r="711" spans="1:53">
      <c r="A711" s="282"/>
      <c r="B711" s="282"/>
      <c r="C711" s="282"/>
      <c r="D711" s="282"/>
      <c r="E711" s="282"/>
      <c r="F711" s="282"/>
      <c r="G711" s="282"/>
      <c r="H711" s="282"/>
      <c r="I711" s="282"/>
      <c r="J711" s="282"/>
      <c r="K711" s="282"/>
      <c r="L711" s="282"/>
      <c r="M711" s="282"/>
      <c r="N711" s="282"/>
      <c r="O711" s="282"/>
      <c r="P711" s="282"/>
      <c r="Q711" s="282"/>
      <c r="R711" s="282"/>
      <c r="S711" s="282"/>
      <c r="T711" s="282"/>
      <c r="U711" s="282"/>
      <c r="V711" s="282"/>
      <c r="W711" s="282"/>
      <c r="X711" s="282"/>
      <c r="Y711" s="282"/>
      <c r="Z711" s="282"/>
      <c r="AA711" s="282"/>
      <c r="AB711" s="282"/>
      <c r="AC711" s="282"/>
      <c r="AD711" s="282"/>
      <c r="AE711" s="282"/>
      <c r="AF711" s="282"/>
      <c r="AG711" s="282"/>
      <c r="AH711" s="281"/>
      <c r="AI711" s="282"/>
      <c r="AJ711" s="282"/>
      <c r="AK711" s="282"/>
      <c r="AL711" s="282"/>
      <c r="AM711" s="282"/>
      <c r="AN711" s="282"/>
      <c r="AO711" s="282"/>
      <c r="AP711" s="282"/>
      <c r="AQ711" s="282"/>
      <c r="AR711" s="282"/>
      <c r="AS711" s="282"/>
      <c r="AT711" s="282"/>
      <c r="AU711" s="282"/>
      <c r="AV711" s="282"/>
      <c r="AW711" s="282"/>
      <c r="AX711" s="282"/>
      <c r="AY711" s="282"/>
      <c r="AZ711" s="282"/>
      <c r="BA711" s="282"/>
    </row>
    <row r="712" spans="1:53">
      <c r="A712" s="282"/>
      <c r="B712" s="282"/>
      <c r="C712" s="282"/>
      <c r="D712" s="282"/>
      <c r="E712" s="282"/>
      <c r="F712" s="282"/>
      <c r="G712" s="282"/>
      <c r="H712" s="282"/>
      <c r="I712" s="282"/>
      <c r="J712" s="282"/>
      <c r="K712" s="282"/>
      <c r="L712" s="282"/>
      <c r="M712" s="282"/>
      <c r="N712" s="282"/>
      <c r="O712" s="282"/>
      <c r="P712" s="282"/>
      <c r="Q712" s="282"/>
      <c r="R712" s="282"/>
      <c r="S712" s="282"/>
      <c r="T712" s="282"/>
      <c r="U712" s="282"/>
      <c r="V712" s="282"/>
      <c r="W712" s="282"/>
      <c r="X712" s="282"/>
      <c r="Y712" s="282"/>
      <c r="Z712" s="282"/>
      <c r="AA712" s="282"/>
      <c r="AB712" s="282"/>
      <c r="AC712" s="282"/>
      <c r="AD712" s="282"/>
      <c r="AE712" s="282"/>
      <c r="AF712" s="282"/>
      <c r="AG712" s="282"/>
      <c r="AH712" s="281"/>
      <c r="AI712" s="282"/>
      <c r="AJ712" s="282"/>
      <c r="AK712" s="282"/>
      <c r="AL712" s="282"/>
      <c r="AM712" s="282"/>
      <c r="AN712" s="282"/>
      <c r="AO712" s="282"/>
      <c r="AP712" s="282"/>
      <c r="AQ712" s="282"/>
      <c r="AR712" s="282"/>
      <c r="AS712" s="282"/>
      <c r="AT712" s="282"/>
      <c r="AU712" s="282"/>
      <c r="AV712" s="282"/>
      <c r="AW712" s="282"/>
      <c r="AX712" s="282"/>
      <c r="AY712" s="282"/>
      <c r="AZ712" s="282"/>
      <c r="BA712" s="282"/>
    </row>
    <row r="713" spans="1:53">
      <c r="A713" s="282"/>
      <c r="B713" s="282"/>
      <c r="C713" s="282"/>
      <c r="D713" s="282"/>
      <c r="E713" s="282"/>
      <c r="F713" s="282"/>
      <c r="G713" s="282"/>
      <c r="H713" s="282"/>
      <c r="I713" s="282"/>
      <c r="J713" s="282"/>
      <c r="K713" s="282"/>
      <c r="L713" s="282"/>
      <c r="M713" s="282"/>
      <c r="N713" s="282"/>
      <c r="O713" s="282"/>
      <c r="P713" s="282"/>
      <c r="Q713" s="282"/>
      <c r="R713" s="282"/>
      <c r="S713" s="282"/>
      <c r="T713" s="282"/>
      <c r="U713" s="282"/>
      <c r="V713" s="282"/>
      <c r="W713" s="282"/>
      <c r="X713" s="282"/>
      <c r="Y713" s="282"/>
      <c r="Z713" s="282"/>
      <c r="AA713" s="282"/>
      <c r="AB713" s="282"/>
      <c r="AC713" s="282"/>
      <c r="AD713" s="282"/>
      <c r="AE713" s="282"/>
      <c r="AF713" s="282"/>
      <c r="AG713" s="282"/>
      <c r="AH713" s="281"/>
      <c r="AI713" s="282"/>
      <c r="AJ713" s="282"/>
      <c r="AK713" s="282"/>
      <c r="AL713" s="282"/>
      <c r="AM713" s="282"/>
      <c r="AN713" s="282"/>
      <c r="AO713" s="282"/>
      <c r="AP713" s="282"/>
      <c r="AQ713" s="282"/>
      <c r="AR713" s="282"/>
      <c r="AS713" s="282"/>
      <c r="AT713" s="282"/>
      <c r="AU713" s="282"/>
      <c r="AV713" s="282"/>
      <c r="AW713" s="282"/>
      <c r="AX713" s="282"/>
      <c r="AY713" s="282"/>
      <c r="AZ713" s="282"/>
      <c r="BA713" s="282"/>
    </row>
    <row r="714" spans="1:53">
      <c r="A714" s="282"/>
      <c r="B714" s="282"/>
      <c r="C714" s="282"/>
      <c r="D714" s="282"/>
      <c r="E714" s="282"/>
      <c r="F714" s="282"/>
      <c r="G714" s="282"/>
      <c r="H714" s="282"/>
      <c r="I714" s="282"/>
      <c r="J714" s="282"/>
      <c r="K714" s="282"/>
      <c r="L714" s="282"/>
      <c r="M714" s="282"/>
      <c r="N714" s="282"/>
      <c r="O714" s="282"/>
      <c r="P714" s="282"/>
      <c r="Q714" s="282"/>
      <c r="R714" s="282"/>
      <c r="S714" s="282"/>
      <c r="T714" s="282"/>
      <c r="U714" s="282"/>
      <c r="V714" s="282"/>
      <c r="W714" s="282"/>
      <c r="X714" s="282"/>
      <c r="Y714" s="282"/>
      <c r="Z714" s="282"/>
      <c r="AA714" s="282"/>
      <c r="AB714" s="282"/>
      <c r="AC714" s="282"/>
      <c r="AD714" s="282"/>
      <c r="AE714" s="282"/>
      <c r="AF714" s="282"/>
      <c r="AG714" s="282"/>
      <c r="AH714" s="281"/>
      <c r="AI714" s="282"/>
      <c r="AJ714" s="282"/>
      <c r="AK714" s="282"/>
      <c r="AL714" s="282"/>
      <c r="AM714" s="282"/>
      <c r="AN714" s="282"/>
      <c r="AO714" s="282"/>
      <c r="AP714" s="282"/>
      <c r="AQ714" s="282"/>
      <c r="AR714" s="282"/>
      <c r="AS714" s="282"/>
      <c r="AT714" s="282"/>
      <c r="AU714" s="282"/>
      <c r="AV714" s="282"/>
      <c r="AW714" s="282"/>
      <c r="AX714" s="282"/>
      <c r="AY714" s="282"/>
      <c r="AZ714" s="282"/>
      <c r="BA714" s="282"/>
    </row>
    <row r="715" spans="1:53">
      <c r="A715" s="282"/>
      <c r="B715" s="282"/>
      <c r="C715" s="282"/>
      <c r="D715" s="282"/>
      <c r="E715" s="282"/>
      <c r="F715" s="282"/>
      <c r="G715" s="282"/>
      <c r="H715" s="282"/>
      <c r="I715" s="282"/>
      <c r="J715" s="282"/>
      <c r="K715" s="282"/>
      <c r="L715" s="282"/>
      <c r="M715" s="282"/>
      <c r="N715" s="282"/>
      <c r="O715" s="282"/>
      <c r="P715" s="282"/>
      <c r="Q715" s="282"/>
      <c r="R715" s="282"/>
      <c r="S715" s="282"/>
      <c r="T715" s="282"/>
      <c r="U715" s="282"/>
      <c r="V715" s="282"/>
      <c r="W715" s="282"/>
      <c r="X715" s="282"/>
      <c r="Y715" s="282"/>
      <c r="Z715" s="282"/>
      <c r="AA715" s="282"/>
      <c r="AB715" s="282"/>
      <c r="AC715" s="282"/>
      <c r="AD715" s="282"/>
      <c r="AE715" s="282"/>
      <c r="AF715" s="282"/>
      <c r="AG715" s="282"/>
      <c r="AH715" s="281"/>
      <c r="AI715" s="282"/>
      <c r="AJ715" s="282"/>
      <c r="AK715" s="282"/>
      <c r="AL715" s="282"/>
      <c r="AM715" s="282"/>
      <c r="AN715" s="282"/>
      <c r="AO715" s="282"/>
      <c r="AP715" s="282"/>
      <c r="AQ715" s="282"/>
      <c r="AR715" s="282"/>
      <c r="AS715" s="282"/>
      <c r="AT715" s="282"/>
      <c r="AU715" s="282"/>
      <c r="AV715" s="282"/>
      <c r="AW715" s="282"/>
      <c r="AX715" s="282"/>
      <c r="AY715" s="282"/>
      <c r="AZ715" s="282"/>
      <c r="BA715" s="282"/>
    </row>
    <row r="716" spans="1:53">
      <c r="A716" s="282"/>
      <c r="B716" s="282"/>
      <c r="C716" s="282"/>
      <c r="D716" s="282"/>
      <c r="E716" s="282"/>
      <c r="F716" s="282"/>
      <c r="G716" s="282"/>
      <c r="H716" s="282"/>
      <c r="I716" s="282"/>
      <c r="J716" s="282"/>
      <c r="K716" s="282"/>
      <c r="L716" s="282"/>
      <c r="M716" s="282"/>
      <c r="N716" s="282"/>
      <c r="O716" s="282"/>
      <c r="P716" s="282"/>
      <c r="Q716" s="282"/>
      <c r="R716" s="282"/>
      <c r="S716" s="282"/>
      <c r="T716" s="282"/>
      <c r="U716" s="282"/>
      <c r="V716" s="282"/>
      <c r="W716" s="282"/>
      <c r="X716" s="282"/>
      <c r="Y716" s="282"/>
      <c r="Z716" s="282"/>
      <c r="AA716" s="282"/>
      <c r="AB716" s="282"/>
      <c r="AC716" s="282"/>
      <c r="AD716" s="282"/>
      <c r="AE716" s="282"/>
      <c r="AF716" s="282"/>
      <c r="AG716" s="282"/>
      <c r="AH716" s="281"/>
      <c r="AI716" s="282"/>
      <c r="AJ716" s="282"/>
      <c r="AK716" s="282"/>
      <c r="AL716" s="282"/>
      <c r="AM716" s="282"/>
      <c r="AN716" s="282"/>
      <c r="AO716" s="282"/>
      <c r="AP716" s="282"/>
      <c r="AQ716" s="282"/>
      <c r="AR716" s="282"/>
      <c r="AS716" s="282"/>
      <c r="AT716" s="282"/>
      <c r="AU716" s="282"/>
      <c r="AV716" s="282"/>
      <c r="AW716" s="282"/>
      <c r="AX716" s="282"/>
      <c r="AY716" s="282"/>
      <c r="AZ716" s="282"/>
      <c r="BA716" s="282"/>
    </row>
    <row r="717" spans="1:53">
      <c r="A717" s="282"/>
      <c r="B717" s="282"/>
      <c r="C717" s="282"/>
      <c r="D717" s="282"/>
      <c r="E717" s="282"/>
      <c r="F717" s="282"/>
      <c r="G717" s="282"/>
      <c r="H717" s="282"/>
      <c r="I717" s="282"/>
      <c r="J717" s="282"/>
      <c r="K717" s="282"/>
      <c r="L717" s="282"/>
      <c r="M717" s="282"/>
      <c r="N717" s="282"/>
      <c r="O717" s="282"/>
      <c r="P717" s="282"/>
      <c r="Q717" s="282"/>
      <c r="R717" s="282"/>
      <c r="S717" s="282"/>
      <c r="T717" s="282"/>
      <c r="U717" s="282"/>
      <c r="V717" s="282"/>
      <c r="W717" s="282"/>
      <c r="X717" s="282"/>
      <c r="Y717" s="282"/>
      <c r="Z717" s="282"/>
      <c r="AA717" s="282"/>
      <c r="AB717" s="282"/>
      <c r="AC717" s="282"/>
      <c r="AD717" s="282"/>
      <c r="AE717" s="282"/>
      <c r="AF717" s="282"/>
      <c r="AG717" s="282"/>
      <c r="AH717" s="281"/>
      <c r="AI717" s="282"/>
      <c r="AJ717" s="282"/>
      <c r="AK717" s="282"/>
      <c r="AL717" s="282"/>
      <c r="AM717" s="282"/>
      <c r="AN717" s="282"/>
      <c r="AO717" s="282"/>
      <c r="AP717" s="282"/>
      <c r="AQ717" s="282"/>
      <c r="AR717" s="282"/>
      <c r="AS717" s="282"/>
      <c r="AT717" s="282"/>
      <c r="AU717" s="282"/>
      <c r="AV717" s="282"/>
      <c r="AW717" s="282"/>
      <c r="AX717" s="282"/>
      <c r="AY717" s="282"/>
      <c r="AZ717" s="282"/>
      <c r="BA717" s="282"/>
    </row>
    <row r="718" spans="1:53">
      <c r="A718" s="282"/>
      <c r="B718" s="282"/>
      <c r="C718" s="282"/>
      <c r="D718" s="282"/>
      <c r="E718" s="282"/>
      <c r="F718" s="282"/>
      <c r="G718" s="282"/>
      <c r="H718" s="282"/>
      <c r="I718" s="282"/>
      <c r="J718" s="282"/>
      <c r="K718" s="282"/>
      <c r="L718" s="282"/>
      <c r="M718" s="282"/>
      <c r="N718" s="282"/>
      <c r="O718" s="282"/>
      <c r="P718" s="282"/>
      <c r="Q718" s="282"/>
      <c r="R718" s="282"/>
      <c r="S718" s="282"/>
      <c r="T718" s="282"/>
      <c r="U718" s="282"/>
      <c r="V718" s="282"/>
      <c r="W718" s="282"/>
      <c r="X718" s="282"/>
      <c r="Y718" s="282"/>
      <c r="Z718" s="282"/>
      <c r="AA718" s="282"/>
      <c r="AB718" s="282"/>
      <c r="AC718" s="282"/>
      <c r="AD718" s="282"/>
      <c r="AE718" s="282"/>
      <c r="AF718" s="282"/>
      <c r="AG718" s="282"/>
      <c r="AH718" s="281"/>
      <c r="AI718" s="282"/>
      <c r="AJ718" s="282"/>
      <c r="AK718" s="282"/>
      <c r="AL718" s="282"/>
      <c r="AM718" s="282"/>
      <c r="AN718" s="282"/>
      <c r="AO718" s="282"/>
      <c r="AP718" s="282"/>
      <c r="AQ718" s="282"/>
      <c r="AR718" s="282"/>
      <c r="AS718" s="282"/>
      <c r="AT718" s="282"/>
      <c r="AU718" s="282"/>
      <c r="AV718" s="282"/>
      <c r="AW718" s="282"/>
      <c r="AX718" s="282"/>
      <c r="AY718" s="282"/>
      <c r="AZ718" s="282"/>
      <c r="BA718" s="282"/>
    </row>
    <row r="719" spans="1:53">
      <c r="A719" s="282"/>
      <c r="B719" s="282"/>
      <c r="C719" s="282"/>
      <c r="D719" s="282"/>
      <c r="E719" s="282"/>
      <c r="F719" s="282"/>
      <c r="G719" s="282"/>
      <c r="H719" s="282"/>
      <c r="I719" s="282"/>
      <c r="J719" s="282"/>
      <c r="K719" s="282"/>
      <c r="L719" s="282"/>
      <c r="M719" s="282"/>
      <c r="N719" s="282"/>
      <c r="O719" s="282"/>
      <c r="P719" s="282"/>
      <c r="Q719" s="282"/>
      <c r="R719" s="282"/>
      <c r="S719" s="282"/>
      <c r="T719" s="282"/>
      <c r="U719" s="282"/>
      <c r="V719" s="282"/>
      <c r="W719" s="282"/>
      <c r="X719" s="282"/>
      <c r="Y719" s="282"/>
      <c r="Z719" s="282"/>
      <c r="AA719" s="282"/>
      <c r="AB719" s="282"/>
      <c r="AC719" s="282"/>
      <c r="AD719" s="282"/>
      <c r="AE719" s="282"/>
      <c r="AF719" s="282"/>
      <c r="AG719" s="282"/>
      <c r="AH719" s="281"/>
      <c r="AI719" s="282"/>
      <c r="AJ719" s="282"/>
      <c r="AK719" s="282"/>
      <c r="AL719" s="282"/>
      <c r="AM719" s="282"/>
      <c r="AN719" s="282"/>
      <c r="AO719" s="282"/>
      <c r="AP719" s="282"/>
      <c r="AQ719" s="282"/>
      <c r="AR719" s="282"/>
      <c r="AS719" s="282"/>
      <c r="AT719" s="282"/>
      <c r="AU719" s="282"/>
      <c r="AV719" s="282"/>
      <c r="AW719" s="282"/>
      <c r="AX719" s="282"/>
      <c r="AY719" s="282"/>
      <c r="AZ719" s="282"/>
      <c r="BA719" s="282"/>
    </row>
    <row r="720" spans="1:53">
      <c r="A720" s="282"/>
      <c r="B720" s="282"/>
      <c r="C720" s="282"/>
      <c r="D720" s="282"/>
      <c r="E720" s="282"/>
      <c r="F720" s="282"/>
      <c r="G720" s="282"/>
      <c r="H720" s="282"/>
      <c r="I720" s="282"/>
      <c r="J720" s="282"/>
      <c r="K720" s="282"/>
      <c r="L720" s="282"/>
      <c r="M720" s="282"/>
      <c r="N720" s="282"/>
      <c r="O720" s="282"/>
      <c r="P720" s="282"/>
      <c r="Q720" s="282"/>
      <c r="R720" s="282"/>
      <c r="S720" s="282"/>
      <c r="T720" s="282"/>
      <c r="U720" s="282"/>
      <c r="V720" s="282"/>
      <c r="W720" s="282"/>
      <c r="X720" s="282"/>
      <c r="Y720" s="282"/>
      <c r="Z720" s="282"/>
      <c r="AA720" s="282"/>
      <c r="AB720" s="282"/>
      <c r="AC720" s="282"/>
      <c r="AD720" s="282"/>
      <c r="AE720" s="282"/>
      <c r="AF720" s="282"/>
      <c r="AG720" s="282"/>
      <c r="AH720" s="281"/>
      <c r="AI720" s="282"/>
      <c r="AJ720" s="282"/>
      <c r="AK720" s="282"/>
      <c r="AL720" s="282"/>
      <c r="AM720" s="282"/>
      <c r="AN720" s="282"/>
      <c r="AO720" s="282"/>
      <c r="AP720" s="282"/>
      <c r="AQ720" s="282"/>
      <c r="AR720" s="282"/>
      <c r="AS720" s="282"/>
      <c r="AT720" s="282"/>
      <c r="AU720" s="282"/>
      <c r="AV720" s="282"/>
      <c r="AW720" s="282"/>
      <c r="AX720" s="282"/>
      <c r="AY720" s="282"/>
      <c r="AZ720" s="282"/>
      <c r="BA720" s="282"/>
    </row>
    <row r="721" spans="1:53">
      <c r="A721" s="282"/>
      <c r="B721" s="282"/>
      <c r="C721" s="282"/>
      <c r="D721" s="282"/>
      <c r="E721" s="282"/>
      <c r="F721" s="282"/>
      <c r="G721" s="282"/>
      <c r="H721" s="282"/>
      <c r="I721" s="282"/>
      <c r="J721" s="282"/>
      <c r="K721" s="282"/>
      <c r="L721" s="282"/>
      <c r="M721" s="282"/>
      <c r="N721" s="282"/>
      <c r="O721" s="282"/>
      <c r="P721" s="282"/>
      <c r="Q721" s="282"/>
      <c r="R721" s="282"/>
      <c r="S721" s="282"/>
      <c r="T721" s="282"/>
      <c r="U721" s="282"/>
      <c r="V721" s="282"/>
      <c r="W721" s="282"/>
      <c r="X721" s="282"/>
      <c r="Y721" s="282"/>
      <c r="Z721" s="282"/>
      <c r="AA721" s="282"/>
      <c r="AB721" s="282"/>
      <c r="AC721" s="282"/>
      <c r="AD721" s="282"/>
      <c r="AE721" s="282"/>
      <c r="AF721" s="282"/>
      <c r="AG721" s="282"/>
      <c r="AH721" s="281"/>
      <c r="AI721" s="282"/>
      <c r="AJ721" s="282"/>
      <c r="AK721" s="282"/>
      <c r="AL721" s="282"/>
      <c r="AM721" s="282"/>
      <c r="AN721" s="282"/>
      <c r="AO721" s="282"/>
      <c r="AP721" s="282"/>
      <c r="AQ721" s="282"/>
      <c r="AR721" s="282"/>
      <c r="AS721" s="282"/>
      <c r="AT721" s="282"/>
      <c r="AU721" s="282"/>
      <c r="AV721" s="282"/>
      <c r="AW721" s="282"/>
      <c r="AX721" s="282"/>
      <c r="AY721" s="282"/>
      <c r="AZ721" s="282"/>
      <c r="BA721" s="282"/>
    </row>
    <row r="722" spans="1:53">
      <c r="A722" s="282"/>
      <c r="B722" s="282"/>
      <c r="C722" s="282"/>
      <c r="D722" s="282"/>
      <c r="E722" s="282"/>
      <c r="F722" s="282"/>
      <c r="G722" s="282"/>
      <c r="H722" s="282"/>
      <c r="I722" s="282"/>
      <c r="J722" s="282"/>
      <c r="K722" s="282"/>
      <c r="L722" s="282"/>
      <c r="M722" s="282"/>
      <c r="N722" s="282"/>
      <c r="O722" s="282"/>
      <c r="P722" s="282"/>
      <c r="Q722" s="282"/>
      <c r="R722" s="282"/>
      <c r="S722" s="282"/>
      <c r="T722" s="282"/>
      <c r="U722" s="282"/>
      <c r="V722" s="282"/>
      <c r="W722" s="282"/>
      <c r="X722" s="282"/>
      <c r="Y722" s="282"/>
      <c r="Z722" s="282"/>
      <c r="AA722" s="282"/>
      <c r="AB722" s="282"/>
      <c r="AC722" s="282"/>
      <c r="AD722" s="282"/>
      <c r="AE722" s="282"/>
      <c r="AF722" s="282"/>
      <c r="AG722" s="282"/>
      <c r="AH722" s="281"/>
      <c r="AI722" s="282"/>
      <c r="AJ722" s="282"/>
      <c r="AK722" s="282"/>
      <c r="AL722" s="282"/>
      <c r="AM722" s="282"/>
      <c r="AN722" s="282"/>
      <c r="AO722" s="282"/>
      <c r="AP722" s="282"/>
      <c r="AQ722" s="282"/>
      <c r="AR722" s="282"/>
      <c r="AS722" s="282"/>
      <c r="AT722" s="282"/>
      <c r="AU722" s="282"/>
      <c r="AV722" s="282"/>
      <c r="AW722" s="282"/>
      <c r="AX722" s="282"/>
      <c r="AY722" s="282"/>
      <c r="AZ722" s="282"/>
      <c r="BA722" s="282"/>
    </row>
    <row r="723" spans="1:53">
      <c r="A723" s="282"/>
      <c r="B723" s="282"/>
      <c r="C723" s="282"/>
      <c r="D723" s="282"/>
      <c r="E723" s="282"/>
      <c r="F723" s="282"/>
      <c r="G723" s="282"/>
      <c r="H723" s="282"/>
      <c r="I723" s="282"/>
      <c r="J723" s="282"/>
      <c r="K723" s="282"/>
      <c r="L723" s="282"/>
      <c r="M723" s="282"/>
      <c r="N723" s="282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  <c r="AC723" s="282"/>
      <c r="AD723" s="282"/>
      <c r="AE723" s="282"/>
      <c r="AF723" s="282"/>
      <c r="AG723" s="282"/>
      <c r="AH723" s="281"/>
      <c r="AI723" s="282"/>
      <c r="AJ723" s="282"/>
      <c r="AK723" s="282"/>
      <c r="AL723" s="282"/>
      <c r="AM723" s="282"/>
      <c r="AN723" s="282"/>
      <c r="AO723" s="282"/>
      <c r="AP723" s="282"/>
      <c r="AQ723" s="282"/>
      <c r="AR723" s="282"/>
      <c r="AS723" s="282"/>
      <c r="AT723" s="282"/>
      <c r="AU723" s="282"/>
      <c r="AV723" s="282"/>
      <c r="AW723" s="282"/>
      <c r="AX723" s="282"/>
      <c r="AY723" s="282"/>
      <c r="AZ723" s="282"/>
      <c r="BA723" s="282"/>
    </row>
    <row r="724" spans="1:53">
      <c r="A724" s="282"/>
      <c r="B724" s="282"/>
      <c r="C724" s="282"/>
      <c r="D724" s="282"/>
      <c r="E724" s="282"/>
      <c r="F724" s="282"/>
      <c r="G724" s="282"/>
      <c r="H724" s="282"/>
      <c r="I724" s="282"/>
      <c r="J724" s="282"/>
      <c r="K724" s="282"/>
      <c r="L724" s="282"/>
      <c r="M724" s="282"/>
      <c r="N724" s="282"/>
      <c r="O724" s="282"/>
      <c r="P724" s="282"/>
      <c r="Q724" s="282"/>
      <c r="R724" s="282"/>
      <c r="S724" s="282"/>
      <c r="T724" s="282"/>
      <c r="U724" s="282"/>
      <c r="V724" s="282"/>
      <c r="W724" s="282"/>
      <c r="X724" s="282"/>
      <c r="Y724" s="282"/>
      <c r="Z724" s="282"/>
      <c r="AA724" s="282"/>
      <c r="AB724" s="282"/>
      <c r="AC724" s="282"/>
      <c r="AD724" s="282"/>
      <c r="AE724" s="282"/>
      <c r="AF724" s="282"/>
      <c r="AG724" s="282"/>
      <c r="AH724" s="281"/>
      <c r="AI724" s="282"/>
      <c r="AJ724" s="282"/>
      <c r="AK724" s="282"/>
      <c r="AL724" s="282"/>
      <c r="AM724" s="282"/>
      <c r="AN724" s="282"/>
      <c r="AO724" s="282"/>
      <c r="AP724" s="282"/>
      <c r="AQ724" s="282"/>
      <c r="AR724" s="282"/>
      <c r="AS724" s="282"/>
      <c r="AT724" s="282"/>
      <c r="AU724" s="282"/>
      <c r="AV724" s="282"/>
      <c r="AW724" s="282"/>
      <c r="AX724" s="282"/>
      <c r="AY724" s="282"/>
      <c r="AZ724" s="282"/>
      <c r="BA724" s="282"/>
    </row>
    <row r="725" spans="1:53">
      <c r="A725" s="282"/>
      <c r="B725" s="282"/>
      <c r="C725" s="282"/>
      <c r="D725" s="282"/>
      <c r="E725" s="282"/>
      <c r="F725" s="282"/>
      <c r="G725" s="282"/>
      <c r="H725" s="282"/>
      <c r="I725" s="282"/>
      <c r="J725" s="282"/>
      <c r="K725" s="282"/>
      <c r="L725" s="282"/>
      <c r="M725" s="282"/>
      <c r="N725" s="282"/>
      <c r="O725" s="282"/>
      <c r="P725" s="282"/>
      <c r="Q725" s="282"/>
      <c r="R725" s="282"/>
      <c r="S725" s="282"/>
      <c r="T725" s="282"/>
      <c r="U725" s="282"/>
      <c r="V725" s="282"/>
      <c r="W725" s="282"/>
      <c r="X725" s="282"/>
      <c r="Y725" s="282"/>
      <c r="Z725" s="282"/>
      <c r="AA725" s="282"/>
      <c r="AB725" s="282"/>
      <c r="AC725" s="282"/>
      <c r="AD725" s="282"/>
      <c r="AE725" s="282"/>
      <c r="AF725" s="282"/>
      <c r="AG725" s="282"/>
      <c r="AH725" s="281"/>
      <c r="AI725" s="282"/>
      <c r="AJ725" s="282"/>
      <c r="AK725" s="282"/>
      <c r="AL725" s="282"/>
      <c r="AM725" s="282"/>
      <c r="AN725" s="282"/>
      <c r="AO725" s="282"/>
      <c r="AP725" s="282"/>
      <c r="AQ725" s="282"/>
      <c r="AR725" s="282"/>
      <c r="AS725" s="282"/>
      <c r="AT725" s="282"/>
      <c r="AU725" s="282"/>
      <c r="AV725" s="282"/>
      <c r="AW725" s="282"/>
      <c r="AX725" s="282"/>
      <c r="AY725" s="282"/>
      <c r="AZ725" s="282"/>
      <c r="BA725" s="282"/>
    </row>
    <row r="726" spans="1:53">
      <c r="A726" s="282"/>
      <c r="B726" s="282"/>
      <c r="C726" s="282"/>
      <c r="D726" s="282"/>
      <c r="E726" s="282"/>
      <c r="F726" s="282"/>
      <c r="G726" s="282"/>
      <c r="H726" s="282"/>
      <c r="I726" s="282"/>
      <c r="J726" s="282"/>
      <c r="K726" s="282"/>
      <c r="L726" s="282"/>
      <c r="M726" s="282"/>
      <c r="N726" s="282"/>
      <c r="O726" s="282"/>
      <c r="P726" s="282"/>
      <c r="Q726" s="282"/>
      <c r="R726" s="282"/>
      <c r="S726" s="282"/>
      <c r="T726" s="282"/>
      <c r="U726" s="282"/>
      <c r="V726" s="282"/>
      <c r="W726" s="282"/>
      <c r="X726" s="282"/>
      <c r="Y726" s="282"/>
      <c r="Z726" s="282"/>
      <c r="AA726" s="282"/>
      <c r="AB726" s="282"/>
      <c r="AC726" s="282"/>
      <c r="AD726" s="282"/>
      <c r="AE726" s="282"/>
      <c r="AF726" s="282"/>
      <c r="AG726" s="282"/>
      <c r="AH726" s="281"/>
      <c r="AI726" s="282"/>
      <c r="AJ726" s="282"/>
      <c r="AK726" s="282"/>
      <c r="AL726" s="282"/>
      <c r="AM726" s="282"/>
      <c r="AN726" s="282"/>
      <c r="AO726" s="282"/>
      <c r="AP726" s="282"/>
      <c r="AQ726" s="282"/>
      <c r="AR726" s="282"/>
      <c r="AS726" s="282"/>
      <c r="AT726" s="282"/>
      <c r="AU726" s="282"/>
      <c r="AV726" s="282"/>
      <c r="AW726" s="282"/>
      <c r="AX726" s="282"/>
      <c r="AY726" s="282"/>
      <c r="AZ726" s="282"/>
      <c r="BA726" s="282"/>
    </row>
    <row r="727" spans="1:53">
      <c r="A727" s="282"/>
      <c r="B727" s="282"/>
      <c r="C727" s="282"/>
      <c r="D727" s="282"/>
      <c r="E727" s="282"/>
      <c r="F727" s="282"/>
      <c r="G727" s="282"/>
      <c r="H727" s="282"/>
      <c r="I727" s="282"/>
      <c r="J727" s="282"/>
      <c r="K727" s="282"/>
      <c r="L727" s="282"/>
      <c r="M727" s="282"/>
      <c r="N727" s="282"/>
      <c r="O727" s="282"/>
      <c r="P727" s="282"/>
      <c r="Q727" s="282"/>
      <c r="R727" s="282"/>
      <c r="S727" s="282"/>
      <c r="T727" s="282"/>
      <c r="U727" s="282"/>
      <c r="V727" s="282"/>
      <c r="W727" s="282"/>
      <c r="X727" s="282"/>
      <c r="Y727" s="282"/>
      <c r="Z727" s="282"/>
      <c r="AA727" s="282"/>
      <c r="AB727" s="282"/>
      <c r="AC727" s="282"/>
      <c r="AD727" s="282"/>
      <c r="AE727" s="282"/>
      <c r="AF727" s="282"/>
      <c r="AG727" s="282"/>
      <c r="AH727" s="281"/>
      <c r="AI727" s="282"/>
      <c r="AJ727" s="282"/>
      <c r="AK727" s="282"/>
      <c r="AL727" s="282"/>
      <c r="AM727" s="282"/>
      <c r="AN727" s="282"/>
      <c r="AO727" s="282"/>
      <c r="AP727" s="282"/>
      <c r="AQ727" s="282"/>
      <c r="AR727" s="282"/>
      <c r="AS727" s="282"/>
      <c r="AT727" s="282"/>
      <c r="AU727" s="282"/>
      <c r="AV727" s="282"/>
      <c r="AW727" s="282"/>
      <c r="AX727" s="282"/>
      <c r="AY727" s="282"/>
      <c r="AZ727" s="282"/>
      <c r="BA727" s="282"/>
    </row>
    <row r="728" spans="1:53">
      <c r="A728" s="282"/>
      <c r="B728" s="282"/>
      <c r="C728" s="282"/>
      <c r="D728" s="282"/>
      <c r="E728" s="282"/>
      <c r="F728" s="282"/>
      <c r="G728" s="282"/>
      <c r="H728" s="282"/>
      <c r="I728" s="282"/>
      <c r="J728" s="282"/>
      <c r="K728" s="282"/>
      <c r="L728" s="282"/>
      <c r="M728" s="282"/>
      <c r="N728" s="282"/>
      <c r="O728" s="282"/>
      <c r="P728" s="282"/>
      <c r="Q728" s="282"/>
      <c r="R728" s="282"/>
      <c r="S728" s="282"/>
      <c r="T728" s="282"/>
      <c r="U728" s="282"/>
      <c r="V728" s="282"/>
      <c r="W728" s="282"/>
      <c r="X728" s="282"/>
      <c r="Y728" s="282"/>
      <c r="Z728" s="282"/>
      <c r="AA728" s="282"/>
      <c r="AB728" s="282"/>
      <c r="AC728" s="282"/>
      <c r="AD728" s="282"/>
      <c r="AE728" s="282"/>
      <c r="AF728" s="282"/>
      <c r="AG728" s="282"/>
      <c r="AH728" s="281"/>
      <c r="AI728" s="282"/>
      <c r="AJ728" s="282"/>
      <c r="AK728" s="282"/>
      <c r="AL728" s="282"/>
      <c r="AM728" s="282"/>
      <c r="AN728" s="282"/>
      <c r="AO728" s="282"/>
      <c r="AP728" s="282"/>
      <c r="AQ728" s="282"/>
      <c r="AR728" s="282"/>
      <c r="AS728" s="282"/>
      <c r="AT728" s="282"/>
      <c r="AU728" s="282"/>
      <c r="AV728" s="282"/>
      <c r="AW728" s="282"/>
      <c r="AX728" s="282"/>
      <c r="AY728" s="282"/>
      <c r="AZ728" s="282"/>
      <c r="BA728" s="282"/>
    </row>
    <row r="729" spans="1:53">
      <c r="A729" s="282"/>
      <c r="B729" s="282"/>
      <c r="C729" s="282"/>
      <c r="D729" s="282"/>
      <c r="E729" s="282"/>
      <c r="F729" s="282"/>
      <c r="G729" s="282"/>
      <c r="H729" s="282"/>
      <c r="I729" s="282"/>
      <c r="J729" s="282"/>
      <c r="K729" s="282"/>
      <c r="L729" s="282"/>
      <c r="M729" s="282"/>
      <c r="N729" s="282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  <c r="AC729" s="282"/>
      <c r="AD729" s="282"/>
      <c r="AE729" s="282"/>
      <c r="AF729" s="282"/>
      <c r="AG729" s="282"/>
      <c r="AH729" s="281"/>
      <c r="AI729" s="282"/>
      <c r="AJ729" s="282"/>
      <c r="AK729" s="282"/>
      <c r="AL729" s="282"/>
      <c r="AM729" s="282"/>
      <c r="AN729" s="282"/>
      <c r="AO729" s="282"/>
      <c r="AP729" s="282"/>
      <c r="AQ729" s="282"/>
      <c r="AR729" s="282"/>
      <c r="AS729" s="282"/>
      <c r="AT729" s="282"/>
      <c r="AU729" s="282"/>
      <c r="AV729" s="282"/>
      <c r="AW729" s="282"/>
      <c r="AX729" s="282"/>
      <c r="AY729" s="282"/>
      <c r="AZ729" s="282"/>
      <c r="BA729" s="282"/>
    </row>
    <row r="730" spans="1:53">
      <c r="A730" s="282"/>
      <c r="B730" s="282"/>
      <c r="C730" s="282"/>
      <c r="D730" s="282"/>
      <c r="E730" s="282"/>
      <c r="F730" s="282"/>
      <c r="G730" s="282"/>
      <c r="H730" s="282"/>
      <c r="I730" s="282"/>
      <c r="J730" s="282"/>
      <c r="K730" s="282"/>
      <c r="L730" s="282"/>
      <c r="M730" s="282"/>
      <c r="N730" s="282"/>
      <c r="O730" s="282"/>
      <c r="P730" s="282"/>
      <c r="Q730" s="282"/>
      <c r="R730" s="282"/>
      <c r="S730" s="282"/>
      <c r="T730" s="282"/>
      <c r="U730" s="282"/>
      <c r="V730" s="282"/>
      <c r="W730" s="282"/>
      <c r="X730" s="282"/>
      <c r="Y730" s="282"/>
      <c r="Z730" s="282"/>
      <c r="AA730" s="282"/>
      <c r="AB730" s="282"/>
      <c r="AC730" s="282"/>
      <c r="AD730" s="282"/>
      <c r="AE730" s="282"/>
      <c r="AF730" s="282"/>
      <c r="AG730" s="282"/>
      <c r="AH730" s="281"/>
      <c r="AI730" s="282"/>
      <c r="AJ730" s="282"/>
      <c r="AK730" s="282"/>
      <c r="AL730" s="282"/>
      <c r="AM730" s="282"/>
      <c r="AN730" s="282"/>
      <c r="AO730" s="282"/>
      <c r="AP730" s="282"/>
      <c r="AQ730" s="282"/>
      <c r="AR730" s="282"/>
      <c r="AS730" s="282"/>
      <c r="AT730" s="282"/>
      <c r="AU730" s="282"/>
      <c r="AV730" s="282"/>
      <c r="AW730" s="282"/>
      <c r="AX730" s="282"/>
      <c r="AY730" s="282"/>
      <c r="AZ730" s="282"/>
      <c r="BA730" s="282"/>
    </row>
    <row r="731" spans="1:53">
      <c r="A731" s="282"/>
      <c r="B731" s="282"/>
      <c r="C731" s="282"/>
      <c r="D731" s="282"/>
      <c r="E731" s="282"/>
      <c r="F731" s="282"/>
      <c r="G731" s="282"/>
      <c r="H731" s="282"/>
      <c r="I731" s="282"/>
      <c r="J731" s="282"/>
      <c r="K731" s="282"/>
      <c r="L731" s="282"/>
      <c r="M731" s="282"/>
      <c r="N731" s="282"/>
      <c r="O731" s="282"/>
      <c r="P731" s="282"/>
      <c r="Q731" s="282"/>
      <c r="R731" s="282"/>
      <c r="S731" s="282"/>
      <c r="T731" s="282"/>
      <c r="U731" s="282"/>
      <c r="V731" s="282"/>
      <c r="W731" s="282"/>
      <c r="X731" s="282"/>
      <c r="Y731" s="282"/>
      <c r="Z731" s="282"/>
      <c r="AA731" s="282"/>
      <c r="AB731" s="282"/>
      <c r="AC731" s="282"/>
      <c r="AD731" s="282"/>
      <c r="AE731" s="282"/>
      <c r="AF731" s="282"/>
      <c r="AG731" s="282"/>
      <c r="AH731" s="281"/>
      <c r="AI731" s="282"/>
      <c r="AJ731" s="282"/>
      <c r="AK731" s="282"/>
      <c r="AL731" s="282"/>
      <c r="AM731" s="282"/>
      <c r="AN731" s="282"/>
      <c r="AO731" s="282"/>
      <c r="AP731" s="282"/>
      <c r="AQ731" s="282"/>
      <c r="AR731" s="282"/>
      <c r="AS731" s="282"/>
      <c r="AT731" s="282"/>
      <c r="AU731" s="282"/>
      <c r="AV731" s="282"/>
      <c r="AW731" s="282"/>
      <c r="AX731" s="282"/>
      <c r="AY731" s="282"/>
      <c r="AZ731" s="282"/>
      <c r="BA731" s="282"/>
    </row>
    <row r="732" spans="1:53">
      <c r="A732" s="282"/>
      <c r="B732" s="282"/>
      <c r="C732" s="282"/>
      <c r="D732" s="282"/>
      <c r="E732" s="282"/>
      <c r="F732" s="282"/>
      <c r="G732" s="282"/>
      <c r="H732" s="282"/>
      <c r="I732" s="282"/>
      <c r="J732" s="282"/>
      <c r="K732" s="282"/>
      <c r="L732" s="282"/>
      <c r="M732" s="282"/>
      <c r="N732" s="282"/>
      <c r="O732" s="282"/>
      <c r="P732" s="282"/>
      <c r="Q732" s="282"/>
      <c r="R732" s="282"/>
      <c r="S732" s="282"/>
      <c r="T732" s="282"/>
      <c r="U732" s="282"/>
      <c r="V732" s="282"/>
      <c r="W732" s="282"/>
      <c r="X732" s="282"/>
      <c r="Y732" s="282"/>
      <c r="Z732" s="282"/>
      <c r="AA732" s="282"/>
      <c r="AB732" s="282"/>
      <c r="AC732" s="282"/>
      <c r="AD732" s="282"/>
      <c r="AE732" s="282"/>
      <c r="AF732" s="282"/>
      <c r="AG732" s="282"/>
      <c r="AH732" s="281"/>
      <c r="AI732" s="282"/>
      <c r="AJ732" s="282"/>
      <c r="AK732" s="282"/>
      <c r="AL732" s="282"/>
      <c r="AM732" s="282"/>
      <c r="AN732" s="282"/>
      <c r="AO732" s="282"/>
      <c r="AP732" s="282"/>
      <c r="AQ732" s="282"/>
      <c r="AR732" s="282"/>
      <c r="AS732" s="282"/>
      <c r="AT732" s="282"/>
      <c r="AU732" s="282"/>
      <c r="AV732" s="282"/>
      <c r="AW732" s="282"/>
      <c r="AX732" s="282"/>
      <c r="AY732" s="282"/>
      <c r="AZ732" s="282"/>
      <c r="BA732" s="282"/>
    </row>
    <row r="733" spans="1:53">
      <c r="A733" s="282"/>
      <c r="B733" s="282"/>
      <c r="C733" s="282"/>
      <c r="D733" s="282"/>
      <c r="E733" s="282"/>
      <c r="F733" s="282"/>
      <c r="G733" s="282"/>
      <c r="H733" s="282"/>
      <c r="I733" s="282"/>
      <c r="J733" s="282"/>
      <c r="K733" s="282"/>
      <c r="L733" s="282"/>
      <c r="M733" s="282"/>
      <c r="N733" s="282"/>
      <c r="O733" s="282"/>
      <c r="P733" s="282"/>
      <c r="Q733" s="282"/>
      <c r="R733" s="282"/>
      <c r="S733" s="282"/>
      <c r="T733" s="282"/>
      <c r="U733" s="282"/>
      <c r="V733" s="282"/>
      <c r="W733" s="282"/>
      <c r="X733" s="282"/>
      <c r="Y733" s="282"/>
      <c r="Z733" s="282"/>
      <c r="AA733" s="282"/>
      <c r="AB733" s="282"/>
      <c r="AC733" s="282"/>
      <c r="AD733" s="282"/>
      <c r="AE733" s="282"/>
      <c r="AF733" s="282"/>
      <c r="AG733" s="282"/>
      <c r="AH733" s="281"/>
      <c r="AI733" s="282"/>
      <c r="AJ733" s="282"/>
      <c r="AK733" s="282"/>
      <c r="AL733" s="282"/>
      <c r="AM733" s="282"/>
      <c r="AN733" s="282"/>
      <c r="AO733" s="282"/>
      <c r="AP733" s="282"/>
      <c r="AQ733" s="282"/>
      <c r="AR733" s="282"/>
      <c r="AS733" s="282"/>
      <c r="AT733" s="282"/>
      <c r="AU733" s="282"/>
      <c r="AV733" s="282"/>
      <c r="AW733" s="282"/>
      <c r="AX733" s="282"/>
      <c r="AY733" s="282"/>
      <c r="AZ733" s="282"/>
      <c r="BA733" s="282"/>
    </row>
    <row r="734" spans="1:53">
      <c r="A734" s="282"/>
      <c r="B734" s="282"/>
      <c r="C734" s="282"/>
      <c r="D734" s="282"/>
      <c r="E734" s="282"/>
      <c r="F734" s="282"/>
      <c r="G734" s="282"/>
      <c r="H734" s="282"/>
      <c r="I734" s="282"/>
      <c r="J734" s="282"/>
      <c r="K734" s="282"/>
      <c r="L734" s="282"/>
      <c r="M734" s="282"/>
      <c r="N734" s="282"/>
      <c r="O734" s="282"/>
      <c r="P734" s="282"/>
      <c r="Q734" s="282"/>
      <c r="R734" s="282"/>
      <c r="S734" s="282"/>
      <c r="T734" s="282"/>
      <c r="U734" s="282"/>
      <c r="V734" s="282"/>
      <c r="W734" s="282"/>
      <c r="X734" s="282"/>
      <c r="Y734" s="282"/>
      <c r="Z734" s="282"/>
      <c r="AA734" s="282"/>
      <c r="AB734" s="282"/>
      <c r="AC734" s="282"/>
      <c r="AD734" s="282"/>
      <c r="AE734" s="282"/>
      <c r="AF734" s="282"/>
      <c r="AG734" s="282"/>
      <c r="AH734" s="281"/>
      <c r="AI734" s="282"/>
      <c r="AJ734" s="282"/>
      <c r="AK734" s="282"/>
      <c r="AL734" s="282"/>
      <c r="AM734" s="282"/>
      <c r="AN734" s="282"/>
      <c r="AO734" s="282"/>
      <c r="AP734" s="282"/>
      <c r="AQ734" s="282"/>
      <c r="AR734" s="282"/>
      <c r="AS734" s="282"/>
      <c r="AT734" s="282"/>
      <c r="AU734" s="282"/>
      <c r="AV734" s="282"/>
      <c r="AW734" s="282"/>
      <c r="AX734" s="282"/>
      <c r="AY734" s="282"/>
      <c r="AZ734" s="282"/>
      <c r="BA734" s="282"/>
    </row>
    <row r="735" spans="1:53">
      <c r="A735" s="282"/>
      <c r="B735" s="282"/>
      <c r="C735" s="282"/>
      <c r="D735" s="282"/>
      <c r="E735" s="282"/>
      <c r="F735" s="282"/>
      <c r="G735" s="282"/>
      <c r="H735" s="282"/>
      <c r="I735" s="282"/>
      <c r="J735" s="282"/>
      <c r="K735" s="282"/>
      <c r="L735" s="282"/>
      <c r="M735" s="282"/>
      <c r="N735" s="282"/>
      <c r="O735" s="282"/>
      <c r="P735" s="282"/>
      <c r="Q735" s="282"/>
      <c r="R735" s="282"/>
      <c r="S735" s="282"/>
      <c r="T735" s="282"/>
      <c r="U735" s="282"/>
      <c r="V735" s="282"/>
      <c r="W735" s="282"/>
      <c r="X735" s="282"/>
      <c r="Y735" s="282"/>
      <c r="Z735" s="282"/>
      <c r="AA735" s="282"/>
      <c r="AB735" s="282"/>
      <c r="AC735" s="282"/>
      <c r="AD735" s="282"/>
      <c r="AE735" s="282"/>
      <c r="AF735" s="282"/>
      <c r="AG735" s="282"/>
      <c r="AH735" s="281"/>
      <c r="AI735" s="282"/>
      <c r="AJ735" s="282"/>
      <c r="AK735" s="282"/>
      <c r="AL735" s="282"/>
      <c r="AM735" s="282"/>
      <c r="AN735" s="282"/>
      <c r="AO735" s="282"/>
      <c r="AP735" s="282"/>
      <c r="AQ735" s="282"/>
      <c r="AR735" s="282"/>
      <c r="AS735" s="282"/>
      <c r="AT735" s="282"/>
      <c r="AU735" s="282"/>
      <c r="AV735" s="282"/>
      <c r="AW735" s="282"/>
      <c r="AX735" s="282"/>
      <c r="AY735" s="282"/>
      <c r="AZ735" s="282"/>
      <c r="BA735" s="282"/>
    </row>
    <row r="736" spans="1:53">
      <c r="A736" s="282"/>
      <c r="B736" s="282"/>
      <c r="C736" s="282"/>
      <c r="D736" s="282"/>
      <c r="E736" s="282"/>
      <c r="F736" s="282"/>
      <c r="G736" s="282"/>
      <c r="H736" s="282"/>
      <c r="I736" s="282"/>
      <c r="J736" s="282"/>
      <c r="K736" s="282"/>
      <c r="L736" s="282"/>
      <c r="M736" s="282"/>
      <c r="N736" s="282"/>
      <c r="O736" s="282"/>
      <c r="P736" s="282"/>
      <c r="Q736" s="282"/>
      <c r="R736" s="282"/>
      <c r="S736" s="282"/>
      <c r="T736" s="282"/>
      <c r="U736" s="282"/>
      <c r="V736" s="282"/>
      <c r="W736" s="282"/>
      <c r="X736" s="282"/>
      <c r="Y736" s="282"/>
      <c r="Z736" s="282"/>
      <c r="AA736" s="282"/>
      <c r="AB736" s="282"/>
      <c r="AC736" s="282"/>
      <c r="AD736" s="282"/>
      <c r="AE736" s="282"/>
      <c r="AF736" s="282"/>
      <c r="AG736" s="282"/>
      <c r="AH736" s="281"/>
      <c r="AI736" s="282"/>
      <c r="AJ736" s="282"/>
      <c r="AK736" s="282"/>
      <c r="AL736" s="282"/>
      <c r="AM736" s="282"/>
      <c r="AN736" s="282"/>
      <c r="AO736" s="282"/>
      <c r="AP736" s="282"/>
      <c r="AQ736" s="282"/>
      <c r="AR736" s="282"/>
      <c r="AS736" s="282"/>
      <c r="AT736" s="282"/>
      <c r="AU736" s="282"/>
      <c r="AV736" s="282"/>
      <c r="AW736" s="282"/>
      <c r="AX736" s="282"/>
      <c r="AY736" s="282"/>
      <c r="AZ736" s="282"/>
      <c r="BA736" s="282"/>
    </row>
    <row r="737" spans="1:53">
      <c r="A737" s="282"/>
      <c r="B737" s="282"/>
      <c r="C737" s="282"/>
      <c r="D737" s="282"/>
      <c r="E737" s="282"/>
      <c r="F737" s="282"/>
      <c r="G737" s="282"/>
      <c r="H737" s="282"/>
      <c r="I737" s="282"/>
      <c r="J737" s="282"/>
      <c r="K737" s="282"/>
      <c r="L737" s="282"/>
      <c r="M737" s="282"/>
      <c r="N737" s="282"/>
      <c r="O737" s="282"/>
      <c r="P737" s="282"/>
      <c r="Q737" s="282"/>
      <c r="R737" s="282"/>
      <c r="S737" s="282"/>
      <c r="T737" s="282"/>
      <c r="U737" s="282"/>
      <c r="V737" s="282"/>
      <c r="W737" s="282"/>
      <c r="X737" s="282"/>
      <c r="Y737" s="282"/>
      <c r="Z737" s="282"/>
      <c r="AA737" s="282"/>
      <c r="AB737" s="282"/>
      <c r="AC737" s="282"/>
      <c r="AD737" s="282"/>
      <c r="AE737" s="282"/>
      <c r="AF737" s="282"/>
      <c r="AG737" s="282"/>
      <c r="AH737" s="281"/>
      <c r="AI737" s="282"/>
      <c r="AJ737" s="282"/>
      <c r="AK737" s="282"/>
      <c r="AL737" s="282"/>
      <c r="AM737" s="282"/>
      <c r="AN737" s="282"/>
      <c r="AO737" s="282"/>
      <c r="AP737" s="282"/>
      <c r="AQ737" s="282"/>
      <c r="AR737" s="282"/>
      <c r="AS737" s="282"/>
      <c r="AT737" s="282"/>
      <c r="AU737" s="282"/>
      <c r="AV737" s="282"/>
      <c r="AW737" s="282"/>
      <c r="AX737" s="282"/>
      <c r="AY737" s="282"/>
      <c r="AZ737" s="282"/>
      <c r="BA737" s="282"/>
    </row>
    <row r="738" spans="1:53">
      <c r="A738" s="282"/>
      <c r="B738" s="282"/>
      <c r="C738" s="282"/>
      <c r="D738" s="282"/>
      <c r="E738" s="282"/>
      <c r="F738" s="282"/>
      <c r="G738" s="282"/>
      <c r="H738" s="282"/>
      <c r="I738" s="282"/>
      <c r="J738" s="282"/>
      <c r="K738" s="282"/>
      <c r="L738" s="282"/>
      <c r="M738" s="282"/>
      <c r="N738" s="282"/>
      <c r="O738" s="282"/>
      <c r="P738" s="282"/>
      <c r="Q738" s="282"/>
      <c r="R738" s="282"/>
      <c r="S738" s="282"/>
      <c r="T738" s="282"/>
      <c r="U738" s="282"/>
      <c r="V738" s="282"/>
      <c r="W738" s="282"/>
      <c r="X738" s="282"/>
      <c r="Y738" s="282"/>
      <c r="Z738" s="282"/>
      <c r="AA738" s="282"/>
      <c r="AB738" s="282"/>
      <c r="AC738" s="282"/>
      <c r="AD738" s="282"/>
      <c r="AE738" s="282"/>
      <c r="AF738" s="282"/>
      <c r="AG738" s="282"/>
      <c r="AH738" s="281"/>
      <c r="AI738" s="282"/>
      <c r="AJ738" s="282"/>
      <c r="AK738" s="282"/>
      <c r="AL738" s="282"/>
      <c r="AM738" s="282"/>
      <c r="AN738" s="282"/>
      <c r="AO738" s="282"/>
      <c r="AP738" s="282"/>
      <c r="AQ738" s="282"/>
      <c r="AR738" s="282"/>
      <c r="AS738" s="282"/>
      <c r="AT738" s="282"/>
      <c r="AU738" s="282"/>
      <c r="AV738" s="282"/>
      <c r="AW738" s="282"/>
      <c r="AX738" s="282"/>
      <c r="AY738" s="282"/>
      <c r="AZ738" s="282"/>
      <c r="BA738" s="282"/>
    </row>
    <row r="739" spans="1:53">
      <c r="A739" s="282"/>
      <c r="B739" s="282"/>
      <c r="C739" s="282"/>
      <c r="D739" s="282"/>
      <c r="E739" s="282"/>
      <c r="F739" s="282"/>
      <c r="G739" s="282"/>
      <c r="H739" s="282"/>
      <c r="I739" s="282"/>
      <c r="J739" s="282"/>
      <c r="K739" s="282"/>
      <c r="L739" s="282"/>
      <c r="M739" s="282"/>
      <c r="N739" s="282"/>
      <c r="O739" s="282"/>
      <c r="P739" s="282"/>
      <c r="Q739" s="282"/>
      <c r="R739" s="282"/>
      <c r="S739" s="282"/>
      <c r="T739" s="282"/>
      <c r="U739" s="282"/>
      <c r="V739" s="282"/>
      <c r="W739" s="282"/>
      <c r="X739" s="282"/>
      <c r="Y739" s="282"/>
      <c r="Z739" s="282"/>
      <c r="AA739" s="282"/>
      <c r="AB739" s="282"/>
      <c r="AC739" s="282"/>
      <c r="AD739" s="282"/>
      <c r="AE739" s="282"/>
      <c r="AF739" s="282"/>
      <c r="AG739" s="282"/>
      <c r="AH739" s="281"/>
      <c r="AI739" s="282"/>
      <c r="AJ739" s="282"/>
      <c r="AK739" s="282"/>
      <c r="AL739" s="282"/>
      <c r="AM739" s="282"/>
      <c r="AN739" s="282"/>
      <c r="AO739" s="282"/>
      <c r="AP739" s="282"/>
      <c r="AQ739" s="282"/>
      <c r="AR739" s="282"/>
      <c r="AS739" s="282"/>
      <c r="AT739" s="282"/>
      <c r="AU739" s="282"/>
      <c r="AV739" s="282"/>
      <c r="AW739" s="282"/>
      <c r="AX739" s="282"/>
      <c r="AY739" s="282"/>
      <c r="AZ739" s="282"/>
      <c r="BA739" s="282"/>
    </row>
    <row r="740" spans="1:53">
      <c r="A740" s="282"/>
      <c r="B740" s="282"/>
      <c r="C740" s="282"/>
      <c r="D740" s="282"/>
      <c r="E740" s="282"/>
      <c r="F740" s="282"/>
      <c r="G740" s="282"/>
      <c r="H740" s="282"/>
      <c r="I740" s="282"/>
      <c r="J740" s="282"/>
      <c r="K740" s="282"/>
      <c r="L740" s="282"/>
      <c r="M740" s="282"/>
      <c r="N740" s="282"/>
      <c r="O740" s="282"/>
      <c r="P740" s="282"/>
      <c r="Q740" s="282"/>
      <c r="R740" s="282"/>
      <c r="S740" s="282"/>
      <c r="T740" s="282"/>
      <c r="U740" s="282"/>
      <c r="V740" s="282"/>
      <c r="W740" s="282"/>
      <c r="X740" s="282"/>
      <c r="Y740" s="282"/>
      <c r="Z740" s="282"/>
      <c r="AA740" s="282"/>
      <c r="AB740" s="282"/>
      <c r="AC740" s="282"/>
      <c r="AD740" s="282"/>
      <c r="AE740" s="282"/>
      <c r="AF740" s="282"/>
      <c r="AG740" s="282"/>
      <c r="AH740" s="281"/>
      <c r="AI740" s="282"/>
      <c r="AJ740" s="282"/>
      <c r="AK740" s="282"/>
      <c r="AL740" s="282"/>
      <c r="AM740" s="282"/>
      <c r="AN740" s="282"/>
      <c r="AO740" s="282"/>
      <c r="AP740" s="282"/>
      <c r="AQ740" s="282"/>
      <c r="AR740" s="282"/>
      <c r="AS740" s="282"/>
      <c r="AT740" s="282"/>
      <c r="AU740" s="282"/>
      <c r="AV740" s="282"/>
      <c r="AW740" s="282"/>
      <c r="AX740" s="282"/>
      <c r="AY740" s="282"/>
      <c r="AZ740" s="282"/>
      <c r="BA740" s="282"/>
    </row>
    <row r="741" spans="1:53">
      <c r="A741" s="282"/>
      <c r="B741" s="282"/>
      <c r="C741" s="282"/>
      <c r="D741" s="282"/>
      <c r="E741" s="282"/>
      <c r="F741" s="282"/>
      <c r="G741" s="282"/>
      <c r="H741" s="282"/>
      <c r="I741" s="282"/>
      <c r="J741" s="282"/>
      <c r="K741" s="282"/>
      <c r="L741" s="282"/>
      <c r="M741" s="282"/>
      <c r="N741" s="282"/>
      <c r="O741" s="282"/>
      <c r="P741" s="282"/>
      <c r="Q741" s="282"/>
      <c r="R741" s="282"/>
      <c r="S741" s="282"/>
      <c r="T741" s="282"/>
      <c r="U741" s="282"/>
      <c r="V741" s="282"/>
      <c r="W741" s="282"/>
      <c r="X741" s="282"/>
      <c r="Y741" s="282"/>
      <c r="Z741" s="282"/>
      <c r="AA741" s="282"/>
      <c r="AB741" s="282"/>
      <c r="AC741" s="282"/>
      <c r="AD741" s="282"/>
      <c r="AE741" s="282"/>
      <c r="AF741" s="282"/>
      <c r="AG741" s="282"/>
      <c r="AH741" s="281"/>
      <c r="AI741" s="282"/>
      <c r="AJ741" s="282"/>
      <c r="AK741" s="282"/>
      <c r="AL741" s="282"/>
      <c r="AM741" s="282"/>
      <c r="AN741" s="282"/>
      <c r="AO741" s="282"/>
      <c r="AP741" s="282"/>
      <c r="AQ741" s="282"/>
      <c r="AR741" s="282"/>
      <c r="AS741" s="282"/>
      <c r="AT741" s="282"/>
      <c r="AU741" s="282"/>
      <c r="AV741" s="282"/>
      <c r="AW741" s="282"/>
      <c r="AX741" s="282"/>
      <c r="AY741" s="282"/>
      <c r="AZ741" s="282"/>
      <c r="BA741" s="282"/>
    </row>
    <row r="742" spans="1:53">
      <c r="A742" s="282"/>
      <c r="B742" s="282"/>
      <c r="C742" s="282"/>
      <c r="D742" s="282"/>
      <c r="E742" s="282"/>
      <c r="F742" s="282"/>
      <c r="G742" s="282"/>
      <c r="H742" s="282"/>
      <c r="I742" s="282"/>
      <c r="J742" s="282"/>
      <c r="K742" s="282"/>
      <c r="L742" s="282"/>
      <c r="M742" s="282"/>
      <c r="N742" s="282"/>
      <c r="O742" s="282"/>
      <c r="P742" s="282"/>
      <c r="Q742" s="282"/>
      <c r="R742" s="282"/>
      <c r="S742" s="282"/>
      <c r="T742" s="282"/>
      <c r="U742" s="282"/>
      <c r="V742" s="282"/>
      <c r="W742" s="282"/>
      <c r="X742" s="282"/>
      <c r="Y742" s="282"/>
      <c r="Z742" s="282"/>
      <c r="AA742" s="282"/>
      <c r="AB742" s="282"/>
      <c r="AC742" s="282"/>
      <c r="AD742" s="282"/>
      <c r="AE742" s="282"/>
      <c r="AF742" s="282"/>
      <c r="AG742" s="282"/>
      <c r="AH742" s="281"/>
      <c r="AI742" s="282"/>
      <c r="AJ742" s="282"/>
      <c r="AK742" s="282"/>
      <c r="AL742" s="282"/>
      <c r="AM742" s="282"/>
      <c r="AN742" s="282"/>
      <c r="AO742" s="282"/>
      <c r="AP742" s="282"/>
      <c r="AQ742" s="282"/>
      <c r="AR742" s="282"/>
      <c r="AS742" s="282"/>
      <c r="AT742" s="282"/>
      <c r="AU742" s="282"/>
      <c r="AV742" s="282"/>
      <c r="AW742" s="282"/>
      <c r="AX742" s="282"/>
      <c r="AY742" s="282"/>
      <c r="AZ742" s="282"/>
      <c r="BA742" s="282"/>
    </row>
    <row r="743" spans="1:53">
      <c r="A743" s="282"/>
      <c r="B743" s="282"/>
      <c r="C743" s="282"/>
      <c r="D743" s="282"/>
      <c r="E743" s="282"/>
      <c r="F743" s="282"/>
      <c r="G743" s="282"/>
      <c r="H743" s="282"/>
      <c r="I743" s="282"/>
      <c r="J743" s="282"/>
      <c r="K743" s="282"/>
      <c r="L743" s="282"/>
      <c r="M743" s="282"/>
      <c r="N743" s="282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  <c r="AC743" s="282"/>
      <c r="AD743" s="282"/>
      <c r="AE743" s="282"/>
      <c r="AF743" s="282"/>
      <c r="AG743" s="282"/>
      <c r="AH743" s="281"/>
      <c r="AI743" s="282"/>
      <c r="AJ743" s="282"/>
      <c r="AK743" s="282"/>
      <c r="AL743" s="282"/>
      <c r="AM743" s="282"/>
      <c r="AN743" s="282"/>
      <c r="AO743" s="282"/>
      <c r="AP743" s="282"/>
      <c r="AQ743" s="282"/>
      <c r="AR743" s="282"/>
      <c r="AS743" s="282"/>
      <c r="AT743" s="282"/>
      <c r="AU743" s="282"/>
      <c r="AV743" s="282"/>
      <c r="AW743" s="282"/>
      <c r="AX743" s="282"/>
      <c r="AY743" s="282"/>
      <c r="AZ743" s="282"/>
      <c r="BA743" s="282"/>
    </row>
    <row r="744" spans="1:53">
      <c r="A744" s="282"/>
      <c r="B744" s="282"/>
      <c r="C744" s="282"/>
      <c r="D744" s="282"/>
      <c r="E744" s="282"/>
      <c r="F744" s="282"/>
      <c r="G744" s="282"/>
      <c r="H744" s="282"/>
      <c r="I744" s="282"/>
      <c r="J744" s="282"/>
      <c r="K744" s="282"/>
      <c r="L744" s="282"/>
      <c r="M744" s="282"/>
      <c r="N744" s="282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  <c r="AC744" s="282"/>
      <c r="AD744" s="282"/>
      <c r="AE744" s="282"/>
      <c r="AF744" s="282"/>
      <c r="AG744" s="282"/>
      <c r="AH744" s="281"/>
      <c r="AI744" s="282"/>
      <c r="AJ744" s="282"/>
      <c r="AK744" s="282"/>
      <c r="AL744" s="282"/>
      <c r="AM744" s="282"/>
      <c r="AN744" s="282"/>
      <c r="AO744" s="282"/>
      <c r="AP744" s="282"/>
      <c r="AQ744" s="282"/>
      <c r="AR744" s="282"/>
      <c r="AS744" s="282"/>
      <c r="AT744" s="282"/>
      <c r="AU744" s="282"/>
      <c r="AV744" s="282"/>
      <c r="AW744" s="282"/>
      <c r="AX744" s="282"/>
      <c r="AY744" s="282"/>
      <c r="AZ744" s="282"/>
      <c r="BA744" s="282"/>
    </row>
    <row r="745" spans="1:53">
      <c r="A745" s="282"/>
      <c r="B745" s="282"/>
      <c r="C745" s="282"/>
      <c r="D745" s="282"/>
      <c r="E745" s="282"/>
      <c r="F745" s="282"/>
      <c r="G745" s="282"/>
      <c r="H745" s="282"/>
      <c r="I745" s="282"/>
      <c r="J745" s="282"/>
      <c r="K745" s="282"/>
      <c r="L745" s="282"/>
      <c r="M745" s="282"/>
      <c r="N745" s="282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  <c r="AC745" s="282"/>
      <c r="AD745" s="282"/>
      <c r="AE745" s="282"/>
      <c r="AF745" s="282"/>
      <c r="AG745" s="282"/>
      <c r="AH745" s="281"/>
      <c r="AI745" s="282"/>
      <c r="AJ745" s="282"/>
      <c r="AK745" s="282"/>
      <c r="AL745" s="282"/>
      <c r="AM745" s="282"/>
      <c r="AN745" s="282"/>
      <c r="AO745" s="282"/>
      <c r="AP745" s="282"/>
      <c r="AQ745" s="282"/>
      <c r="AR745" s="282"/>
      <c r="AS745" s="282"/>
      <c r="AT745" s="282"/>
      <c r="AU745" s="282"/>
      <c r="AV745" s="282"/>
      <c r="AW745" s="282"/>
      <c r="AX745" s="282"/>
      <c r="AY745" s="282"/>
      <c r="AZ745" s="282"/>
      <c r="BA745" s="282"/>
    </row>
    <row r="746" spans="1:53">
      <c r="A746" s="282"/>
      <c r="B746" s="282"/>
      <c r="C746" s="282"/>
      <c r="D746" s="282"/>
      <c r="E746" s="282"/>
      <c r="F746" s="282"/>
      <c r="G746" s="282"/>
      <c r="H746" s="282"/>
      <c r="I746" s="282"/>
      <c r="J746" s="282"/>
      <c r="K746" s="282"/>
      <c r="L746" s="282"/>
      <c r="M746" s="282"/>
      <c r="N746" s="282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  <c r="AC746" s="282"/>
      <c r="AD746" s="282"/>
      <c r="AE746" s="282"/>
      <c r="AF746" s="282"/>
      <c r="AG746" s="282"/>
      <c r="AH746" s="281"/>
      <c r="AI746" s="282"/>
      <c r="AJ746" s="282"/>
      <c r="AK746" s="282"/>
      <c r="AL746" s="282"/>
      <c r="AM746" s="282"/>
      <c r="AN746" s="282"/>
      <c r="AO746" s="282"/>
      <c r="AP746" s="282"/>
      <c r="AQ746" s="282"/>
      <c r="AR746" s="282"/>
      <c r="AS746" s="282"/>
      <c r="AT746" s="282"/>
      <c r="AU746" s="282"/>
      <c r="AV746" s="282"/>
      <c r="AW746" s="282"/>
      <c r="AX746" s="282"/>
      <c r="AY746" s="282"/>
      <c r="AZ746" s="282"/>
      <c r="BA746" s="282"/>
    </row>
    <row r="747" spans="1:53">
      <c r="A747" s="282"/>
      <c r="B747" s="282"/>
      <c r="C747" s="282"/>
      <c r="D747" s="282"/>
      <c r="E747" s="282"/>
      <c r="F747" s="282"/>
      <c r="G747" s="282"/>
      <c r="H747" s="282"/>
      <c r="I747" s="282"/>
      <c r="J747" s="282"/>
      <c r="K747" s="282"/>
      <c r="L747" s="282"/>
      <c r="M747" s="282"/>
      <c r="N747" s="282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  <c r="AC747" s="282"/>
      <c r="AD747" s="282"/>
      <c r="AE747" s="282"/>
      <c r="AF747" s="282"/>
      <c r="AG747" s="282"/>
      <c r="AH747" s="281"/>
      <c r="AI747" s="282"/>
      <c r="AJ747" s="282"/>
      <c r="AK747" s="282"/>
      <c r="AL747" s="282"/>
      <c r="AM747" s="282"/>
      <c r="AN747" s="282"/>
      <c r="AO747" s="282"/>
      <c r="AP747" s="282"/>
      <c r="AQ747" s="282"/>
      <c r="AR747" s="282"/>
      <c r="AS747" s="282"/>
      <c r="AT747" s="282"/>
      <c r="AU747" s="282"/>
      <c r="AV747" s="282"/>
      <c r="AW747" s="282"/>
      <c r="AX747" s="282"/>
      <c r="AY747" s="282"/>
      <c r="AZ747" s="282"/>
      <c r="BA747" s="282"/>
    </row>
    <row r="748" spans="1:53">
      <c r="A748" s="282"/>
      <c r="B748" s="282"/>
      <c r="C748" s="282"/>
      <c r="D748" s="282"/>
      <c r="E748" s="282"/>
      <c r="F748" s="282"/>
      <c r="G748" s="282"/>
      <c r="H748" s="282"/>
      <c r="I748" s="282"/>
      <c r="J748" s="282"/>
      <c r="K748" s="282"/>
      <c r="L748" s="282"/>
      <c r="M748" s="282"/>
      <c r="N748" s="282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  <c r="AC748" s="282"/>
      <c r="AD748" s="282"/>
      <c r="AE748" s="282"/>
      <c r="AF748" s="282"/>
      <c r="AG748" s="282"/>
      <c r="AH748" s="281"/>
      <c r="AI748" s="282"/>
      <c r="AJ748" s="282"/>
      <c r="AK748" s="282"/>
      <c r="AL748" s="282"/>
      <c r="AM748" s="282"/>
      <c r="AN748" s="282"/>
      <c r="AO748" s="282"/>
      <c r="AP748" s="282"/>
      <c r="AQ748" s="282"/>
      <c r="AR748" s="282"/>
      <c r="AS748" s="282"/>
      <c r="AT748" s="282"/>
      <c r="AU748" s="282"/>
      <c r="AV748" s="282"/>
      <c r="AW748" s="282"/>
      <c r="AX748" s="282"/>
      <c r="AY748" s="282"/>
      <c r="AZ748" s="282"/>
      <c r="BA748" s="282"/>
    </row>
    <row r="749" spans="1:53">
      <c r="A749" s="282"/>
      <c r="B749" s="282"/>
      <c r="C749" s="282"/>
      <c r="D749" s="282"/>
      <c r="E749" s="282"/>
      <c r="F749" s="282"/>
      <c r="G749" s="282"/>
      <c r="H749" s="282"/>
      <c r="I749" s="282"/>
      <c r="J749" s="282"/>
      <c r="K749" s="282"/>
      <c r="L749" s="282"/>
      <c r="M749" s="282"/>
      <c r="N749" s="282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  <c r="AC749" s="282"/>
      <c r="AD749" s="282"/>
      <c r="AE749" s="282"/>
      <c r="AF749" s="282"/>
      <c r="AG749" s="282"/>
      <c r="AH749" s="281"/>
      <c r="AI749" s="282"/>
      <c r="AJ749" s="282"/>
      <c r="AK749" s="282"/>
      <c r="AL749" s="282"/>
      <c r="AM749" s="282"/>
      <c r="AN749" s="282"/>
      <c r="AO749" s="282"/>
      <c r="AP749" s="282"/>
      <c r="AQ749" s="282"/>
      <c r="AR749" s="282"/>
      <c r="AS749" s="282"/>
      <c r="AT749" s="282"/>
      <c r="AU749" s="282"/>
      <c r="AV749" s="282"/>
      <c r="AW749" s="282"/>
      <c r="AX749" s="282"/>
      <c r="AY749" s="282"/>
      <c r="AZ749" s="282"/>
      <c r="BA749" s="282"/>
    </row>
    <row r="750" spans="1:53">
      <c r="A750" s="282"/>
      <c r="B750" s="282"/>
      <c r="C750" s="282"/>
      <c r="D750" s="282"/>
      <c r="E750" s="282"/>
      <c r="F750" s="282"/>
      <c r="G750" s="282"/>
      <c r="H750" s="282"/>
      <c r="I750" s="282"/>
      <c r="J750" s="282"/>
      <c r="K750" s="282"/>
      <c r="L750" s="282"/>
      <c r="M750" s="282"/>
      <c r="N750" s="282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  <c r="AC750" s="282"/>
      <c r="AD750" s="282"/>
      <c r="AE750" s="282"/>
      <c r="AF750" s="282"/>
      <c r="AG750" s="282"/>
      <c r="AH750" s="281"/>
      <c r="AI750" s="282"/>
      <c r="AJ750" s="282"/>
      <c r="AK750" s="282"/>
      <c r="AL750" s="282"/>
      <c r="AM750" s="282"/>
      <c r="AN750" s="282"/>
      <c r="AO750" s="282"/>
      <c r="AP750" s="282"/>
      <c r="AQ750" s="282"/>
      <c r="AR750" s="282"/>
      <c r="AS750" s="282"/>
      <c r="AT750" s="282"/>
      <c r="AU750" s="282"/>
      <c r="AV750" s="282"/>
      <c r="AW750" s="282"/>
      <c r="AX750" s="282"/>
      <c r="AY750" s="282"/>
      <c r="AZ750" s="282"/>
      <c r="BA750" s="282"/>
    </row>
    <row r="751" spans="1:53">
      <c r="A751" s="282"/>
      <c r="B751" s="282"/>
      <c r="C751" s="282"/>
      <c r="D751" s="282"/>
      <c r="E751" s="282"/>
      <c r="F751" s="282"/>
      <c r="G751" s="282"/>
      <c r="H751" s="282"/>
      <c r="I751" s="282"/>
      <c r="J751" s="282"/>
      <c r="K751" s="282"/>
      <c r="L751" s="282"/>
      <c r="M751" s="282"/>
      <c r="N751" s="282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  <c r="AC751" s="282"/>
      <c r="AD751" s="282"/>
      <c r="AE751" s="282"/>
      <c r="AF751" s="282"/>
      <c r="AG751" s="282"/>
      <c r="AH751" s="281"/>
      <c r="AI751" s="282"/>
      <c r="AJ751" s="282"/>
      <c r="AK751" s="282"/>
      <c r="AL751" s="282"/>
      <c r="AM751" s="282"/>
      <c r="AN751" s="282"/>
      <c r="AO751" s="282"/>
      <c r="AP751" s="282"/>
      <c r="AQ751" s="282"/>
      <c r="AR751" s="282"/>
      <c r="AS751" s="282"/>
      <c r="AT751" s="282"/>
      <c r="AU751" s="282"/>
      <c r="AV751" s="282"/>
      <c r="AW751" s="282"/>
      <c r="AX751" s="282"/>
      <c r="AY751" s="282"/>
      <c r="AZ751" s="282"/>
      <c r="BA751" s="282"/>
    </row>
    <row r="752" spans="1:53">
      <c r="A752" s="282"/>
      <c r="B752" s="282"/>
      <c r="C752" s="282"/>
      <c r="D752" s="282"/>
      <c r="E752" s="282"/>
      <c r="F752" s="282"/>
      <c r="G752" s="282"/>
      <c r="H752" s="282"/>
      <c r="I752" s="282"/>
      <c r="J752" s="282"/>
      <c r="K752" s="282"/>
      <c r="L752" s="282"/>
      <c r="M752" s="282"/>
      <c r="N752" s="282"/>
      <c r="O752" s="282"/>
      <c r="P752" s="282"/>
      <c r="Q752" s="282"/>
      <c r="R752" s="282"/>
      <c r="S752" s="282"/>
      <c r="T752" s="282"/>
      <c r="U752" s="282"/>
      <c r="V752" s="282"/>
      <c r="W752" s="282"/>
      <c r="X752" s="282"/>
      <c r="Y752" s="282"/>
      <c r="Z752" s="282"/>
      <c r="AA752" s="282"/>
      <c r="AB752" s="282"/>
      <c r="AC752" s="282"/>
      <c r="AD752" s="282"/>
      <c r="AE752" s="282"/>
      <c r="AF752" s="282"/>
      <c r="AG752" s="282"/>
      <c r="AH752" s="281"/>
      <c r="AI752" s="282"/>
      <c r="AJ752" s="282"/>
      <c r="AK752" s="282"/>
      <c r="AL752" s="282"/>
      <c r="AM752" s="282"/>
      <c r="AN752" s="282"/>
      <c r="AO752" s="282"/>
      <c r="AP752" s="282"/>
      <c r="AQ752" s="282"/>
      <c r="AR752" s="282"/>
      <c r="AS752" s="282"/>
      <c r="AT752" s="282"/>
      <c r="AU752" s="282"/>
      <c r="AV752" s="282"/>
      <c r="AW752" s="282"/>
      <c r="AX752" s="282"/>
      <c r="AY752" s="282"/>
      <c r="AZ752" s="282"/>
      <c r="BA752" s="282"/>
    </row>
    <row r="753" spans="1:53">
      <c r="A753" s="282"/>
      <c r="B753" s="282"/>
      <c r="C753" s="282"/>
      <c r="D753" s="282"/>
      <c r="E753" s="282"/>
      <c r="F753" s="282"/>
      <c r="G753" s="282"/>
      <c r="H753" s="282"/>
      <c r="I753" s="282"/>
      <c r="J753" s="282"/>
      <c r="K753" s="282"/>
      <c r="L753" s="282"/>
      <c r="M753" s="282"/>
      <c r="N753" s="282"/>
      <c r="O753" s="282"/>
      <c r="P753" s="282"/>
      <c r="Q753" s="282"/>
      <c r="R753" s="282"/>
      <c r="S753" s="282"/>
      <c r="T753" s="282"/>
      <c r="U753" s="282"/>
      <c r="V753" s="282"/>
      <c r="W753" s="282"/>
      <c r="X753" s="282"/>
      <c r="Y753" s="282"/>
      <c r="Z753" s="282"/>
      <c r="AA753" s="282"/>
      <c r="AB753" s="282"/>
      <c r="AC753" s="282"/>
      <c r="AD753" s="282"/>
      <c r="AE753" s="282"/>
      <c r="AF753" s="282"/>
      <c r="AG753" s="282"/>
      <c r="AH753" s="281"/>
      <c r="AI753" s="282"/>
      <c r="AJ753" s="282"/>
      <c r="AK753" s="282"/>
      <c r="AL753" s="282"/>
      <c r="AM753" s="282"/>
      <c r="AN753" s="282"/>
      <c r="AO753" s="282"/>
      <c r="AP753" s="282"/>
      <c r="AQ753" s="282"/>
      <c r="AR753" s="282"/>
      <c r="AS753" s="282"/>
      <c r="AT753" s="282"/>
      <c r="AU753" s="282"/>
      <c r="AV753" s="282"/>
      <c r="AW753" s="282"/>
      <c r="AX753" s="282"/>
      <c r="AY753" s="282"/>
      <c r="AZ753" s="282"/>
      <c r="BA753" s="282"/>
    </row>
    <row r="754" spans="1:53">
      <c r="A754" s="282"/>
      <c r="B754" s="282"/>
      <c r="C754" s="282"/>
      <c r="D754" s="282"/>
      <c r="E754" s="282"/>
      <c r="F754" s="282"/>
      <c r="G754" s="282"/>
      <c r="H754" s="282"/>
      <c r="I754" s="282"/>
      <c r="J754" s="282"/>
      <c r="K754" s="282"/>
      <c r="L754" s="282"/>
      <c r="M754" s="282"/>
      <c r="N754" s="282"/>
      <c r="O754" s="282"/>
      <c r="P754" s="282"/>
      <c r="Q754" s="282"/>
      <c r="R754" s="282"/>
      <c r="S754" s="282"/>
      <c r="T754" s="282"/>
      <c r="U754" s="282"/>
      <c r="V754" s="282"/>
      <c r="W754" s="282"/>
      <c r="X754" s="282"/>
      <c r="Y754" s="282"/>
      <c r="Z754" s="282"/>
      <c r="AA754" s="282"/>
      <c r="AB754" s="282"/>
      <c r="AC754" s="282"/>
      <c r="AD754" s="282"/>
      <c r="AE754" s="282"/>
      <c r="AF754" s="282"/>
      <c r="AG754" s="282"/>
      <c r="AH754" s="281"/>
      <c r="AI754" s="282"/>
      <c r="AJ754" s="282"/>
      <c r="AK754" s="282"/>
      <c r="AL754" s="282"/>
      <c r="AM754" s="282"/>
      <c r="AN754" s="282"/>
      <c r="AO754" s="282"/>
      <c r="AP754" s="282"/>
      <c r="AQ754" s="282"/>
      <c r="AR754" s="282"/>
      <c r="AS754" s="282"/>
      <c r="AT754" s="282"/>
      <c r="AU754" s="282"/>
      <c r="AV754" s="282"/>
      <c r="AW754" s="282"/>
      <c r="AX754" s="282"/>
      <c r="AY754" s="282"/>
      <c r="AZ754" s="282"/>
      <c r="BA754" s="282"/>
    </row>
    <row r="755" spans="1:53">
      <c r="A755" s="282"/>
      <c r="B755" s="282"/>
      <c r="C755" s="282"/>
      <c r="D755" s="282"/>
      <c r="E755" s="282"/>
      <c r="F755" s="282"/>
      <c r="G755" s="282"/>
      <c r="H755" s="282"/>
      <c r="I755" s="282"/>
      <c r="J755" s="282"/>
      <c r="K755" s="282"/>
      <c r="L755" s="282"/>
      <c r="M755" s="282"/>
      <c r="N755" s="282"/>
      <c r="O755" s="282"/>
      <c r="P755" s="282"/>
      <c r="Q755" s="282"/>
      <c r="R755" s="282"/>
      <c r="S755" s="282"/>
      <c r="T755" s="282"/>
      <c r="U755" s="282"/>
      <c r="V755" s="282"/>
      <c r="W755" s="282"/>
      <c r="X755" s="282"/>
      <c r="Y755" s="282"/>
      <c r="Z755" s="282"/>
      <c r="AA755" s="282"/>
      <c r="AB755" s="282"/>
      <c r="AC755" s="282"/>
      <c r="AD755" s="282"/>
      <c r="AE755" s="282"/>
      <c r="AF755" s="282"/>
      <c r="AG755" s="282"/>
      <c r="AH755" s="281"/>
      <c r="AI755" s="282"/>
      <c r="AJ755" s="282"/>
      <c r="AK755" s="282"/>
      <c r="AL755" s="282"/>
      <c r="AM755" s="282"/>
      <c r="AN755" s="282"/>
      <c r="AO755" s="282"/>
      <c r="AP755" s="282"/>
      <c r="AQ755" s="282"/>
      <c r="AR755" s="282"/>
      <c r="AS755" s="282"/>
      <c r="AT755" s="282"/>
      <c r="AU755" s="282"/>
      <c r="AV755" s="282"/>
      <c r="AW755" s="282"/>
      <c r="AX755" s="282"/>
      <c r="AY755" s="282"/>
      <c r="AZ755" s="282"/>
      <c r="BA755" s="282"/>
    </row>
    <row r="756" spans="1:53">
      <c r="A756" s="282"/>
      <c r="B756" s="282"/>
      <c r="C756" s="282"/>
      <c r="D756" s="282"/>
      <c r="E756" s="282"/>
      <c r="F756" s="282"/>
      <c r="G756" s="282"/>
      <c r="H756" s="282"/>
      <c r="I756" s="282"/>
      <c r="J756" s="282"/>
      <c r="K756" s="282"/>
      <c r="L756" s="282"/>
      <c r="M756" s="282"/>
      <c r="N756" s="282"/>
      <c r="O756" s="282"/>
      <c r="P756" s="282"/>
      <c r="Q756" s="282"/>
      <c r="R756" s="282"/>
      <c r="S756" s="282"/>
      <c r="T756" s="282"/>
      <c r="U756" s="282"/>
      <c r="V756" s="282"/>
      <c r="W756" s="282"/>
      <c r="X756" s="282"/>
      <c r="Y756" s="282"/>
      <c r="Z756" s="282"/>
      <c r="AA756" s="282"/>
      <c r="AB756" s="282"/>
      <c r="AC756" s="282"/>
      <c r="AD756" s="282"/>
      <c r="AE756" s="282"/>
      <c r="AF756" s="282"/>
      <c r="AG756" s="282"/>
      <c r="AH756" s="281"/>
      <c r="AI756" s="282"/>
      <c r="AJ756" s="282"/>
      <c r="AK756" s="282"/>
      <c r="AL756" s="282"/>
      <c r="AM756" s="282"/>
      <c r="AN756" s="282"/>
      <c r="AO756" s="282"/>
      <c r="AP756" s="282"/>
      <c r="AQ756" s="282"/>
      <c r="AR756" s="282"/>
      <c r="AS756" s="282"/>
      <c r="AT756" s="282"/>
      <c r="AU756" s="282"/>
      <c r="AV756" s="282"/>
      <c r="AW756" s="282"/>
      <c r="AX756" s="282"/>
      <c r="AY756" s="282"/>
      <c r="AZ756" s="282"/>
      <c r="BA756" s="282"/>
    </row>
    <row r="757" spans="1:53">
      <c r="A757" s="282"/>
      <c r="B757" s="282"/>
      <c r="C757" s="282"/>
      <c r="D757" s="282"/>
      <c r="E757" s="282"/>
      <c r="F757" s="282"/>
      <c r="G757" s="282"/>
      <c r="H757" s="282"/>
      <c r="I757" s="282"/>
      <c r="J757" s="282"/>
      <c r="K757" s="282"/>
      <c r="L757" s="282"/>
      <c r="M757" s="282"/>
      <c r="N757" s="282"/>
      <c r="O757" s="282"/>
      <c r="P757" s="282"/>
      <c r="Q757" s="282"/>
      <c r="R757" s="282"/>
      <c r="S757" s="282"/>
      <c r="T757" s="282"/>
      <c r="U757" s="282"/>
      <c r="V757" s="282"/>
      <c r="W757" s="282"/>
      <c r="X757" s="282"/>
      <c r="Y757" s="282"/>
      <c r="Z757" s="282"/>
      <c r="AA757" s="282"/>
      <c r="AB757" s="282"/>
      <c r="AC757" s="282"/>
      <c r="AD757" s="282"/>
      <c r="AE757" s="282"/>
      <c r="AF757" s="282"/>
      <c r="AG757" s="282"/>
      <c r="AH757" s="281"/>
      <c r="AI757" s="282"/>
      <c r="AJ757" s="282"/>
      <c r="AK757" s="282"/>
      <c r="AL757" s="282"/>
      <c r="AM757" s="282"/>
      <c r="AN757" s="282"/>
      <c r="AO757" s="282"/>
      <c r="AP757" s="282"/>
      <c r="AQ757" s="282"/>
      <c r="AR757" s="282"/>
      <c r="AS757" s="282"/>
      <c r="AT757" s="282"/>
      <c r="AU757" s="282"/>
      <c r="AV757" s="282"/>
      <c r="AW757" s="282"/>
      <c r="AX757" s="282"/>
      <c r="AY757" s="282"/>
      <c r="AZ757" s="282"/>
      <c r="BA757" s="282"/>
    </row>
    <row r="758" spans="1:53">
      <c r="A758" s="282"/>
      <c r="B758" s="282"/>
      <c r="C758" s="282"/>
      <c r="D758" s="282"/>
      <c r="E758" s="282"/>
      <c r="F758" s="282"/>
      <c r="G758" s="282"/>
      <c r="H758" s="282"/>
      <c r="I758" s="282"/>
      <c r="J758" s="282"/>
      <c r="K758" s="282"/>
      <c r="L758" s="282"/>
      <c r="M758" s="282"/>
      <c r="N758" s="282"/>
      <c r="O758" s="282"/>
      <c r="P758" s="282"/>
      <c r="Q758" s="282"/>
      <c r="R758" s="282"/>
      <c r="S758" s="282"/>
      <c r="T758" s="282"/>
      <c r="U758" s="282"/>
      <c r="V758" s="282"/>
      <c r="W758" s="282"/>
      <c r="X758" s="282"/>
      <c r="Y758" s="282"/>
      <c r="Z758" s="282"/>
      <c r="AA758" s="282"/>
      <c r="AB758" s="282"/>
      <c r="AC758" s="282"/>
      <c r="AD758" s="282"/>
      <c r="AE758" s="282"/>
      <c r="AF758" s="282"/>
      <c r="AG758" s="282"/>
      <c r="AH758" s="281"/>
      <c r="AI758" s="282"/>
      <c r="AJ758" s="282"/>
      <c r="AK758" s="282"/>
      <c r="AL758" s="282"/>
      <c r="AM758" s="282"/>
      <c r="AN758" s="282"/>
      <c r="AO758" s="282"/>
      <c r="AP758" s="282"/>
      <c r="AQ758" s="282"/>
      <c r="AR758" s="282"/>
      <c r="AS758" s="282"/>
      <c r="AT758" s="282"/>
      <c r="AU758" s="282"/>
      <c r="AV758" s="282"/>
      <c r="AW758" s="282"/>
      <c r="AX758" s="282"/>
      <c r="AY758" s="282"/>
      <c r="AZ758" s="282"/>
      <c r="BA758" s="282"/>
    </row>
    <row r="759" spans="1:53">
      <c r="A759" s="282"/>
      <c r="B759" s="282"/>
      <c r="C759" s="282"/>
      <c r="D759" s="282"/>
      <c r="E759" s="282"/>
      <c r="F759" s="282"/>
      <c r="G759" s="282"/>
      <c r="H759" s="282"/>
      <c r="I759" s="282"/>
      <c r="J759" s="282"/>
      <c r="K759" s="282"/>
      <c r="L759" s="282"/>
      <c r="M759" s="282"/>
      <c r="N759" s="282"/>
      <c r="O759" s="282"/>
      <c r="P759" s="282"/>
      <c r="Q759" s="282"/>
      <c r="R759" s="282"/>
      <c r="S759" s="282"/>
      <c r="T759" s="282"/>
      <c r="U759" s="282"/>
      <c r="V759" s="282"/>
      <c r="W759" s="282"/>
      <c r="X759" s="282"/>
      <c r="Y759" s="282"/>
      <c r="Z759" s="282"/>
      <c r="AA759" s="282"/>
      <c r="AB759" s="282"/>
      <c r="AC759" s="282"/>
      <c r="AD759" s="282"/>
      <c r="AE759" s="282"/>
      <c r="AF759" s="282"/>
      <c r="AG759" s="282"/>
      <c r="AH759" s="281"/>
      <c r="AI759" s="282"/>
      <c r="AJ759" s="282"/>
      <c r="AK759" s="282"/>
      <c r="AL759" s="282"/>
      <c r="AM759" s="282"/>
      <c r="AN759" s="282"/>
      <c r="AO759" s="282"/>
      <c r="AP759" s="282"/>
      <c r="AQ759" s="282"/>
      <c r="AR759" s="282"/>
      <c r="AS759" s="282"/>
      <c r="AT759" s="282"/>
      <c r="AU759" s="282"/>
      <c r="AV759" s="282"/>
      <c r="AW759" s="282"/>
      <c r="AX759" s="282"/>
      <c r="AY759" s="282"/>
      <c r="AZ759" s="282"/>
      <c r="BA759" s="282"/>
    </row>
    <row r="760" spans="1:53">
      <c r="A760" s="282"/>
      <c r="B760" s="282"/>
      <c r="C760" s="282"/>
      <c r="D760" s="282"/>
      <c r="E760" s="282"/>
      <c r="F760" s="282"/>
      <c r="G760" s="282"/>
      <c r="H760" s="282"/>
      <c r="I760" s="282"/>
      <c r="J760" s="282"/>
      <c r="K760" s="282"/>
      <c r="L760" s="282"/>
      <c r="M760" s="282"/>
      <c r="N760" s="282"/>
      <c r="O760" s="282"/>
      <c r="P760" s="282"/>
      <c r="Q760" s="282"/>
      <c r="R760" s="282"/>
      <c r="S760" s="282"/>
      <c r="T760" s="282"/>
      <c r="U760" s="282"/>
      <c r="V760" s="282"/>
      <c r="W760" s="282"/>
      <c r="X760" s="282"/>
      <c r="Y760" s="282"/>
      <c r="Z760" s="282"/>
      <c r="AA760" s="282"/>
      <c r="AB760" s="282"/>
      <c r="AC760" s="282"/>
      <c r="AD760" s="282"/>
      <c r="AE760" s="282"/>
      <c r="AF760" s="282"/>
      <c r="AG760" s="282"/>
      <c r="AH760" s="281"/>
      <c r="AI760" s="282"/>
      <c r="AJ760" s="282"/>
      <c r="AK760" s="282"/>
      <c r="AL760" s="282"/>
      <c r="AM760" s="282"/>
      <c r="AN760" s="282"/>
      <c r="AO760" s="282"/>
      <c r="AP760" s="282"/>
      <c r="AQ760" s="282"/>
      <c r="AR760" s="282"/>
      <c r="AS760" s="282"/>
      <c r="AT760" s="282"/>
      <c r="AU760" s="282"/>
      <c r="AV760" s="282"/>
      <c r="AW760" s="282"/>
      <c r="AX760" s="282"/>
      <c r="AY760" s="282"/>
      <c r="AZ760" s="282"/>
      <c r="BA760" s="282"/>
    </row>
    <row r="761" spans="1:53">
      <c r="A761" s="282"/>
      <c r="B761" s="282"/>
      <c r="C761" s="282"/>
      <c r="D761" s="282"/>
      <c r="E761" s="282"/>
      <c r="F761" s="282"/>
      <c r="G761" s="282"/>
      <c r="H761" s="282"/>
      <c r="I761" s="282"/>
      <c r="J761" s="282"/>
      <c r="K761" s="282"/>
      <c r="L761" s="282"/>
      <c r="M761" s="282"/>
      <c r="N761" s="282"/>
      <c r="O761" s="282"/>
      <c r="P761" s="282"/>
      <c r="Q761" s="282"/>
      <c r="R761" s="282"/>
      <c r="S761" s="282"/>
      <c r="T761" s="282"/>
      <c r="U761" s="282"/>
      <c r="V761" s="282"/>
      <c r="W761" s="282"/>
      <c r="X761" s="282"/>
      <c r="Y761" s="282"/>
      <c r="Z761" s="282"/>
      <c r="AA761" s="282"/>
      <c r="AB761" s="282"/>
      <c r="AC761" s="282"/>
      <c r="AD761" s="282"/>
      <c r="AE761" s="282"/>
      <c r="AF761" s="282"/>
      <c r="AG761" s="282"/>
      <c r="AH761" s="281"/>
      <c r="AI761" s="282"/>
      <c r="AJ761" s="282"/>
      <c r="AK761" s="282"/>
      <c r="AL761" s="282"/>
      <c r="AM761" s="282"/>
      <c r="AN761" s="282"/>
      <c r="AO761" s="282"/>
      <c r="AP761" s="282"/>
      <c r="AQ761" s="282"/>
      <c r="AR761" s="282"/>
      <c r="AS761" s="282"/>
      <c r="AT761" s="282"/>
      <c r="AU761" s="282"/>
      <c r="AV761" s="282"/>
      <c r="AW761" s="282"/>
      <c r="AX761" s="282"/>
      <c r="AY761" s="282"/>
      <c r="AZ761" s="282"/>
      <c r="BA761" s="282"/>
    </row>
    <row r="762" spans="1:53">
      <c r="A762" s="282"/>
      <c r="B762" s="282"/>
      <c r="C762" s="282"/>
      <c r="D762" s="282"/>
      <c r="E762" s="282"/>
      <c r="F762" s="282"/>
      <c r="G762" s="282"/>
      <c r="H762" s="282"/>
      <c r="I762" s="282"/>
      <c r="J762" s="282"/>
      <c r="K762" s="282"/>
      <c r="L762" s="282"/>
      <c r="M762" s="282"/>
      <c r="N762" s="282"/>
      <c r="O762" s="282"/>
      <c r="P762" s="282"/>
      <c r="Q762" s="282"/>
      <c r="R762" s="282"/>
      <c r="S762" s="282"/>
      <c r="T762" s="282"/>
      <c r="U762" s="282"/>
      <c r="V762" s="282"/>
      <c r="W762" s="282"/>
      <c r="X762" s="282"/>
      <c r="Y762" s="282"/>
      <c r="Z762" s="282"/>
      <c r="AA762" s="282"/>
      <c r="AB762" s="282"/>
      <c r="AC762" s="282"/>
      <c r="AD762" s="282"/>
      <c r="AE762" s="282"/>
      <c r="AF762" s="282"/>
      <c r="AG762" s="282"/>
      <c r="AH762" s="281"/>
      <c r="AI762" s="282"/>
      <c r="AJ762" s="282"/>
      <c r="AK762" s="282"/>
      <c r="AL762" s="282"/>
      <c r="AM762" s="282"/>
      <c r="AN762" s="282"/>
      <c r="AO762" s="282"/>
      <c r="AP762" s="282"/>
      <c r="AQ762" s="282"/>
      <c r="AR762" s="282"/>
      <c r="AS762" s="282"/>
      <c r="AT762" s="282"/>
      <c r="AU762" s="282"/>
      <c r="AV762" s="282"/>
      <c r="AW762" s="282"/>
      <c r="AX762" s="282"/>
      <c r="AY762" s="282"/>
      <c r="AZ762" s="282"/>
      <c r="BA762" s="282"/>
    </row>
    <row r="763" spans="1:53">
      <c r="A763" s="282"/>
      <c r="B763" s="282"/>
      <c r="C763" s="282"/>
      <c r="D763" s="282"/>
      <c r="E763" s="282"/>
      <c r="F763" s="282"/>
      <c r="G763" s="282"/>
      <c r="H763" s="282"/>
      <c r="I763" s="282"/>
      <c r="J763" s="282"/>
      <c r="K763" s="282"/>
      <c r="L763" s="282"/>
      <c r="M763" s="282"/>
      <c r="N763" s="282"/>
      <c r="O763" s="282"/>
      <c r="P763" s="282"/>
      <c r="Q763" s="282"/>
      <c r="R763" s="282"/>
      <c r="S763" s="282"/>
      <c r="T763" s="282"/>
      <c r="U763" s="282"/>
      <c r="V763" s="282"/>
      <c r="W763" s="282"/>
      <c r="X763" s="282"/>
      <c r="Y763" s="282"/>
      <c r="Z763" s="282"/>
      <c r="AA763" s="282"/>
      <c r="AB763" s="282"/>
      <c r="AC763" s="282"/>
      <c r="AD763" s="282"/>
      <c r="AE763" s="282"/>
      <c r="AF763" s="282"/>
      <c r="AG763" s="282"/>
      <c r="AH763" s="281"/>
      <c r="AI763" s="282"/>
      <c r="AJ763" s="282"/>
      <c r="AK763" s="282"/>
      <c r="AL763" s="282"/>
      <c r="AM763" s="282"/>
      <c r="AN763" s="282"/>
      <c r="AO763" s="282"/>
      <c r="AP763" s="282"/>
      <c r="AQ763" s="282"/>
      <c r="AR763" s="282"/>
      <c r="AS763" s="282"/>
      <c r="AT763" s="282"/>
      <c r="AU763" s="282"/>
      <c r="AV763" s="282"/>
      <c r="AW763" s="282"/>
      <c r="AX763" s="282"/>
      <c r="AY763" s="282"/>
      <c r="AZ763" s="282"/>
      <c r="BA763" s="282"/>
    </row>
    <row r="764" spans="1:53">
      <c r="A764" s="282"/>
      <c r="B764" s="282"/>
      <c r="C764" s="282"/>
      <c r="D764" s="282"/>
      <c r="E764" s="282"/>
      <c r="F764" s="282"/>
      <c r="G764" s="282"/>
      <c r="H764" s="282"/>
      <c r="I764" s="282"/>
      <c r="J764" s="282"/>
      <c r="K764" s="282"/>
      <c r="L764" s="282"/>
      <c r="M764" s="282"/>
      <c r="N764" s="282"/>
      <c r="O764" s="282"/>
      <c r="P764" s="282"/>
      <c r="Q764" s="282"/>
      <c r="R764" s="282"/>
      <c r="S764" s="282"/>
      <c r="T764" s="282"/>
      <c r="U764" s="282"/>
      <c r="V764" s="282"/>
      <c r="W764" s="282"/>
      <c r="X764" s="282"/>
      <c r="Y764" s="282"/>
      <c r="Z764" s="282"/>
      <c r="AA764" s="282"/>
      <c r="AB764" s="282"/>
      <c r="AC764" s="282"/>
      <c r="AD764" s="282"/>
      <c r="AE764" s="282"/>
      <c r="AF764" s="282"/>
      <c r="AG764" s="282"/>
      <c r="AH764" s="281"/>
      <c r="AI764" s="282"/>
      <c r="AJ764" s="282"/>
      <c r="AK764" s="282"/>
      <c r="AL764" s="282"/>
      <c r="AM764" s="282"/>
      <c r="AN764" s="282"/>
      <c r="AO764" s="282"/>
      <c r="AP764" s="282"/>
      <c r="AQ764" s="282"/>
      <c r="AR764" s="282"/>
      <c r="AS764" s="282"/>
      <c r="AT764" s="282"/>
      <c r="AU764" s="282"/>
      <c r="AV764" s="282"/>
      <c r="AW764" s="282"/>
      <c r="AX764" s="282"/>
      <c r="AY764" s="282"/>
      <c r="AZ764" s="282"/>
      <c r="BA764" s="282"/>
    </row>
    <row r="765" spans="1:53">
      <c r="A765" s="282"/>
      <c r="B765" s="282"/>
      <c r="C765" s="282"/>
      <c r="D765" s="282"/>
      <c r="E765" s="282"/>
      <c r="F765" s="282"/>
      <c r="G765" s="282"/>
      <c r="H765" s="282"/>
      <c r="I765" s="282"/>
      <c r="J765" s="282"/>
      <c r="K765" s="282"/>
      <c r="L765" s="282"/>
      <c r="M765" s="282"/>
      <c r="N765" s="282"/>
      <c r="O765" s="282"/>
      <c r="P765" s="282"/>
      <c r="Q765" s="282"/>
      <c r="R765" s="282"/>
      <c r="S765" s="282"/>
      <c r="T765" s="282"/>
      <c r="U765" s="282"/>
      <c r="V765" s="282"/>
      <c r="W765" s="282"/>
      <c r="X765" s="282"/>
      <c r="Y765" s="282"/>
      <c r="Z765" s="282"/>
      <c r="AA765" s="282"/>
      <c r="AB765" s="282"/>
      <c r="AC765" s="282"/>
      <c r="AD765" s="282"/>
      <c r="AE765" s="282"/>
      <c r="AF765" s="282"/>
      <c r="AG765" s="282"/>
      <c r="AH765" s="281"/>
      <c r="AI765" s="282"/>
      <c r="AJ765" s="282"/>
      <c r="AK765" s="282"/>
      <c r="AL765" s="282"/>
      <c r="AM765" s="282"/>
      <c r="AN765" s="282"/>
      <c r="AO765" s="282"/>
      <c r="AP765" s="282"/>
      <c r="AQ765" s="282"/>
      <c r="AR765" s="282"/>
      <c r="AS765" s="282"/>
      <c r="AT765" s="282"/>
      <c r="AU765" s="282"/>
      <c r="AV765" s="282"/>
      <c r="AW765" s="282"/>
      <c r="AX765" s="282"/>
      <c r="AY765" s="282"/>
      <c r="AZ765" s="282"/>
      <c r="BA765" s="282"/>
    </row>
    <row r="766" spans="1:53">
      <c r="A766" s="282"/>
      <c r="B766" s="282"/>
      <c r="C766" s="282"/>
      <c r="D766" s="282"/>
      <c r="E766" s="282"/>
      <c r="F766" s="282"/>
      <c r="G766" s="282"/>
      <c r="H766" s="282"/>
      <c r="I766" s="282"/>
      <c r="J766" s="282"/>
      <c r="K766" s="282"/>
      <c r="L766" s="282"/>
      <c r="M766" s="282"/>
      <c r="N766" s="282"/>
      <c r="O766" s="282"/>
      <c r="P766" s="282"/>
      <c r="Q766" s="282"/>
      <c r="R766" s="282"/>
      <c r="S766" s="282"/>
      <c r="T766" s="282"/>
      <c r="U766" s="282"/>
      <c r="V766" s="282"/>
      <c r="W766" s="282"/>
      <c r="X766" s="282"/>
      <c r="Y766" s="282"/>
      <c r="Z766" s="282"/>
      <c r="AA766" s="282"/>
      <c r="AB766" s="282"/>
      <c r="AC766" s="282"/>
      <c r="AD766" s="282"/>
      <c r="AE766" s="282"/>
      <c r="AF766" s="282"/>
      <c r="AG766" s="282"/>
      <c r="AH766" s="281"/>
      <c r="AI766" s="282"/>
      <c r="AJ766" s="282"/>
      <c r="AK766" s="282"/>
      <c r="AL766" s="282"/>
      <c r="AM766" s="282"/>
      <c r="AN766" s="282"/>
      <c r="AO766" s="282"/>
      <c r="AP766" s="282"/>
      <c r="AQ766" s="282"/>
      <c r="AR766" s="282"/>
      <c r="AS766" s="282"/>
      <c r="AT766" s="282"/>
      <c r="AU766" s="282"/>
      <c r="AV766" s="282"/>
      <c r="AW766" s="282"/>
      <c r="AX766" s="282"/>
      <c r="AY766" s="282"/>
      <c r="AZ766" s="282"/>
      <c r="BA766" s="282"/>
    </row>
    <row r="767" spans="1:53">
      <c r="A767" s="282"/>
      <c r="B767" s="282"/>
      <c r="C767" s="282"/>
      <c r="D767" s="282"/>
      <c r="E767" s="282"/>
      <c r="F767" s="282"/>
      <c r="G767" s="282"/>
      <c r="H767" s="282"/>
      <c r="I767" s="282"/>
      <c r="J767" s="282"/>
      <c r="K767" s="282"/>
      <c r="L767" s="282"/>
      <c r="M767" s="282"/>
      <c r="N767" s="282"/>
      <c r="O767" s="282"/>
      <c r="P767" s="282"/>
      <c r="Q767" s="282"/>
      <c r="R767" s="282"/>
      <c r="S767" s="282"/>
      <c r="T767" s="282"/>
      <c r="U767" s="282"/>
      <c r="V767" s="282"/>
      <c r="W767" s="282"/>
      <c r="X767" s="282"/>
      <c r="Y767" s="282"/>
      <c r="Z767" s="282"/>
      <c r="AA767" s="282"/>
      <c r="AB767" s="282"/>
      <c r="AC767" s="282"/>
      <c r="AD767" s="282"/>
      <c r="AE767" s="282"/>
      <c r="AF767" s="282"/>
      <c r="AG767" s="282"/>
      <c r="AH767" s="281"/>
      <c r="AI767" s="282"/>
      <c r="AJ767" s="282"/>
      <c r="AK767" s="282"/>
      <c r="AL767" s="282"/>
      <c r="AM767" s="282"/>
      <c r="AN767" s="282"/>
      <c r="AO767" s="282"/>
      <c r="AP767" s="282"/>
      <c r="AQ767" s="282"/>
      <c r="AR767" s="282"/>
      <c r="AS767" s="282"/>
      <c r="AT767" s="282"/>
      <c r="AU767" s="282"/>
      <c r="AV767" s="282"/>
      <c r="AW767" s="282"/>
      <c r="AX767" s="282"/>
      <c r="AY767" s="282"/>
      <c r="AZ767" s="282"/>
      <c r="BA767" s="282"/>
    </row>
    <row r="768" spans="1:53">
      <c r="A768" s="282"/>
      <c r="B768" s="282"/>
      <c r="C768" s="282"/>
      <c r="D768" s="282"/>
      <c r="E768" s="282"/>
      <c r="F768" s="282"/>
      <c r="G768" s="282"/>
      <c r="H768" s="282"/>
      <c r="I768" s="282"/>
      <c r="J768" s="282"/>
      <c r="K768" s="282"/>
      <c r="L768" s="282"/>
      <c r="M768" s="282"/>
      <c r="N768" s="282"/>
      <c r="O768" s="282"/>
      <c r="P768" s="282"/>
      <c r="Q768" s="282"/>
      <c r="R768" s="282"/>
      <c r="S768" s="282"/>
      <c r="T768" s="282"/>
      <c r="U768" s="282"/>
      <c r="V768" s="282"/>
      <c r="W768" s="282"/>
      <c r="X768" s="282"/>
      <c r="Y768" s="282"/>
      <c r="Z768" s="282"/>
      <c r="AA768" s="282"/>
      <c r="AB768" s="282"/>
      <c r="AC768" s="282"/>
      <c r="AD768" s="282"/>
      <c r="AE768" s="282"/>
      <c r="AF768" s="282"/>
      <c r="AG768" s="282"/>
      <c r="AH768" s="281"/>
      <c r="AI768" s="282"/>
      <c r="AJ768" s="282"/>
      <c r="AK768" s="282"/>
      <c r="AL768" s="282"/>
      <c r="AM768" s="282"/>
      <c r="AN768" s="282"/>
      <c r="AO768" s="282"/>
      <c r="AP768" s="282"/>
      <c r="AQ768" s="282"/>
      <c r="AR768" s="282"/>
      <c r="AS768" s="282"/>
      <c r="AT768" s="282"/>
      <c r="AU768" s="282"/>
      <c r="AV768" s="282"/>
      <c r="AW768" s="282"/>
      <c r="AX768" s="282"/>
      <c r="AY768" s="282"/>
      <c r="AZ768" s="282"/>
      <c r="BA768" s="282"/>
    </row>
    <row r="769" spans="1:53">
      <c r="A769" s="282"/>
      <c r="B769" s="282"/>
      <c r="C769" s="282"/>
      <c r="D769" s="282"/>
      <c r="E769" s="282"/>
      <c r="F769" s="282"/>
      <c r="G769" s="282"/>
      <c r="H769" s="282"/>
      <c r="I769" s="282"/>
      <c r="J769" s="282"/>
      <c r="K769" s="282"/>
      <c r="L769" s="282"/>
      <c r="M769" s="282"/>
      <c r="N769" s="282"/>
      <c r="O769" s="282"/>
      <c r="P769" s="282"/>
      <c r="Q769" s="282"/>
      <c r="R769" s="282"/>
      <c r="S769" s="282"/>
      <c r="T769" s="282"/>
      <c r="U769" s="282"/>
      <c r="V769" s="282"/>
      <c r="W769" s="282"/>
      <c r="X769" s="282"/>
      <c r="Y769" s="282"/>
      <c r="Z769" s="282"/>
      <c r="AA769" s="282"/>
      <c r="AB769" s="282"/>
      <c r="AC769" s="282"/>
      <c r="AD769" s="282"/>
      <c r="AE769" s="282"/>
      <c r="AF769" s="282"/>
      <c r="AG769" s="282"/>
      <c r="AH769" s="281"/>
      <c r="AI769" s="282"/>
      <c r="AJ769" s="282"/>
      <c r="AK769" s="282"/>
      <c r="AL769" s="282"/>
      <c r="AM769" s="282"/>
      <c r="AN769" s="282"/>
      <c r="AO769" s="282"/>
      <c r="AP769" s="282"/>
      <c r="AQ769" s="282"/>
      <c r="AR769" s="282"/>
      <c r="AS769" s="282"/>
      <c r="AT769" s="282"/>
      <c r="AU769" s="282"/>
      <c r="AV769" s="282"/>
      <c r="AW769" s="282"/>
      <c r="AX769" s="282"/>
      <c r="AY769" s="282"/>
      <c r="AZ769" s="282"/>
      <c r="BA769" s="282"/>
    </row>
    <row r="770" spans="1:53">
      <c r="A770" s="282"/>
      <c r="B770" s="282"/>
      <c r="C770" s="282"/>
      <c r="D770" s="282"/>
      <c r="E770" s="282"/>
      <c r="F770" s="282"/>
      <c r="G770" s="282"/>
      <c r="H770" s="282"/>
      <c r="I770" s="282"/>
      <c r="J770" s="282"/>
      <c r="K770" s="282"/>
      <c r="L770" s="282"/>
      <c r="M770" s="282"/>
      <c r="N770" s="282"/>
      <c r="O770" s="282"/>
      <c r="P770" s="282"/>
      <c r="Q770" s="282"/>
      <c r="R770" s="282"/>
      <c r="S770" s="282"/>
      <c r="T770" s="282"/>
      <c r="U770" s="282"/>
      <c r="V770" s="282"/>
      <c r="W770" s="282"/>
      <c r="X770" s="282"/>
      <c r="Y770" s="282"/>
      <c r="Z770" s="282"/>
      <c r="AA770" s="282"/>
      <c r="AB770" s="282"/>
      <c r="AC770" s="282"/>
      <c r="AD770" s="282"/>
      <c r="AE770" s="282"/>
      <c r="AF770" s="282"/>
      <c r="AG770" s="282"/>
      <c r="AH770" s="281"/>
      <c r="AI770" s="282"/>
      <c r="AJ770" s="282"/>
      <c r="AK770" s="282"/>
      <c r="AL770" s="282"/>
      <c r="AM770" s="282"/>
      <c r="AN770" s="282"/>
      <c r="AO770" s="282"/>
      <c r="AP770" s="282"/>
      <c r="AQ770" s="282"/>
      <c r="AR770" s="282"/>
      <c r="AS770" s="282"/>
      <c r="AT770" s="282"/>
      <c r="AU770" s="282"/>
      <c r="AV770" s="282"/>
      <c r="AW770" s="282"/>
      <c r="AX770" s="282"/>
      <c r="AY770" s="282"/>
      <c r="AZ770" s="282"/>
      <c r="BA770" s="282"/>
    </row>
    <row r="771" spans="1:53">
      <c r="A771" s="282"/>
      <c r="B771" s="282"/>
      <c r="C771" s="282"/>
      <c r="D771" s="282"/>
      <c r="E771" s="282"/>
      <c r="F771" s="282"/>
      <c r="G771" s="282"/>
      <c r="H771" s="282"/>
      <c r="I771" s="282"/>
      <c r="J771" s="282"/>
      <c r="K771" s="282"/>
      <c r="L771" s="282"/>
      <c r="M771" s="282"/>
      <c r="N771" s="282"/>
      <c r="O771" s="282"/>
      <c r="P771" s="282"/>
      <c r="Q771" s="282"/>
      <c r="R771" s="282"/>
      <c r="S771" s="282"/>
      <c r="T771" s="282"/>
      <c r="U771" s="282"/>
      <c r="V771" s="282"/>
      <c r="W771" s="282"/>
      <c r="X771" s="282"/>
      <c r="Y771" s="282"/>
      <c r="Z771" s="282"/>
      <c r="AA771" s="282"/>
      <c r="AB771" s="282"/>
      <c r="AC771" s="282"/>
      <c r="AD771" s="282"/>
      <c r="AE771" s="282"/>
      <c r="AF771" s="282"/>
      <c r="AG771" s="282"/>
      <c r="AH771" s="281"/>
      <c r="AI771" s="282"/>
      <c r="AJ771" s="282"/>
      <c r="AK771" s="282"/>
      <c r="AL771" s="282"/>
      <c r="AM771" s="282"/>
      <c r="AN771" s="282"/>
      <c r="AO771" s="282"/>
      <c r="AP771" s="282"/>
      <c r="AQ771" s="282"/>
      <c r="AR771" s="282"/>
      <c r="AS771" s="282"/>
      <c r="AT771" s="282"/>
      <c r="AU771" s="282"/>
      <c r="AV771" s="282"/>
      <c r="AW771" s="282"/>
      <c r="AX771" s="282"/>
      <c r="AY771" s="282"/>
      <c r="AZ771" s="282"/>
      <c r="BA771" s="282"/>
    </row>
    <row r="772" spans="1:53">
      <c r="A772" s="282"/>
      <c r="B772" s="282"/>
      <c r="C772" s="282"/>
      <c r="D772" s="282"/>
      <c r="E772" s="282"/>
      <c r="F772" s="282"/>
      <c r="G772" s="282"/>
      <c r="H772" s="282"/>
      <c r="I772" s="282"/>
      <c r="J772" s="282"/>
      <c r="K772" s="282"/>
      <c r="L772" s="282"/>
      <c r="M772" s="282"/>
      <c r="N772" s="282"/>
      <c r="O772" s="282"/>
      <c r="P772" s="282"/>
      <c r="Q772" s="282"/>
      <c r="R772" s="282"/>
      <c r="S772" s="282"/>
      <c r="T772" s="282"/>
      <c r="U772" s="282"/>
      <c r="V772" s="282"/>
      <c r="W772" s="282"/>
      <c r="X772" s="282"/>
      <c r="Y772" s="282"/>
      <c r="Z772" s="282"/>
      <c r="AA772" s="282"/>
      <c r="AB772" s="282"/>
      <c r="AC772" s="282"/>
      <c r="AD772" s="282"/>
      <c r="AE772" s="282"/>
      <c r="AF772" s="282"/>
      <c r="AG772" s="282"/>
      <c r="AH772" s="281"/>
      <c r="AI772" s="282"/>
      <c r="AJ772" s="282"/>
      <c r="AK772" s="282"/>
      <c r="AL772" s="282"/>
      <c r="AM772" s="282"/>
      <c r="AN772" s="282"/>
      <c r="AO772" s="282"/>
      <c r="AP772" s="282"/>
      <c r="AQ772" s="282"/>
      <c r="AR772" s="282"/>
      <c r="AS772" s="282"/>
      <c r="AT772" s="282"/>
      <c r="AU772" s="282"/>
      <c r="AV772" s="282"/>
      <c r="AW772" s="282"/>
      <c r="AX772" s="282"/>
      <c r="AY772" s="282"/>
      <c r="AZ772" s="282"/>
      <c r="BA772" s="282"/>
    </row>
    <row r="773" spans="1:53">
      <c r="A773" s="282"/>
      <c r="B773" s="282"/>
      <c r="C773" s="282"/>
      <c r="D773" s="282"/>
      <c r="E773" s="282"/>
      <c r="F773" s="282"/>
      <c r="G773" s="282"/>
      <c r="H773" s="282"/>
      <c r="I773" s="282"/>
      <c r="J773" s="282"/>
      <c r="K773" s="282"/>
      <c r="L773" s="282"/>
      <c r="M773" s="282"/>
      <c r="N773" s="282"/>
      <c r="O773" s="282"/>
      <c r="P773" s="282"/>
      <c r="Q773" s="282"/>
      <c r="R773" s="282"/>
      <c r="S773" s="282"/>
      <c r="T773" s="282"/>
      <c r="U773" s="282"/>
      <c r="V773" s="282"/>
      <c r="W773" s="282"/>
      <c r="X773" s="282"/>
      <c r="Y773" s="282"/>
      <c r="Z773" s="282"/>
      <c r="AA773" s="282"/>
      <c r="AB773" s="282"/>
      <c r="AC773" s="282"/>
      <c r="AD773" s="282"/>
      <c r="AE773" s="282"/>
      <c r="AF773" s="282"/>
      <c r="AG773" s="282"/>
      <c r="AH773" s="281"/>
      <c r="AI773" s="282"/>
      <c r="AJ773" s="282"/>
      <c r="AK773" s="282"/>
      <c r="AL773" s="282"/>
      <c r="AM773" s="282"/>
      <c r="AN773" s="282"/>
      <c r="AO773" s="282"/>
      <c r="AP773" s="282"/>
      <c r="AQ773" s="282"/>
      <c r="AR773" s="282"/>
      <c r="AS773" s="282"/>
      <c r="AT773" s="282"/>
      <c r="AU773" s="282"/>
      <c r="AV773" s="282"/>
      <c r="AW773" s="282"/>
      <c r="AX773" s="282"/>
      <c r="AY773" s="282"/>
      <c r="AZ773" s="282"/>
      <c r="BA773" s="282"/>
    </row>
    <row r="774" spans="1:53">
      <c r="A774" s="282"/>
      <c r="B774" s="282"/>
      <c r="C774" s="282"/>
      <c r="D774" s="282"/>
      <c r="E774" s="282"/>
      <c r="F774" s="282"/>
      <c r="G774" s="282"/>
      <c r="H774" s="282"/>
      <c r="I774" s="282"/>
      <c r="J774" s="282"/>
      <c r="K774" s="282"/>
      <c r="L774" s="282"/>
      <c r="M774" s="282"/>
      <c r="N774" s="282"/>
      <c r="O774" s="282"/>
      <c r="P774" s="282"/>
      <c r="Q774" s="282"/>
      <c r="R774" s="282"/>
      <c r="S774" s="282"/>
      <c r="T774" s="282"/>
      <c r="U774" s="282"/>
      <c r="V774" s="282"/>
      <c r="W774" s="282"/>
      <c r="X774" s="282"/>
      <c r="Y774" s="282"/>
      <c r="Z774" s="282"/>
      <c r="AA774" s="282"/>
      <c r="AB774" s="282"/>
      <c r="AC774" s="282"/>
      <c r="AD774" s="282"/>
      <c r="AE774" s="282"/>
      <c r="AF774" s="282"/>
      <c r="AG774" s="282"/>
      <c r="AH774" s="281"/>
      <c r="AI774" s="282"/>
      <c r="AJ774" s="282"/>
      <c r="AK774" s="282"/>
      <c r="AL774" s="282"/>
      <c r="AM774" s="282"/>
      <c r="AN774" s="282"/>
      <c r="AO774" s="282"/>
      <c r="AP774" s="282"/>
      <c r="AQ774" s="282"/>
      <c r="AR774" s="282"/>
      <c r="AS774" s="282"/>
      <c r="AT774" s="282"/>
      <c r="AU774" s="282"/>
      <c r="AV774" s="282"/>
      <c r="AW774" s="282"/>
      <c r="AX774" s="282"/>
      <c r="AY774" s="282"/>
      <c r="AZ774" s="282"/>
      <c r="BA774" s="282"/>
    </row>
    <row r="775" spans="1:53">
      <c r="A775" s="282"/>
      <c r="B775" s="282"/>
      <c r="C775" s="282"/>
      <c r="D775" s="282"/>
      <c r="E775" s="282"/>
      <c r="F775" s="282"/>
      <c r="G775" s="282"/>
      <c r="H775" s="282"/>
      <c r="I775" s="282"/>
      <c r="J775" s="282"/>
      <c r="K775" s="282"/>
      <c r="L775" s="282"/>
      <c r="M775" s="282"/>
      <c r="N775" s="282"/>
      <c r="O775" s="282"/>
      <c r="P775" s="282"/>
      <c r="Q775" s="282"/>
      <c r="R775" s="282"/>
      <c r="S775" s="282"/>
      <c r="T775" s="282"/>
      <c r="U775" s="282"/>
      <c r="V775" s="282"/>
      <c r="W775" s="282"/>
      <c r="X775" s="282"/>
      <c r="Y775" s="282"/>
      <c r="Z775" s="282"/>
      <c r="AA775" s="282"/>
      <c r="AB775" s="282"/>
      <c r="AC775" s="282"/>
      <c r="AD775" s="282"/>
      <c r="AE775" s="282"/>
      <c r="AF775" s="282"/>
      <c r="AG775" s="282"/>
      <c r="AH775" s="281"/>
      <c r="AI775" s="282"/>
      <c r="AJ775" s="282"/>
      <c r="AK775" s="282"/>
      <c r="AL775" s="282"/>
      <c r="AM775" s="282"/>
      <c r="AN775" s="282"/>
      <c r="AO775" s="282"/>
      <c r="AP775" s="282"/>
      <c r="AQ775" s="282"/>
      <c r="AR775" s="282"/>
      <c r="AS775" s="282"/>
      <c r="AT775" s="282"/>
      <c r="AU775" s="282"/>
      <c r="AV775" s="282"/>
      <c r="AW775" s="282"/>
      <c r="AX775" s="282"/>
      <c r="AY775" s="282"/>
      <c r="AZ775" s="282"/>
      <c r="BA775" s="282"/>
    </row>
    <row r="776" spans="1:53">
      <c r="A776" s="282"/>
      <c r="B776" s="282"/>
      <c r="C776" s="282"/>
      <c r="D776" s="282"/>
      <c r="E776" s="282"/>
      <c r="F776" s="282"/>
      <c r="G776" s="282"/>
      <c r="H776" s="282"/>
      <c r="I776" s="282"/>
      <c r="J776" s="282"/>
      <c r="K776" s="282"/>
      <c r="L776" s="282"/>
      <c r="M776" s="282"/>
      <c r="N776" s="282"/>
      <c r="O776" s="282"/>
      <c r="P776" s="282"/>
      <c r="Q776" s="282"/>
      <c r="R776" s="282"/>
      <c r="S776" s="282"/>
      <c r="T776" s="282"/>
      <c r="U776" s="282"/>
      <c r="V776" s="282"/>
      <c r="W776" s="282"/>
      <c r="X776" s="282"/>
      <c r="Y776" s="282"/>
      <c r="Z776" s="282"/>
      <c r="AA776" s="282"/>
      <c r="AB776" s="282"/>
      <c r="AC776" s="282"/>
      <c r="AD776" s="282"/>
      <c r="AE776" s="282"/>
      <c r="AF776" s="282"/>
      <c r="AG776" s="282"/>
      <c r="AH776" s="281"/>
      <c r="AI776" s="282"/>
      <c r="AJ776" s="282"/>
      <c r="AK776" s="282"/>
      <c r="AL776" s="282"/>
      <c r="AM776" s="282"/>
      <c r="AN776" s="282"/>
      <c r="AO776" s="282"/>
      <c r="AP776" s="282"/>
      <c r="AQ776" s="282"/>
      <c r="AR776" s="282"/>
      <c r="AS776" s="282"/>
      <c r="AT776" s="282"/>
      <c r="AU776" s="282"/>
      <c r="AV776" s="282"/>
      <c r="AW776" s="282"/>
      <c r="AX776" s="282"/>
      <c r="AY776" s="282"/>
      <c r="AZ776" s="282"/>
      <c r="BA776" s="282"/>
    </row>
    <row r="777" spans="1:53">
      <c r="A777" s="282"/>
      <c r="B777" s="282"/>
      <c r="C777" s="282"/>
      <c r="D777" s="282"/>
      <c r="E777" s="282"/>
      <c r="F777" s="282"/>
      <c r="G777" s="282"/>
      <c r="H777" s="282"/>
      <c r="I777" s="282"/>
      <c r="J777" s="282"/>
      <c r="K777" s="282"/>
      <c r="L777" s="282"/>
      <c r="M777" s="282"/>
      <c r="N777" s="282"/>
      <c r="O777" s="282"/>
      <c r="P777" s="282"/>
      <c r="Q777" s="282"/>
      <c r="R777" s="282"/>
      <c r="S777" s="282"/>
      <c r="T777" s="282"/>
      <c r="U777" s="282"/>
      <c r="V777" s="282"/>
      <c r="W777" s="282"/>
      <c r="X777" s="282"/>
      <c r="Y777" s="282"/>
      <c r="Z777" s="282"/>
      <c r="AA777" s="282"/>
      <c r="AB777" s="282"/>
      <c r="AC777" s="282"/>
      <c r="AD777" s="282"/>
      <c r="AE777" s="282"/>
      <c r="AF777" s="282"/>
      <c r="AG777" s="282"/>
      <c r="AH777" s="281"/>
      <c r="AI777" s="282"/>
      <c r="AJ777" s="282"/>
      <c r="AK777" s="282"/>
      <c r="AL777" s="282"/>
      <c r="AM777" s="282"/>
      <c r="AN777" s="282"/>
      <c r="AO777" s="282"/>
      <c r="AP777" s="282"/>
      <c r="AQ777" s="282"/>
      <c r="AR777" s="282"/>
      <c r="AS777" s="282"/>
      <c r="AT777" s="282"/>
      <c r="AU777" s="282"/>
      <c r="AV777" s="282"/>
      <c r="AW777" s="282"/>
      <c r="AX777" s="282"/>
      <c r="AY777" s="282"/>
      <c r="AZ777" s="282"/>
      <c r="BA777" s="282"/>
    </row>
    <row r="778" spans="1:53">
      <c r="A778" s="282"/>
      <c r="B778" s="282"/>
      <c r="C778" s="282"/>
      <c r="D778" s="282"/>
      <c r="E778" s="282"/>
      <c r="F778" s="282"/>
      <c r="G778" s="282"/>
      <c r="H778" s="282"/>
      <c r="I778" s="282"/>
      <c r="J778" s="282"/>
      <c r="K778" s="282"/>
      <c r="L778" s="282"/>
      <c r="M778" s="282"/>
      <c r="N778" s="282"/>
      <c r="O778" s="282"/>
      <c r="P778" s="282"/>
      <c r="Q778" s="282"/>
      <c r="R778" s="282"/>
      <c r="S778" s="282"/>
      <c r="T778" s="282"/>
      <c r="U778" s="282"/>
      <c r="V778" s="282"/>
      <c r="W778" s="282"/>
      <c r="X778" s="282"/>
      <c r="Y778" s="282"/>
      <c r="Z778" s="282"/>
      <c r="AA778" s="282"/>
      <c r="AB778" s="282"/>
      <c r="AC778" s="282"/>
      <c r="AD778" s="282"/>
      <c r="AE778" s="282"/>
      <c r="AF778" s="282"/>
      <c r="AG778" s="282"/>
      <c r="AH778" s="281"/>
      <c r="AI778" s="282"/>
      <c r="AJ778" s="282"/>
      <c r="AK778" s="282"/>
      <c r="AL778" s="282"/>
      <c r="AM778" s="282"/>
      <c r="AN778" s="282"/>
      <c r="AO778" s="282"/>
      <c r="AP778" s="282"/>
      <c r="AQ778" s="282"/>
      <c r="AR778" s="282"/>
      <c r="AS778" s="282"/>
      <c r="AT778" s="282"/>
      <c r="AU778" s="282"/>
      <c r="AV778" s="282"/>
      <c r="AW778" s="282"/>
      <c r="AX778" s="282"/>
      <c r="AY778" s="282"/>
      <c r="AZ778" s="282"/>
      <c r="BA778" s="282"/>
    </row>
    <row r="779" spans="1:53">
      <c r="A779" s="282"/>
      <c r="B779" s="282"/>
      <c r="C779" s="282"/>
      <c r="D779" s="282"/>
      <c r="E779" s="282"/>
      <c r="F779" s="282"/>
      <c r="G779" s="282"/>
      <c r="H779" s="282"/>
      <c r="I779" s="282"/>
      <c r="J779" s="282"/>
      <c r="K779" s="282"/>
      <c r="L779" s="282"/>
      <c r="M779" s="282"/>
      <c r="N779" s="282"/>
      <c r="O779" s="282"/>
      <c r="P779" s="282"/>
      <c r="Q779" s="282"/>
      <c r="R779" s="282"/>
      <c r="S779" s="282"/>
      <c r="T779" s="282"/>
      <c r="U779" s="282"/>
      <c r="V779" s="282"/>
      <c r="W779" s="282"/>
      <c r="X779" s="282"/>
      <c r="Y779" s="282"/>
      <c r="Z779" s="282"/>
      <c r="AA779" s="282"/>
      <c r="AB779" s="282"/>
      <c r="AC779" s="282"/>
      <c r="AD779" s="282"/>
      <c r="AE779" s="282"/>
      <c r="AF779" s="282"/>
      <c r="AG779" s="282"/>
      <c r="AH779" s="281"/>
      <c r="AI779" s="282"/>
      <c r="AJ779" s="282"/>
      <c r="AK779" s="282"/>
      <c r="AL779" s="282"/>
      <c r="AM779" s="282"/>
      <c r="AN779" s="282"/>
      <c r="AO779" s="282"/>
      <c r="AP779" s="282"/>
      <c r="AQ779" s="282"/>
      <c r="AR779" s="282"/>
      <c r="AS779" s="282"/>
      <c r="AT779" s="282"/>
      <c r="AU779" s="282"/>
      <c r="AV779" s="282"/>
      <c r="AW779" s="282"/>
      <c r="AX779" s="282"/>
      <c r="AY779" s="282"/>
      <c r="AZ779" s="282"/>
      <c r="BA779" s="282"/>
    </row>
    <row r="780" spans="1:53">
      <c r="A780" s="282"/>
      <c r="B780" s="282"/>
      <c r="C780" s="282"/>
      <c r="D780" s="282"/>
      <c r="E780" s="282"/>
      <c r="F780" s="282"/>
      <c r="G780" s="282"/>
      <c r="H780" s="282"/>
      <c r="I780" s="282"/>
      <c r="J780" s="282"/>
      <c r="K780" s="282"/>
      <c r="L780" s="282"/>
      <c r="M780" s="282"/>
      <c r="N780" s="282"/>
      <c r="O780" s="282"/>
      <c r="P780" s="282"/>
      <c r="Q780" s="282"/>
      <c r="R780" s="282"/>
      <c r="S780" s="282"/>
      <c r="T780" s="282"/>
      <c r="U780" s="282"/>
      <c r="V780" s="282"/>
      <c r="W780" s="282"/>
      <c r="X780" s="282"/>
      <c r="Y780" s="282"/>
      <c r="Z780" s="282"/>
      <c r="AA780" s="282"/>
      <c r="AB780" s="282"/>
      <c r="AC780" s="282"/>
      <c r="AD780" s="282"/>
      <c r="AE780" s="282"/>
      <c r="AF780" s="282"/>
      <c r="AG780" s="282"/>
      <c r="AH780" s="281"/>
      <c r="AI780" s="282"/>
      <c r="AJ780" s="282"/>
      <c r="AK780" s="282"/>
      <c r="AL780" s="282"/>
      <c r="AM780" s="282"/>
      <c r="AN780" s="282"/>
      <c r="AO780" s="282"/>
      <c r="AP780" s="282"/>
      <c r="AQ780" s="282"/>
      <c r="AR780" s="282"/>
      <c r="AS780" s="282"/>
      <c r="AT780" s="282"/>
      <c r="AU780" s="282"/>
      <c r="AV780" s="282"/>
      <c r="AW780" s="282"/>
      <c r="AX780" s="282"/>
      <c r="AY780" s="282"/>
      <c r="AZ780" s="282"/>
      <c r="BA780" s="282"/>
    </row>
    <row r="781" spans="1:53">
      <c r="A781" s="282"/>
      <c r="B781" s="282"/>
      <c r="C781" s="282"/>
      <c r="D781" s="282"/>
      <c r="E781" s="282"/>
      <c r="F781" s="282"/>
      <c r="G781" s="282"/>
      <c r="H781" s="282"/>
      <c r="I781" s="282"/>
      <c r="J781" s="282"/>
      <c r="K781" s="282"/>
      <c r="L781" s="282"/>
      <c r="M781" s="282"/>
      <c r="N781" s="282"/>
      <c r="O781" s="282"/>
      <c r="P781" s="282"/>
      <c r="Q781" s="282"/>
      <c r="R781" s="282"/>
      <c r="S781" s="282"/>
      <c r="T781" s="282"/>
      <c r="U781" s="282"/>
      <c r="V781" s="282"/>
      <c r="W781" s="282"/>
      <c r="X781" s="282"/>
      <c r="Y781" s="282"/>
      <c r="Z781" s="282"/>
      <c r="AA781" s="282"/>
      <c r="AB781" s="282"/>
      <c r="AC781" s="282"/>
      <c r="AD781" s="282"/>
      <c r="AE781" s="282"/>
      <c r="AF781" s="282"/>
      <c r="AG781" s="282"/>
      <c r="AH781" s="281"/>
      <c r="AI781" s="282"/>
      <c r="AJ781" s="282"/>
      <c r="AK781" s="282"/>
      <c r="AL781" s="282"/>
      <c r="AM781" s="282"/>
      <c r="AN781" s="282"/>
      <c r="AO781" s="282"/>
      <c r="AP781" s="282"/>
      <c r="AQ781" s="282"/>
      <c r="AR781" s="282"/>
      <c r="AS781" s="282"/>
      <c r="AT781" s="282"/>
      <c r="AU781" s="282"/>
      <c r="AV781" s="282"/>
      <c r="AW781" s="282"/>
      <c r="AX781" s="282"/>
      <c r="AY781" s="282"/>
      <c r="AZ781" s="282"/>
      <c r="BA781" s="282"/>
    </row>
    <row r="782" spans="1:53">
      <c r="A782" s="282"/>
      <c r="B782" s="282"/>
      <c r="C782" s="282"/>
      <c r="D782" s="282"/>
      <c r="E782" s="282"/>
      <c r="F782" s="282"/>
      <c r="G782" s="282"/>
      <c r="H782" s="282"/>
      <c r="I782" s="282"/>
      <c r="J782" s="282"/>
      <c r="K782" s="282"/>
      <c r="L782" s="282"/>
      <c r="M782" s="282"/>
      <c r="N782" s="282"/>
      <c r="O782" s="282"/>
      <c r="P782" s="282"/>
      <c r="Q782" s="282"/>
      <c r="R782" s="282"/>
      <c r="S782" s="282"/>
      <c r="T782" s="282"/>
      <c r="U782" s="282"/>
      <c r="V782" s="282"/>
      <c r="W782" s="282"/>
      <c r="X782" s="282"/>
      <c r="Y782" s="282"/>
      <c r="Z782" s="282"/>
      <c r="AA782" s="282"/>
      <c r="AB782" s="282"/>
      <c r="AC782" s="282"/>
      <c r="AD782" s="282"/>
      <c r="AE782" s="282"/>
      <c r="AF782" s="282"/>
      <c r="AG782" s="282"/>
      <c r="AH782" s="281"/>
      <c r="AI782" s="282"/>
      <c r="AJ782" s="282"/>
      <c r="AK782" s="282"/>
      <c r="AL782" s="282"/>
      <c r="AM782" s="282"/>
      <c r="AN782" s="282"/>
      <c r="AO782" s="282"/>
      <c r="AP782" s="282"/>
      <c r="AQ782" s="282"/>
      <c r="AR782" s="282"/>
      <c r="AS782" s="282"/>
      <c r="AT782" s="282"/>
      <c r="AU782" s="282"/>
      <c r="AV782" s="282"/>
      <c r="AW782" s="282"/>
      <c r="AX782" s="282"/>
      <c r="AY782" s="282"/>
      <c r="AZ782" s="282"/>
      <c r="BA782" s="282"/>
    </row>
    <row r="783" spans="1:53">
      <c r="A783" s="282"/>
      <c r="B783" s="282"/>
      <c r="C783" s="282"/>
      <c r="D783" s="282"/>
      <c r="E783" s="282"/>
      <c r="F783" s="282"/>
      <c r="G783" s="282"/>
      <c r="H783" s="282"/>
      <c r="I783" s="282"/>
      <c r="J783" s="282"/>
      <c r="K783" s="282"/>
      <c r="L783" s="282"/>
      <c r="M783" s="282"/>
      <c r="N783" s="282"/>
      <c r="O783" s="282"/>
      <c r="P783" s="282"/>
      <c r="Q783" s="282"/>
      <c r="R783" s="282"/>
      <c r="S783" s="282"/>
      <c r="T783" s="282"/>
      <c r="U783" s="282"/>
      <c r="V783" s="282"/>
      <c r="W783" s="282"/>
      <c r="X783" s="282"/>
      <c r="Y783" s="282"/>
      <c r="Z783" s="282"/>
      <c r="AA783" s="282"/>
      <c r="AB783" s="282"/>
      <c r="AC783" s="282"/>
      <c r="AD783" s="282"/>
      <c r="AE783" s="282"/>
      <c r="AF783" s="282"/>
      <c r="AG783" s="282"/>
      <c r="AH783" s="281"/>
      <c r="AI783" s="282"/>
      <c r="AJ783" s="282"/>
      <c r="AK783" s="282"/>
      <c r="AL783" s="282"/>
      <c r="AM783" s="282"/>
      <c r="AN783" s="282"/>
      <c r="AO783" s="282"/>
      <c r="AP783" s="282"/>
      <c r="AQ783" s="282"/>
      <c r="AR783" s="282"/>
      <c r="AS783" s="282"/>
      <c r="AT783" s="282"/>
      <c r="AU783" s="282"/>
      <c r="AV783" s="282"/>
      <c r="AW783" s="282"/>
      <c r="AX783" s="282"/>
      <c r="AY783" s="282"/>
      <c r="AZ783" s="282"/>
      <c r="BA783" s="282"/>
    </row>
    <row r="784" spans="1:53">
      <c r="A784" s="282"/>
      <c r="B784" s="282"/>
      <c r="C784" s="282"/>
      <c r="D784" s="282"/>
      <c r="E784" s="282"/>
      <c r="F784" s="282"/>
      <c r="G784" s="282"/>
      <c r="H784" s="282"/>
      <c r="I784" s="282"/>
      <c r="J784" s="282"/>
      <c r="K784" s="282"/>
      <c r="L784" s="282"/>
      <c r="M784" s="282"/>
      <c r="N784" s="282"/>
      <c r="O784" s="282"/>
      <c r="P784" s="282"/>
      <c r="Q784" s="282"/>
      <c r="R784" s="282"/>
      <c r="S784" s="282"/>
      <c r="T784" s="282"/>
      <c r="U784" s="282"/>
      <c r="V784" s="282"/>
      <c r="W784" s="282"/>
      <c r="X784" s="282"/>
      <c r="Y784" s="282"/>
      <c r="Z784" s="282"/>
      <c r="AA784" s="282"/>
      <c r="AB784" s="282"/>
      <c r="AC784" s="282"/>
      <c r="AD784" s="282"/>
      <c r="AE784" s="282"/>
      <c r="AF784" s="282"/>
      <c r="AG784" s="282"/>
      <c r="AH784" s="281"/>
      <c r="AI784" s="282"/>
      <c r="AJ784" s="282"/>
      <c r="AK784" s="282"/>
      <c r="AL784" s="282"/>
      <c r="AM784" s="282"/>
      <c r="AN784" s="282"/>
      <c r="AO784" s="282"/>
      <c r="AP784" s="282"/>
      <c r="AQ784" s="282"/>
      <c r="AR784" s="282"/>
      <c r="AS784" s="282"/>
      <c r="AT784" s="282"/>
      <c r="AU784" s="282"/>
      <c r="AV784" s="282"/>
      <c r="AW784" s="282"/>
      <c r="AX784" s="282"/>
      <c r="AY784" s="282"/>
      <c r="AZ784" s="282"/>
      <c r="BA784" s="282"/>
    </row>
    <row r="785" spans="1:53">
      <c r="A785" s="282"/>
      <c r="B785" s="282"/>
      <c r="C785" s="282"/>
      <c r="D785" s="282"/>
      <c r="E785" s="282"/>
      <c r="F785" s="282"/>
      <c r="G785" s="282"/>
      <c r="H785" s="282"/>
      <c r="I785" s="282"/>
      <c r="J785" s="282"/>
      <c r="K785" s="282"/>
      <c r="L785" s="282"/>
      <c r="M785" s="282"/>
      <c r="N785" s="282"/>
      <c r="O785" s="282"/>
      <c r="P785" s="282"/>
      <c r="Q785" s="282"/>
      <c r="R785" s="282"/>
      <c r="S785" s="282"/>
      <c r="T785" s="282"/>
      <c r="U785" s="282"/>
      <c r="V785" s="282"/>
      <c r="W785" s="282"/>
      <c r="X785" s="282"/>
      <c r="Y785" s="282"/>
      <c r="Z785" s="282"/>
      <c r="AA785" s="282"/>
      <c r="AB785" s="282"/>
      <c r="AC785" s="282"/>
      <c r="AD785" s="282"/>
      <c r="AE785" s="282"/>
      <c r="AF785" s="282"/>
      <c r="AG785" s="282"/>
      <c r="AH785" s="281"/>
      <c r="AI785" s="282"/>
      <c r="AJ785" s="282"/>
      <c r="AK785" s="282"/>
      <c r="AL785" s="282"/>
      <c r="AM785" s="282"/>
      <c r="AN785" s="282"/>
      <c r="AO785" s="282"/>
      <c r="AP785" s="282"/>
      <c r="AQ785" s="282"/>
      <c r="AR785" s="282"/>
      <c r="AS785" s="282"/>
      <c r="AT785" s="282"/>
      <c r="AU785" s="282"/>
      <c r="AV785" s="282"/>
      <c r="AW785" s="282"/>
      <c r="AX785" s="282"/>
      <c r="AY785" s="282"/>
      <c r="AZ785" s="282"/>
      <c r="BA785" s="282"/>
    </row>
    <row r="786" spans="1:53">
      <c r="A786" s="282"/>
      <c r="B786" s="282"/>
      <c r="C786" s="282"/>
      <c r="D786" s="282"/>
      <c r="E786" s="282"/>
      <c r="F786" s="282"/>
      <c r="G786" s="282"/>
      <c r="H786" s="282"/>
      <c r="I786" s="282"/>
      <c r="J786" s="282"/>
      <c r="K786" s="282"/>
      <c r="L786" s="282"/>
      <c r="M786" s="282"/>
      <c r="N786" s="282"/>
      <c r="O786" s="282"/>
      <c r="P786" s="282"/>
      <c r="Q786" s="282"/>
      <c r="R786" s="282"/>
      <c r="S786" s="282"/>
      <c r="T786" s="282"/>
      <c r="U786" s="282"/>
      <c r="V786" s="282"/>
      <c r="W786" s="282"/>
      <c r="X786" s="282"/>
      <c r="Y786" s="282"/>
      <c r="Z786" s="282"/>
      <c r="AA786" s="282"/>
      <c r="AB786" s="282"/>
      <c r="AC786" s="282"/>
      <c r="AD786" s="282"/>
      <c r="AE786" s="282"/>
      <c r="AF786" s="282"/>
      <c r="AG786" s="282"/>
      <c r="AH786" s="281"/>
      <c r="AI786" s="282"/>
      <c r="AJ786" s="282"/>
      <c r="AK786" s="282"/>
      <c r="AL786" s="282"/>
      <c r="AM786" s="282"/>
      <c r="AN786" s="282"/>
      <c r="AO786" s="282"/>
      <c r="AP786" s="282"/>
      <c r="AQ786" s="282"/>
      <c r="AR786" s="282"/>
      <c r="AS786" s="282"/>
      <c r="AT786" s="282"/>
      <c r="AU786" s="282"/>
      <c r="AV786" s="282"/>
      <c r="AW786" s="282"/>
      <c r="AX786" s="282"/>
      <c r="AY786" s="282"/>
      <c r="AZ786" s="282"/>
      <c r="BA786" s="282"/>
    </row>
    <row r="787" spans="1:53">
      <c r="A787" s="282"/>
      <c r="B787" s="282"/>
      <c r="C787" s="282"/>
      <c r="D787" s="282"/>
      <c r="E787" s="282"/>
      <c r="F787" s="282"/>
      <c r="G787" s="282"/>
      <c r="H787" s="282"/>
      <c r="I787" s="282"/>
      <c r="J787" s="282"/>
      <c r="K787" s="282"/>
      <c r="L787" s="282"/>
      <c r="M787" s="282"/>
      <c r="N787" s="282"/>
      <c r="O787" s="282"/>
      <c r="P787" s="282"/>
      <c r="Q787" s="282"/>
      <c r="R787" s="282"/>
      <c r="S787" s="282"/>
      <c r="T787" s="282"/>
      <c r="U787" s="282"/>
      <c r="V787" s="282"/>
      <c r="W787" s="282"/>
      <c r="X787" s="282"/>
      <c r="Y787" s="282"/>
      <c r="Z787" s="282"/>
      <c r="AA787" s="282"/>
      <c r="AB787" s="282"/>
      <c r="AC787" s="282"/>
      <c r="AD787" s="282"/>
      <c r="AE787" s="282"/>
      <c r="AF787" s="282"/>
      <c r="AG787" s="282"/>
      <c r="AH787" s="281"/>
      <c r="AI787" s="282"/>
      <c r="AJ787" s="282"/>
      <c r="AK787" s="282"/>
      <c r="AL787" s="282"/>
      <c r="AM787" s="282"/>
      <c r="AN787" s="282"/>
      <c r="AO787" s="282"/>
      <c r="AP787" s="282"/>
      <c r="AQ787" s="282"/>
      <c r="AR787" s="282"/>
      <c r="AS787" s="282"/>
      <c r="AT787" s="282"/>
      <c r="AU787" s="282"/>
      <c r="AV787" s="282"/>
      <c r="AW787" s="282"/>
      <c r="AX787" s="282"/>
      <c r="AY787" s="282"/>
      <c r="AZ787" s="282"/>
      <c r="BA787" s="282"/>
    </row>
    <row r="788" spans="1:53">
      <c r="A788" s="282"/>
      <c r="B788" s="282"/>
      <c r="C788" s="282"/>
      <c r="D788" s="282"/>
      <c r="E788" s="282"/>
      <c r="F788" s="282"/>
      <c r="G788" s="282"/>
      <c r="H788" s="282"/>
      <c r="I788" s="282"/>
      <c r="J788" s="282"/>
      <c r="K788" s="282"/>
      <c r="L788" s="282"/>
      <c r="M788" s="282"/>
      <c r="N788" s="282"/>
      <c r="O788" s="282"/>
      <c r="P788" s="282"/>
      <c r="Q788" s="282"/>
      <c r="R788" s="282"/>
      <c r="S788" s="282"/>
      <c r="T788" s="282"/>
      <c r="U788" s="282"/>
      <c r="V788" s="282"/>
      <c r="W788" s="282"/>
      <c r="X788" s="282"/>
      <c r="Y788" s="282"/>
      <c r="Z788" s="282"/>
      <c r="AA788" s="282"/>
      <c r="AB788" s="282"/>
      <c r="AC788" s="282"/>
      <c r="AD788" s="282"/>
      <c r="AE788" s="282"/>
      <c r="AF788" s="282"/>
      <c r="AG788" s="282"/>
      <c r="AH788" s="281"/>
      <c r="AI788" s="282"/>
      <c r="AJ788" s="282"/>
      <c r="AK788" s="282"/>
      <c r="AL788" s="282"/>
      <c r="AM788" s="282"/>
      <c r="AN788" s="282"/>
      <c r="AO788" s="282"/>
      <c r="AP788" s="282"/>
      <c r="AQ788" s="282"/>
      <c r="AR788" s="282"/>
      <c r="AS788" s="282"/>
      <c r="AT788" s="282"/>
      <c r="AU788" s="282"/>
      <c r="AV788" s="282"/>
      <c r="AW788" s="282"/>
      <c r="AX788" s="282"/>
      <c r="AY788" s="282"/>
      <c r="AZ788" s="282"/>
      <c r="BA788" s="282"/>
    </row>
    <row r="789" spans="1:53">
      <c r="A789" s="282"/>
      <c r="B789" s="282"/>
      <c r="C789" s="282"/>
      <c r="D789" s="282"/>
      <c r="E789" s="282"/>
      <c r="F789" s="282"/>
      <c r="G789" s="282"/>
      <c r="H789" s="282"/>
      <c r="I789" s="282"/>
      <c r="J789" s="282"/>
      <c r="K789" s="282"/>
      <c r="L789" s="282"/>
      <c r="M789" s="282"/>
      <c r="N789" s="282"/>
      <c r="O789" s="282"/>
      <c r="P789" s="282"/>
      <c r="Q789" s="282"/>
      <c r="R789" s="282"/>
      <c r="S789" s="282"/>
      <c r="T789" s="282"/>
      <c r="U789" s="282"/>
      <c r="V789" s="282"/>
      <c r="W789" s="282"/>
      <c r="X789" s="282"/>
      <c r="Y789" s="282"/>
      <c r="Z789" s="282"/>
      <c r="AA789" s="282"/>
      <c r="AB789" s="282"/>
      <c r="AC789" s="282"/>
      <c r="AD789" s="282"/>
      <c r="AE789" s="282"/>
      <c r="AF789" s="282"/>
      <c r="AG789" s="282"/>
      <c r="AH789" s="281"/>
      <c r="AI789" s="282"/>
      <c r="AJ789" s="282"/>
      <c r="AK789" s="282"/>
      <c r="AL789" s="282"/>
      <c r="AM789" s="282"/>
      <c r="AN789" s="282"/>
      <c r="AO789" s="282"/>
      <c r="AP789" s="282"/>
      <c r="AQ789" s="282"/>
      <c r="AR789" s="282"/>
      <c r="AS789" s="282"/>
      <c r="AT789" s="282"/>
      <c r="AU789" s="282"/>
      <c r="AV789" s="282"/>
      <c r="AW789" s="282"/>
      <c r="AX789" s="282"/>
      <c r="AY789" s="282"/>
      <c r="AZ789" s="282"/>
      <c r="BA789" s="282"/>
    </row>
    <row r="790" spans="1:53">
      <c r="A790" s="282"/>
      <c r="B790" s="282"/>
      <c r="C790" s="282"/>
      <c r="D790" s="282"/>
      <c r="E790" s="282"/>
      <c r="F790" s="282"/>
      <c r="G790" s="282"/>
      <c r="H790" s="282"/>
      <c r="I790" s="282"/>
      <c r="J790" s="282"/>
      <c r="K790" s="282"/>
      <c r="L790" s="282"/>
      <c r="M790" s="282"/>
      <c r="N790" s="282"/>
      <c r="O790" s="282"/>
      <c r="P790" s="282"/>
      <c r="Q790" s="282"/>
      <c r="R790" s="282"/>
      <c r="S790" s="282"/>
      <c r="T790" s="282"/>
      <c r="U790" s="282"/>
      <c r="V790" s="282"/>
      <c r="W790" s="282"/>
      <c r="X790" s="282"/>
      <c r="Y790" s="282"/>
      <c r="Z790" s="282"/>
      <c r="AA790" s="282"/>
      <c r="AB790" s="282"/>
      <c r="AC790" s="282"/>
      <c r="AD790" s="282"/>
      <c r="AE790" s="282"/>
      <c r="AF790" s="282"/>
      <c r="AG790" s="282"/>
      <c r="AH790" s="281"/>
      <c r="AI790" s="282"/>
      <c r="AJ790" s="282"/>
      <c r="AK790" s="282"/>
      <c r="AL790" s="282"/>
      <c r="AM790" s="282"/>
      <c r="AN790" s="282"/>
      <c r="AO790" s="282"/>
      <c r="AP790" s="282"/>
      <c r="AQ790" s="282"/>
      <c r="AR790" s="282"/>
      <c r="AS790" s="282"/>
      <c r="AT790" s="282"/>
      <c r="AU790" s="282"/>
      <c r="AV790" s="282"/>
      <c r="AW790" s="282"/>
      <c r="AX790" s="282"/>
      <c r="AY790" s="282"/>
      <c r="AZ790" s="282"/>
      <c r="BA790" s="282"/>
    </row>
    <row r="791" spans="1:53">
      <c r="A791" s="282"/>
      <c r="B791" s="282"/>
      <c r="C791" s="282"/>
      <c r="D791" s="282"/>
      <c r="E791" s="282"/>
      <c r="F791" s="282"/>
      <c r="G791" s="282"/>
      <c r="H791" s="282"/>
      <c r="I791" s="282"/>
      <c r="J791" s="282"/>
      <c r="K791" s="282"/>
      <c r="L791" s="282"/>
      <c r="M791" s="282"/>
      <c r="N791" s="282"/>
      <c r="O791" s="282"/>
      <c r="P791" s="282"/>
      <c r="Q791" s="282"/>
      <c r="R791" s="282"/>
      <c r="S791" s="282"/>
      <c r="T791" s="282"/>
      <c r="U791" s="282"/>
      <c r="V791" s="282"/>
      <c r="W791" s="282"/>
      <c r="X791" s="282"/>
      <c r="Y791" s="282"/>
      <c r="Z791" s="282"/>
      <c r="AA791" s="282"/>
      <c r="AB791" s="282"/>
      <c r="AC791" s="282"/>
      <c r="AD791" s="282"/>
      <c r="AE791" s="282"/>
      <c r="AF791" s="282"/>
      <c r="AG791" s="282"/>
      <c r="AH791" s="281"/>
      <c r="AI791" s="282"/>
      <c r="AJ791" s="282"/>
      <c r="AK791" s="282"/>
      <c r="AL791" s="282"/>
      <c r="AM791" s="282"/>
      <c r="AN791" s="282"/>
      <c r="AO791" s="282"/>
      <c r="AP791" s="282"/>
      <c r="AQ791" s="282"/>
      <c r="AR791" s="282"/>
      <c r="AS791" s="282"/>
      <c r="AT791" s="282"/>
      <c r="AU791" s="282"/>
      <c r="AV791" s="282"/>
      <c r="AW791" s="282"/>
      <c r="AX791" s="282"/>
      <c r="AY791" s="282"/>
      <c r="AZ791" s="282"/>
      <c r="BA791" s="282"/>
    </row>
    <row r="792" spans="1:53">
      <c r="A792" s="282"/>
      <c r="B792" s="282"/>
      <c r="C792" s="282"/>
      <c r="D792" s="282"/>
      <c r="E792" s="282"/>
      <c r="F792" s="282"/>
      <c r="G792" s="282"/>
      <c r="H792" s="282"/>
      <c r="I792" s="282"/>
      <c r="J792" s="282"/>
      <c r="K792" s="282"/>
      <c r="L792" s="282"/>
      <c r="M792" s="282"/>
      <c r="N792" s="282"/>
      <c r="O792" s="282"/>
      <c r="P792" s="282"/>
      <c r="Q792" s="282"/>
      <c r="R792" s="282"/>
      <c r="S792" s="282"/>
      <c r="T792" s="282"/>
      <c r="U792" s="282"/>
      <c r="V792" s="282"/>
      <c r="W792" s="282"/>
      <c r="X792" s="282"/>
      <c r="Y792" s="282"/>
      <c r="Z792" s="282"/>
      <c r="AA792" s="282"/>
      <c r="AB792" s="282"/>
      <c r="AC792" s="282"/>
      <c r="AD792" s="282"/>
      <c r="AE792" s="282"/>
      <c r="AF792" s="282"/>
      <c r="AG792" s="282"/>
      <c r="AH792" s="281"/>
      <c r="AI792" s="282"/>
      <c r="AJ792" s="282"/>
      <c r="AK792" s="282"/>
      <c r="AL792" s="282"/>
      <c r="AM792" s="282"/>
      <c r="AN792" s="282"/>
      <c r="AO792" s="282"/>
      <c r="AP792" s="282"/>
      <c r="AQ792" s="282"/>
      <c r="AR792" s="282"/>
      <c r="AS792" s="282"/>
      <c r="AT792" s="282"/>
      <c r="AU792" s="282"/>
      <c r="AV792" s="282"/>
      <c r="AW792" s="282"/>
      <c r="AX792" s="282"/>
      <c r="AY792" s="282"/>
      <c r="AZ792" s="282"/>
      <c r="BA792" s="282"/>
    </row>
    <row r="793" spans="1:53">
      <c r="A793" s="282"/>
      <c r="B793" s="282"/>
      <c r="C793" s="282"/>
      <c r="D793" s="282"/>
      <c r="E793" s="282"/>
      <c r="F793" s="282"/>
      <c r="G793" s="282"/>
      <c r="H793" s="282"/>
      <c r="I793" s="282"/>
      <c r="J793" s="282"/>
      <c r="K793" s="282"/>
      <c r="L793" s="282"/>
      <c r="M793" s="282"/>
      <c r="N793" s="282"/>
      <c r="O793" s="282"/>
      <c r="P793" s="282"/>
      <c r="Q793" s="282"/>
      <c r="R793" s="282"/>
      <c r="S793" s="282"/>
      <c r="T793" s="282"/>
      <c r="U793" s="282"/>
      <c r="V793" s="282"/>
      <c r="W793" s="282"/>
      <c r="X793" s="282"/>
      <c r="Y793" s="282"/>
      <c r="Z793" s="282"/>
      <c r="AA793" s="282"/>
      <c r="AB793" s="282"/>
      <c r="AC793" s="282"/>
      <c r="AD793" s="282"/>
      <c r="AE793" s="282"/>
      <c r="AF793" s="282"/>
      <c r="AG793" s="282"/>
      <c r="AH793" s="281"/>
      <c r="AI793" s="282"/>
      <c r="AJ793" s="282"/>
      <c r="AK793" s="282"/>
      <c r="AL793" s="282"/>
      <c r="AM793" s="282"/>
      <c r="AN793" s="282"/>
      <c r="AO793" s="282"/>
      <c r="AP793" s="282"/>
      <c r="AQ793" s="282"/>
      <c r="AR793" s="282"/>
      <c r="AS793" s="282"/>
      <c r="AT793" s="282"/>
      <c r="AU793" s="282"/>
      <c r="AV793" s="282"/>
      <c r="AW793" s="282"/>
      <c r="AX793" s="282"/>
      <c r="AY793" s="282"/>
      <c r="AZ793" s="282"/>
      <c r="BA793" s="282"/>
    </row>
    <row r="794" spans="1:53">
      <c r="A794" s="282"/>
      <c r="B794" s="282"/>
      <c r="C794" s="282"/>
      <c r="D794" s="282"/>
      <c r="E794" s="282"/>
      <c r="F794" s="282"/>
      <c r="G794" s="282"/>
      <c r="H794" s="282"/>
      <c r="I794" s="282"/>
      <c r="J794" s="282"/>
      <c r="K794" s="282"/>
      <c r="L794" s="282"/>
      <c r="M794" s="282"/>
      <c r="N794" s="282"/>
      <c r="O794" s="282"/>
      <c r="P794" s="282"/>
      <c r="Q794" s="282"/>
      <c r="R794" s="282"/>
      <c r="S794" s="282"/>
      <c r="T794" s="282"/>
      <c r="U794" s="282"/>
      <c r="V794" s="282"/>
      <c r="W794" s="282"/>
      <c r="X794" s="282"/>
      <c r="Y794" s="282"/>
      <c r="Z794" s="282"/>
      <c r="AA794" s="282"/>
      <c r="AB794" s="282"/>
      <c r="AC794" s="282"/>
      <c r="AD794" s="282"/>
      <c r="AE794" s="282"/>
      <c r="AF794" s="282"/>
      <c r="AG794" s="282"/>
      <c r="AH794" s="281"/>
      <c r="AI794" s="282"/>
      <c r="AJ794" s="282"/>
      <c r="AK794" s="282"/>
      <c r="AL794" s="282"/>
      <c r="AM794" s="282"/>
      <c r="AN794" s="282"/>
      <c r="AO794" s="282"/>
      <c r="AP794" s="282"/>
      <c r="AQ794" s="282"/>
      <c r="AR794" s="282"/>
      <c r="AS794" s="282"/>
      <c r="AT794" s="282"/>
      <c r="AU794" s="282"/>
      <c r="AV794" s="282"/>
      <c r="AW794" s="282"/>
      <c r="AX794" s="282"/>
      <c r="AY794" s="282"/>
      <c r="AZ794" s="282"/>
      <c r="BA794" s="282"/>
    </row>
    <row r="795" spans="1:53">
      <c r="A795" s="282"/>
      <c r="B795" s="282"/>
      <c r="C795" s="282"/>
      <c r="D795" s="282"/>
      <c r="E795" s="282"/>
      <c r="F795" s="282"/>
      <c r="G795" s="282"/>
      <c r="H795" s="282"/>
      <c r="I795" s="282"/>
      <c r="J795" s="282"/>
      <c r="K795" s="282"/>
      <c r="L795" s="282"/>
      <c r="M795" s="282"/>
      <c r="N795" s="282"/>
      <c r="O795" s="282"/>
      <c r="P795" s="282"/>
      <c r="Q795" s="282"/>
      <c r="R795" s="282"/>
      <c r="S795" s="282"/>
      <c r="T795" s="282"/>
      <c r="U795" s="282"/>
      <c r="V795" s="282"/>
      <c r="W795" s="282"/>
      <c r="X795" s="282"/>
      <c r="Y795" s="282"/>
      <c r="Z795" s="282"/>
      <c r="AA795" s="282"/>
      <c r="AB795" s="282"/>
      <c r="AC795" s="282"/>
      <c r="AD795" s="282"/>
      <c r="AE795" s="282"/>
      <c r="AF795" s="282"/>
      <c r="AG795" s="282"/>
      <c r="AH795" s="281"/>
      <c r="AI795" s="282"/>
      <c r="AJ795" s="282"/>
      <c r="AK795" s="282"/>
      <c r="AL795" s="282"/>
      <c r="AM795" s="282"/>
      <c r="AN795" s="282"/>
      <c r="AO795" s="282"/>
      <c r="AP795" s="282"/>
      <c r="AQ795" s="282"/>
      <c r="AR795" s="282"/>
      <c r="AS795" s="282"/>
      <c r="AT795" s="282"/>
      <c r="AU795" s="282"/>
      <c r="AV795" s="282"/>
      <c r="AW795" s="282"/>
      <c r="AX795" s="282"/>
      <c r="AY795" s="282"/>
      <c r="AZ795" s="282"/>
      <c r="BA795" s="282"/>
    </row>
    <row r="796" spans="1:53">
      <c r="A796" s="282"/>
      <c r="B796" s="282"/>
      <c r="C796" s="282"/>
      <c r="D796" s="282"/>
      <c r="E796" s="282"/>
      <c r="F796" s="282"/>
      <c r="G796" s="282"/>
      <c r="H796" s="282"/>
      <c r="I796" s="282"/>
      <c r="J796" s="282"/>
      <c r="K796" s="282"/>
      <c r="L796" s="282"/>
      <c r="M796" s="282"/>
      <c r="N796" s="282"/>
      <c r="O796" s="282"/>
      <c r="P796" s="282"/>
      <c r="Q796" s="282"/>
      <c r="R796" s="282"/>
      <c r="S796" s="282"/>
      <c r="T796" s="282"/>
      <c r="U796" s="282"/>
      <c r="V796" s="282"/>
      <c r="W796" s="282"/>
      <c r="X796" s="282"/>
      <c r="Y796" s="282"/>
      <c r="Z796" s="282"/>
      <c r="AA796" s="282"/>
      <c r="AB796" s="282"/>
      <c r="AC796" s="282"/>
      <c r="AD796" s="282"/>
      <c r="AE796" s="282"/>
      <c r="AF796" s="282"/>
      <c r="AG796" s="282"/>
      <c r="AH796" s="281"/>
      <c r="AI796" s="282"/>
      <c r="AJ796" s="282"/>
      <c r="AK796" s="282"/>
      <c r="AL796" s="282"/>
      <c r="AM796" s="282"/>
      <c r="AN796" s="282"/>
      <c r="AO796" s="282"/>
      <c r="AP796" s="282"/>
      <c r="AQ796" s="282"/>
      <c r="AR796" s="282"/>
      <c r="AS796" s="282"/>
      <c r="AT796" s="282"/>
      <c r="AU796" s="282"/>
      <c r="AV796" s="282"/>
      <c r="AW796" s="282"/>
      <c r="AX796" s="282"/>
      <c r="AY796" s="282"/>
      <c r="AZ796" s="282"/>
      <c r="BA796" s="282"/>
    </row>
    <row r="797" spans="1:53">
      <c r="A797" s="282"/>
      <c r="B797" s="282"/>
      <c r="C797" s="282"/>
      <c r="D797" s="282"/>
      <c r="E797" s="282"/>
      <c r="F797" s="282"/>
      <c r="G797" s="282"/>
      <c r="H797" s="282"/>
      <c r="I797" s="282"/>
      <c r="J797" s="282"/>
      <c r="K797" s="282"/>
      <c r="L797" s="282"/>
      <c r="M797" s="282"/>
      <c r="N797" s="282"/>
      <c r="O797" s="282"/>
      <c r="P797" s="282"/>
      <c r="Q797" s="282"/>
      <c r="R797" s="282"/>
      <c r="S797" s="282"/>
      <c r="T797" s="282"/>
      <c r="U797" s="282"/>
      <c r="V797" s="282"/>
      <c r="W797" s="282"/>
      <c r="X797" s="282"/>
      <c r="Y797" s="282"/>
      <c r="Z797" s="282"/>
      <c r="AA797" s="282"/>
      <c r="AB797" s="282"/>
      <c r="AC797" s="282"/>
      <c r="AD797" s="282"/>
      <c r="AE797" s="282"/>
      <c r="AF797" s="282"/>
      <c r="AG797" s="282"/>
      <c r="AH797" s="281"/>
      <c r="AI797" s="282"/>
      <c r="AJ797" s="282"/>
      <c r="AK797" s="282"/>
      <c r="AL797" s="282"/>
      <c r="AM797" s="282"/>
      <c r="AN797" s="282"/>
      <c r="AO797" s="282"/>
      <c r="AP797" s="282"/>
      <c r="AQ797" s="282"/>
      <c r="AR797" s="282"/>
      <c r="AS797" s="282"/>
      <c r="AT797" s="282"/>
      <c r="AU797" s="282"/>
      <c r="AV797" s="282"/>
      <c r="AW797" s="282"/>
      <c r="AX797" s="282"/>
      <c r="AY797" s="282"/>
      <c r="AZ797" s="282"/>
      <c r="BA797" s="282"/>
    </row>
    <row r="798" spans="1:53">
      <c r="A798" s="282"/>
      <c r="B798" s="282"/>
      <c r="C798" s="282"/>
      <c r="D798" s="282"/>
      <c r="E798" s="282"/>
      <c r="F798" s="282"/>
      <c r="G798" s="282"/>
      <c r="H798" s="282"/>
      <c r="I798" s="282"/>
      <c r="J798" s="282"/>
      <c r="K798" s="282"/>
      <c r="L798" s="282"/>
      <c r="M798" s="282"/>
      <c r="N798" s="282"/>
      <c r="O798" s="282"/>
      <c r="P798" s="282"/>
      <c r="Q798" s="282"/>
      <c r="R798" s="282"/>
      <c r="S798" s="282"/>
      <c r="T798" s="282"/>
      <c r="U798" s="282"/>
      <c r="V798" s="282"/>
      <c r="W798" s="282"/>
      <c r="X798" s="282"/>
      <c r="Y798" s="282"/>
      <c r="Z798" s="282"/>
      <c r="AA798" s="282"/>
      <c r="AB798" s="282"/>
      <c r="AC798" s="282"/>
      <c r="AD798" s="282"/>
      <c r="AE798" s="282"/>
      <c r="AF798" s="282"/>
      <c r="AG798" s="282"/>
      <c r="AH798" s="281"/>
      <c r="AI798" s="282"/>
      <c r="AJ798" s="282"/>
      <c r="AK798" s="282"/>
      <c r="AL798" s="282"/>
      <c r="AM798" s="282"/>
      <c r="AN798" s="282"/>
      <c r="AO798" s="282"/>
      <c r="AP798" s="282"/>
      <c r="AQ798" s="282"/>
      <c r="AR798" s="282"/>
      <c r="AS798" s="282"/>
      <c r="AT798" s="282"/>
      <c r="AU798" s="282"/>
      <c r="AV798" s="282"/>
      <c r="AW798" s="282"/>
      <c r="AX798" s="282"/>
      <c r="AY798" s="282"/>
      <c r="AZ798" s="282"/>
      <c r="BA798" s="282"/>
    </row>
    <row r="799" spans="1:53">
      <c r="A799" s="282"/>
      <c r="B799" s="282"/>
      <c r="C799" s="282"/>
      <c r="D799" s="282"/>
      <c r="E799" s="282"/>
      <c r="F799" s="282"/>
      <c r="G799" s="282"/>
      <c r="H799" s="282"/>
      <c r="I799" s="282"/>
      <c r="J799" s="282"/>
      <c r="K799" s="282"/>
      <c r="L799" s="282"/>
      <c r="M799" s="282"/>
      <c r="N799" s="282"/>
      <c r="O799" s="282"/>
      <c r="P799" s="282"/>
      <c r="Q799" s="282"/>
      <c r="R799" s="282"/>
      <c r="S799" s="282"/>
      <c r="T799" s="282"/>
      <c r="U799" s="282"/>
      <c r="V799" s="282"/>
      <c r="W799" s="282"/>
      <c r="X799" s="282"/>
      <c r="Y799" s="282"/>
      <c r="Z799" s="282"/>
      <c r="AA799" s="282"/>
      <c r="AB799" s="282"/>
      <c r="AC799" s="282"/>
      <c r="AD799" s="282"/>
      <c r="AE799" s="282"/>
      <c r="AF799" s="282"/>
      <c r="AG799" s="282"/>
      <c r="AH799" s="281"/>
      <c r="AI799" s="282"/>
      <c r="AJ799" s="282"/>
      <c r="AK799" s="282"/>
      <c r="AL799" s="282"/>
      <c r="AM799" s="282"/>
      <c r="AN799" s="282"/>
      <c r="AO799" s="282"/>
      <c r="AP799" s="282"/>
      <c r="AQ799" s="282"/>
      <c r="AR799" s="282"/>
      <c r="AS799" s="282"/>
      <c r="AT799" s="282"/>
      <c r="AU799" s="282"/>
      <c r="AV799" s="282"/>
      <c r="AW799" s="282"/>
      <c r="AX799" s="282"/>
      <c r="AY799" s="282"/>
      <c r="AZ799" s="282"/>
      <c r="BA799" s="282"/>
    </row>
    <row r="800" spans="1:53">
      <c r="A800" s="282"/>
      <c r="B800" s="282"/>
      <c r="C800" s="282"/>
      <c r="D800" s="282"/>
      <c r="E800" s="282"/>
      <c r="F800" s="282"/>
      <c r="G800" s="282"/>
      <c r="H800" s="282"/>
      <c r="I800" s="282"/>
      <c r="J800" s="282"/>
      <c r="K800" s="282"/>
      <c r="L800" s="282"/>
      <c r="M800" s="282"/>
      <c r="N800" s="282"/>
      <c r="O800" s="282"/>
      <c r="P800" s="282"/>
      <c r="Q800" s="282"/>
      <c r="R800" s="282"/>
      <c r="S800" s="282"/>
      <c r="T800" s="282"/>
      <c r="U800" s="282"/>
      <c r="V800" s="282"/>
      <c r="W800" s="282"/>
      <c r="X800" s="282"/>
      <c r="Y800" s="282"/>
      <c r="Z800" s="282"/>
      <c r="AA800" s="282"/>
      <c r="AB800" s="282"/>
      <c r="AC800" s="282"/>
      <c r="AD800" s="282"/>
      <c r="AE800" s="282"/>
      <c r="AF800" s="282"/>
      <c r="AG800" s="282"/>
      <c r="AH800" s="281"/>
      <c r="AI800" s="282"/>
      <c r="AJ800" s="282"/>
      <c r="AK800" s="282"/>
      <c r="AL800" s="282"/>
      <c r="AM800" s="282"/>
      <c r="AN800" s="282"/>
      <c r="AO800" s="282"/>
      <c r="AP800" s="282"/>
      <c r="AQ800" s="282"/>
      <c r="AR800" s="282"/>
      <c r="AS800" s="282"/>
      <c r="AT800" s="282"/>
      <c r="AU800" s="282"/>
      <c r="AV800" s="282"/>
      <c r="AW800" s="282"/>
      <c r="AX800" s="282"/>
      <c r="AY800" s="282"/>
      <c r="AZ800" s="282"/>
      <c r="BA800" s="282"/>
    </row>
    <row r="801" spans="1:53">
      <c r="A801" s="282"/>
      <c r="B801" s="282"/>
      <c r="C801" s="282"/>
      <c r="D801" s="282"/>
      <c r="E801" s="282"/>
      <c r="F801" s="282"/>
      <c r="G801" s="282"/>
      <c r="H801" s="282"/>
      <c r="I801" s="282"/>
      <c r="J801" s="282"/>
      <c r="K801" s="282"/>
      <c r="L801" s="282"/>
      <c r="M801" s="282"/>
      <c r="N801" s="282"/>
      <c r="O801" s="282"/>
      <c r="P801" s="282"/>
      <c r="Q801" s="282"/>
      <c r="R801" s="282"/>
      <c r="S801" s="282"/>
      <c r="T801" s="282"/>
      <c r="U801" s="282"/>
      <c r="V801" s="282"/>
      <c r="W801" s="282"/>
      <c r="X801" s="282"/>
      <c r="Y801" s="282"/>
      <c r="Z801" s="282"/>
      <c r="AA801" s="282"/>
      <c r="AB801" s="282"/>
      <c r="AC801" s="282"/>
      <c r="AD801" s="282"/>
      <c r="AE801" s="282"/>
      <c r="AF801" s="282"/>
      <c r="AG801" s="282"/>
      <c r="AH801" s="281"/>
      <c r="AI801" s="282"/>
      <c r="AJ801" s="282"/>
      <c r="AK801" s="282"/>
      <c r="AL801" s="282"/>
      <c r="AM801" s="282"/>
      <c r="AN801" s="282"/>
      <c r="AO801" s="282"/>
      <c r="AP801" s="282"/>
      <c r="AQ801" s="282"/>
      <c r="AR801" s="282"/>
      <c r="AS801" s="282"/>
      <c r="AT801" s="282"/>
      <c r="AU801" s="282"/>
      <c r="AV801" s="282"/>
      <c r="AW801" s="282"/>
      <c r="AX801" s="282"/>
      <c r="AY801" s="282"/>
      <c r="AZ801" s="282"/>
      <c r="BA801" s="282"/>
    </row>
    <row r="802" spans="1:53">
      <c r="A802" s="282"/>
      <c r="B802" s="282"/>
      <c r="C802" s="282"/>
      <c r="D802" s="282"/>
      <c r="E802" s="282"/>
      <c r="F802" s="282"/>
      <c r="G802" s="282"/>
      <c r="H802" s="282"/>
      <c r="I802" s="282"/>
      <c r="J802" s="282"/>
      <c r="K802" s="282"/>
      <c r="L802" s="282"/>
      <c r="M802" s="282"/>
      <c r="N802" s="282"/>
      <c r="O802" s="282"/>
      <c r="P802" s="282"/>
      <c r="Q802" s="282"/>
      <c r="R802" s="282"/>
      <c r="S802" s="282"/>
      <c r="T802" s="282"/>
      <c r="U802" s="282"/>
      <c r="V802" s="282"/>
      <c r="W802" s="282"/>
      <c r="X802" s="282"/>
      <c r="Y802" s="282"/>
      <c r="Z802" s="282"/>
      <c r="AA802" s="282"/>
      <c r="AB802" s="282"/>
      <c r="AC802" s="282"/>
      <c r="AD802" s="282"/>
      <c r="AE802" s="282"/>
      <c r="AF802" s="282"/>
      <c r="AG802" s="282"/>
      <c r="AH802" s="281"/>
      <c r="AI802" s="282"/>
      <c r="AJ802" s="282"/>
      <c r="AK802" s="282"/>
      <c r="AL802" s="282"/>
      <c r="AM802" s="282"/>
      <c r="AN802" s="282"/>
      <c r="AO802" s="282"/>
      <c r="AP802" s="282"/>
      <c r="AQ802" s="282"/>
      <c r="AR802" s="282"/>
      <c r="AS802" s="282"/>
      <c r="AT802" s="282"/>
      <c r="AU802" s="282"/>
      <c r="AV802" s="282"/>
      <c r="AW802" s="282"/>
      <c r="AX802" s="282"/>
      <c r="AY802" s="282"/>
      <c r="AZ802" s="282"/>
      <c r="BA802" s="282"/>
    </row>
    <row r="803" spans="1:53">
      <c r="A803" s="282"/>
      <c r="B803" s="282"/>
      <c r="C803" s="282"/>
      <c r="D803" s="282"/>
      <c r="E803" s="282"/>
      <c r="F803" s="282"/>
      <c r="G803" s="282"/>
      <c r="H803" s="282"/>
      <c r="I803" s="282"/>
      <c r="J803" s="282"/>
      <c r="K803" s="282"/>
      <c r="L803" s="282"/>
      <c r="M803" s="282"/>
      <c r="N803" s="282"/>
      <c r="O803" s="282"/>
      <c r="P803" s="282"/>
      <c r="Q803" s="282"/>
      <c r="R803" s="282"/>
      <c r="S803" s="282"/>
      <c r="T803" s="282"/>
      <c r="U803" s="282"/>
      <c r="V803" s="282"/>
      <c r="W803" s="282"/>
      <c r="X803" s="282"/>
      <c r="Y803" s="282"/>
      <c r="Z803" s="282"/>
      <c r="AA803" s="282"/>
      <c r="AB803" s="282"/>
      <c r="AC803" s="282"/>
      <c r="AD803" s="282"/>
      <c r="AE803" s="282"/>
      <c r="AF803" s="282"/>
      <c r="AG803" s="282"/>
      <c r="AH803" s="281"/>
      <c r="AI803" s="282"/>
      <c r="AJ803" s="282"/>
      <c r="AK803" s="282"/>
      <c r="AL803" s="282"/>
      <c r="AM803" s="282"/>
      <c r="AN803" s="282"/>
      <c r="AO803" s="282"/>
      <c r="AP803" s="282"/>
      <c r="AQ803" s="282"/>
      <c r="AR803" s="282"/>
      <c r="AS803" s="282"/>
      <c r="AT803" s="282"/>
      <c r="AU803" s="282"/>
      <c r="AV803" s="282"/>
      <c r="AW803" s="282"/>
      <c r="AX803" s="282"/>
      <c r="AY803" s="282"/>
      <c r="AZ803" s="282"/>
      <c r="BA803" s="282"/>
    </row>
    <row r="804" spans="1:53">
      <c r="A804" s="282"/>
      <c r="B804" s="282"/>
      <c r="C804" s="282"/>
      <c r="D804" s="282"/>
      <c r="E804" s="282"/>
      <c r="F804" s="282"/>
      <c r="G804" s="282"/>
      <c r="H804" s="282"/>
      <c r="I804" s="282"/>
      <c r="J804" s="282"/>
      <c r="K804" s="282"/>
      <c r="L804" s="282"/>
      <c r="M804" s="282"/>
      <c r="N804" s="282"/>
      <c r="O804" s="282"/>
      <c r="P804" s="282"/>
      <c r="Q804" s="282"/>
      <c r="R804" s="282"/>
      <c r="S804" s="282"/>
      <c r="T804" s="282"/>
      <c r="U804" s="282"/>
      <c r="V804" s="282"/>
      <c r="W804" s="282"/>
      <c r="X804" s="282"/>
      <c r="Y804" s="282"/>
      <c r="Z804" s="282"/>
      <c r="AA804" s="282"/>
      <c r="AB804" s="282"/>
      <c r="AC804" s="282"/>
      <c r="AD804" s="282"/>
      <c r="AE804" s="282"/>
      <c r="AF804" s="282"/>
      <c r="AG804" s="282"/>
      <c r="AH804" s="281"/>
      <c r="AI804" s="282"/>
      <c r="AJ804" s="282"/>
      <c r="AK804" s="282"/>
      <c r="AL804" s="282"/>
      <c r="AM804" s="282"/>
      <c r="AN804" s="282"/>
      <c r="AO804" s="282"/>
      <c r="AP804" s="282"/>
      <c r="AQ804" s="282"/>
      <c r="AR804" s="282"/>
      <c r="AS804" s="282"/>
      <c r="AT804" s="282"/>
      <c r="AU804" s="282"/>
      <c r="AV804" s="282"/>
      <c r="AW804" s="282"/>
      <c r="AX804" s="282"/>
      <c r="AY804" s="282"/>
      <c r="AZ804" s="282"/>
      <c r="BA804" s="282"/>
    </row>
    <row r="805" spans="1:53">
      <c r="A805" s="282"/>
      <c r="B805" s="282"/>
      <c r="C805" s="282"/>
      <c r="D805" s="282"/>
      <c r="E805" s="282"/>
      <c r="F805" s="282"/>
      <c r="G805" s="282"/>
      <c r="H805" s="282"/>
      <c r="I805" s="282"/>
      <c r="J805" s="282"/>
      <c r="K805" s="282"/>
      <c r="L805" s="282"/>
      <c r="M805" s="282"/>
      <c r="N805" s="282"/>
      <c r="O805" s="282"/>
      <c r="P805" s="282"/>
      <c r="Q805" s="282"/>
      <c r="R805" s="282"/>
      <c r="S805" s="282"/>
      <c r="T805" s="282"/>
      <c r="U805" s="282"/>
      <c r="V805" s="282"/>
      <c r="W805" s="282"/>
      <c r="X805" s="282"/>
      <c r="Y805" s="282"/>
      <c r="Z805" s="282"/>
      <c r="AA805" s="282"/>
      <c r="AB805" s="282"/>
      <c r="AC805" s="282"/>
      <c r="AD805" s="282"/>
      <c r="AE805" s="282"/>
      <c r="AF805" s="282"/>
      <c r="AG805" s="282"/>
      <c r="AH805" s="281"/>
      <c r="AI805" s="282"/>
      <c r="AJ805" s="282"/>
      <c r="AK805" s="282"/>
      <c r="AL805" s="282"/>
      <c r="AM805" s="282"/>
      <c r="AN805" s="282"/>
      <c r="AO805" s="282"/>
      <c r="AP805" s="282"/>
      <c r="AQ805" s="282"/>
      <c r="AR805" s="282"/>
      <c r="AS805" s="282"/>
      <c r="AT805" s="282"/>
      <c r="AU805" s="282"/>
      <c r="AV805" s="282"/>
      <c r="AW805" s="282"/>
      <c r="AX805" s="282"/>
      <c r="AY805" s="282"/>
      <c r="AZ805" s="282"/>
      <c r="BA805" s="282"/>
    </row>
    <row r="806" spans="1:53">
      <c r="A806" s="282"/>
      <c r="B806" s="282"/>
      <c r="C806" s="282"/>
      <c r="D806" s="282"/>
      <c r="E806" s="282"/>
      <c r="F806" s="282"/>
      <c r="G806" s="282"/>
      <c r="H806" s="282"/>
      <c r="I806" s="282"/>
      <c r="J806" s="282"/>
      <c r="K806" s="282"/>
      <c r="L806" s="282"/>
      <c r="M806" s="282"/>
      <c r="N806" s="282"/>
      <c r="O806" s="282"/>
      <c r="P806" s="282"/>
      <c r="Q806" s="282"/>
      <c r="R806" s="282"/>
      <c r="S806" s="282"/>
      <c r="T806" s="282"/>
      <c r="U806" s="282"/>
      <c r="V806" s="282"/>
      <c r="W806" s="282"/>
      <c r="X806" s="282"/>
      <c r="Y806" s="282"/>
      <c r="Z806" s="282"/>
      <c r="AA806" s="282"/>
      <c r="AB806" s="282"/>
      <c r="AC806" s="282"/>
      <c r="AD806" s="282"/>
      <c r="AE806" s="282"/>
      <c r="AF806" s="282"/>
      <c r="AG806" s="282"/>
      <c r="AH806" s="281"/>
      <c r="AI806" s="282"/>
      <c r="AJ806" s="282"/>
      <c r="AK806" s="282"/>
      <c r="AL806" s="282"/>
      <c r="AM806" s="282"/>
      <c r="AN806" s="282"/>
      <c r="AO806" s="282"/>
      <c r="AP806" s="282"/>
      <c r="AQ806" s="282"/>
      <c r="AR806" s="282"/>
      <c r="AS806" s="282"/>
      <c r="AT806" s="282"/>
      <c r="AU806" s="282"/>
      <c r="AV806" s="282"/>
      <c r="AW806" s="282"/>
      <c r="AX806" s="282"/>
      <c r="AY806" s="282"/>
      <c r="AZ806" s="282"/>
      <c r="BA806" s="282"/>
    </row>
    <row r="807" spans="1:53">
      <c r="A807" s="282"/>
      <c r="B807" s="282"/>
      <c r="C807" s="282"/>
      <c r="D807" s="282"/>
      <c r="E807" s="282"/>
      <c r="F807" s="282"/>
      <c r="G807" s="282"/>
      <c r="H807" s="282"/>
      <c r="I807" s="282"/>
      <c r="J807" s="282"/>
      <c r="K807" s="282"/>
      <c r="L807" s="282"/>
      <c r="M807" s="282"/>
      <c r="N807" s="282"/>
      <c r="O807" s="282"/>
      <c r="P807" s="282"/>
      <c r="Q807" s="282"/>
      <c r="R807" s="282"/>
      <c r="S807" s="282"/>
      <c r="T807" s="282"/>
      <c r="U807" s="282"/>
      <c r="V807" s="282"/>
      <c r="W807" s="282"/>
      <c r="X807" s="282"/>
      <c r="Y807" s="282"/>
      <c r="Z807" s="282"/>
      <c r="AA807" s="282"/>
      <c r="AB807" s="282"/>
      <c r="AC807" s="282"/>
      <c r="AD807" s="282"/>
      <c r="AE807" s="282"/>
      <c r="AF807" s="282"/>
      <c r="AG807" s="282"/>
      <c r="AH807" s="281"/>
      <c r="AI807" s="282"/>
      <c r="AJ807" s="282"/>
      <c r="AK807" s="282"/>
      <c r="AL807" s="282"/>
      <c r="AM807" s="282"/>
      <c r="AN807" s="282"/>
      <c r="AO807" s="282"/>
      <c r="AP807" s="282"/>
      <c r="AQ807" s="282"/>
      <c r="AR807" s="282"/>
      <c r="AS807" s="282"/>
      <c r="AT807" s="282"/>
      <c r="AU807" s="282"/>
      <c r="AV807" s="282"/>
      <c r="AW807" s="282"/>
      <c r="AX807" s="282"/>
      <c r="AY807" s="282"/>
      <c r="AZ807" s="282"/>
      <c r="BA807" s="282"/>
    </row>
    <row r="808" spans="1:53">
      <c r="A808" s="282"/>
      <c r="B808" s="282"/>
      <c r="C808" s="282"/>
      <c r="D808" s="282"/>
      <c r="E808" s="282"/>
      <c r="F808" s="282"/>
      <c r="G808" s="282"/>
      <c r="H808" s="282"/>
      <c r="I808" s="282"/>
      <c r="J808" s="282"/>
      <c r="K808" s="282"/>
      <c r="L808" s="282"/>
      <c r="M808" s="282"/>
      <c r="N808" s="282"/>
      <c r="O808" s="282"/>
      <c r="P808" s="282"/>
      <c r="Q808" s="282"/>
      <c r="R808" s="282"/>
      <c r="S808" s="282"/>
      <c r="T808" s="282"/>
      <c r="U808" s="282"/>
      <c r="V808" s="282"/>
      <c r="W808" s="282"/>
      <c r="X808" s="282"/>
      <c r="Y808" s="282"/>
      <c r="Z808" s="282"/>
      <c r="AA808" s="282"/>
      <c r="AB808" s="282"/>
      <c r="AC808" s="282"/>
      <c r="AD808" s="282"/>
      <c r="AE808" s="282"/>
      <c r="AF808" s="282"/>
      <c r="AG808" s="282"/>
      <c r="AH808" s="281"/>
      <c r="AI808" s="282"/>
      <c r="AJ808" s="282"/>
      <c r="AK808" s="282"/>
      <c r="AL808" s="282"/>
      <c r="AM808" s="282"/>
      <c r="AN808" s="282"/>
      <c r="AO808" s="282"/>
      <c r="AP808" s="282"/>
      <c r="AQ808" s="282"/>
      <c r="AR808" s="282"/>
      <c r="AS808" s="282"/>
      <c r="AT808" s="282"/>
      <c r="AU808" s="282"/>
      <c r="AV808" s="282"/>
      <c r="AW808" s="282"/>
      <c r="AX808" s="282"/>
      <c r="AY808" s="282"/>
      <c r="AZ808" s="282"/>
      <c r="BA808" s="282"/>
    </row>
    <row r="809" spans="1:53">
      <c r="A809" s="282"/>
      <c r="B809" s="282"/>
      <c r="C809" s="282"/>
      <c r="D809" s="282"/>
      <c r="E809" s="282"/>
      <c r="F809" s="282"/>
      <c r="G809" s="282"/>
      <c r="H809" s="282"/>
      <c r="I809" s="282"/>
      <c r="J809" s="282"/>
      <c r="K809" s="282"/>
      <c r="L809" s="282"/>
      <c r="M809" s="282"/>
      <c r="N809" s="282"/>
      <c r="O809" s="282"/>
      <c r="P809" s="282"/>
      <c r="Q809" s="282"/>
      <c r="R809" s="282"/>
      <c r="S809" s="282"/>
      <c r="T809" s="282"/>
      <c r="U809" s="282"/>
      <c r="V809" s="282"/>
      <c r="W809" s="282"/>
      <c r="X809" s="282"/>
      <c r="Y809" s="282"/>
      <c r="Z809" s="282"/>
      <c r="AA809" s="282"/>
      <c r="AB809" s="282"/>
      <c r="AC809" s="282"/>
      <c r="AD809" s="282"/>
      <c r="AE809" s="282"/>
      <c r="AF809" s="282"/>
      <c r="AG809" s="282"/>
      <c r="AH809" s="281"/>
      <c r="AI809" s="282"/>
      <c r="AJ809" s="282"/>
      <c r="AK809" s="282"/>
      <c r="AL809" s="282"/>
      <c r="AM809" s="282"/>
      <c r="AN809" s="282"/>
      <c r="AO809" s="282"/>
      <c r="AP809" s="282"/>
      <c r="AQ809" s="282"/>
      <c r="AR809" s="282"/>
      <c r="AS809" s="282"/>
      <c r="AT809" s="282"/>
      <c r="AU809" s="282"/>
      <c r="AV809" s="282"/>
      <c r="AW809" s="282"/>
      <c r="AX809" s="282"/>
      <c r="AY809" s="282"/>
      <c r="AZ809" s="282"/>
      <c r="BA809" s="282"/>
    </row>
    <row r="810" spans="1:53">
      <c r="A810" s="282"/>
      <c r="B810" s="282"/>
      <c r="C810" s="282"/>
      <c r="D810" s="282"/>
      <c r="E810" s="282"/>
      <c r="F810" s="282"/>
      <c r="G810" s="282"/>
      <c r="H810" s="282"/>
      <c r="I810" s="282"/>
      <c r="J810" s="282"/>
      <c r="K810" s="282"/>
      <c r="L810" s="282"/>
      <c r="M810" s="282"/>
      <c r="N810" s="282"/>
      <c r="O810" s="282"/>
      <c r="P810" s="282"/>
      <c r="Q810" s="282"/>
      <c r="R810" s="282"/>
      <c r="S810" s="282"/>
      <c r="T810" s="282"/>
      <c r="U810" s="282"/>
      <c r="V810" s="282"/>
      <c r="W810" s="282"/>
      <c r="X810" s="282"/>
      <c r="Y810" s="282"/>
      <c r="Z810" s="282"/>
      <c r="AA810" s="282"/>
      <c r="AB810" s="282"/>
      <c r="AC810" s="282"/>
      <c r="AD810" s="282"/>
      <c r="AE810" s="282"/>
      <c r="AF810" s="282"/>
      <c r="AG810" s="282"/>
      <c r="AH810" s="281"/>
      <c r="AI810" s="282"/>
      <c r="AJ810" s="282"/>
      <c r="AK810" s="282"/>
      <c r="AL810" s="282"/>
      <c r="AM810" s="282"/>
      <c r="AN810" s="282"/>
      <c r="AO810" s="282"/>
      <c r="AP810" s="282"/>
      <c r="AQ810" s="282"/>
      <c r="AR810" s="282"/>
      <c r="AS810" s="282"/>
      <c r="AT810" s="282"/>
      <c r="AU810" s="282"/>
      <c r="AV810" s="282"/>
      <c r="AW810" s="282"/>
      <c r="AX810" s="282"/>
      <c r="AY810" s="282"/>
      <c r="AZ810" s="282"/>
      <c r="BA810" s="282"/>
    </row>
    <row r="811" spans="1:53">
      <c r="A811" s="282"/>
      <c r="B811" s="282"/>
      <c r="C811" s="282"/>
      <c r="D811" s="282"/>
      <c r="E811" s="282"/>
      <c r="F811" s="282"/>
      <c r="G811" s="282"/>
      <c r="H811" s="282"/>
      <c r="I811" s="282"/>
      <c r="J811" s="282"/>
      <c r="K811" s="282"/>
      <c r="L811" s="282"/>
      <c r="M811" s="282"/>
      <c r="N811" s="282"/>
      <c r="O811" s="282"/>
      <c r="P811" s="282"/>
      <c r="Q811" s="282"/>
      <c r="R811" s="282"/>
      <c r="S811" s="282"/>
      <c r="T811" s="282"/>
      <c r="U811" s="282"/>
      <c r="V811" s="282"/>
      <c r="W811" s="282"/>
      <c r="X811" s="282"/>
      <c r="Y811" s="282"/>
      <c r="Z811" s="282"/>
      <c r="AA811" s="282"/>
      <c r="AB811" s="282"/>
      <c r="AC811" s="282"/>
      <c r="AD811" s="282"/>
      <c r="AE811" s="282"/>
      <c r="AF811" s="282"/>
      <c r="AG811" s="282"/>
      <c r="AH811" s="281"/>
      <c r="AI811" s="282"/>
      <c r="AJ811" s="282"/>
      <c r="AK811" s="282"/>
      <c r="AL811" s="282"/>
      <c r="AM811" s="282"/>
      <c r="AN811" s="282"/>
      <c r="AO811" s="282"/>
      <c r="AP811" s="282"/>
      <c r="AQ811" s="282"/>
      <c r="AR811" s="282"/>
      <c r="AS811" s="282"/>
      <c r="AT811" s="282"/>
      <c r="AU811" s="282"/>
      <c r="AV811" s="282"/>
      <c r="AW811" s="282"/>
      <c r="AX811" s="282"/>
      <c r="AY811" s="282"/>
      <c r="AZ811" s="282"/>
      <c r="BA811" s="282"/>
    </row>
    <row r="812" spans="1:53">
      <c r="A812" s="282"/>
      <c r="B812" s="282"/>
      <c r="C812" s="282"/>
      <c r="D812" s="282"/>
      <c r="E812" s="282"/>
      <c r="F812" s="282"/>
      <c r="G812" s="282"/>
      <c r="H812" s="282"/>
      <c r="I812" s="282"/>
      <c r="J812" s="282"/>
      <c r="K812" s="282"/>
      <c r="L812" s="282"/>
      <c r="M812" s="282"/>
      <c r="N812" s="282"/>
      <c r="O812" s="282"/>
      <c r="P812" s="282"/>
      <c r="Q812" s="282"/>
      <c r="R812" s="282"/>
      <c r="S812" s="282"/>
      <c r="T812" s="282"/>
      <c r="U812" s="282"/>
      <c r="V812" s="282"/>
      <c r="W812" s="282"/>
      <c r="X812" s="282"/>
      <c r="Y812" s="282"/>
      <c r="Z812" s="282"/>
      <c r="AA812" s="282"/>
      <c r="AB812" s="282"/>
      <c r="AC812" s="282"/>
      <c r="AD812" s="282"/>
      <c r="AE812" s="282"/>
      <c r="AF812" s="282"/>
      <c r="AG812" s="282"/>
      <c r="AH812" s="281"/>
      <c r="AI812" s="282"/>
      <c r="AJ812" s="282"/>
      <c r="AK812" s="282"/>
      <c r="AL812" s="282"/>
      <c r="AM812" s="282"/>
      <c r="AN812" s="282"/>
      <c r="AO812" s="282"/>
      <c r="AP812" s="282"/>
      <c r="AQ812" s="282"/>
      <c r="AR812" s="282"/>
      <c r="AS812" s="282"/>
      <c r="AT812" s="282"/>
      <c r="AU812" s="282"/>
      <c r="AV812" s="282"/>
      <c r="AW812" s="282"/>
      <c r="AX812" s="282"/>
      <c r="AY812" s="282"/>
      <c r="AZ812" s="282"/>
      <c r="BA812" s="282"/>
    </row>
    <row r="813" spans="1:53">
      <c r="A813" s="282"/>
      <c r="B813" s="282"/>
      <c r="C813" s="282"/>
      <c r="D813" s="282"/>
      <c r="E813" s="282"/>
      <c r="F813" s="282"/>
      <c r="G813" s="282"/>
      <c r="H813" s="282"/>
      <c r="I813" s="282"/>
      <c r="J813" s="282"/>
      <c r="K813" s="282"/>
      <c r="L813" s="282"/>
      <c r="M813" s="282"/>
      <c r="N813" s="282"/>
      <c r="O813" s="282"/>
      <c r="P813" s="282"/>
      <c r="Q813" s="282"/>
      <c r="R813" s="282"/>
      <c r="S813" s="282"/>
      <c r="T813" s="282"/>
      <c r="U813" s="282"/>
      <c r="V813" s="282"/>
      <c r="W813" s="282"/>
      <c r="X813" s="282"/>
      <c r="Y813" s="282"/>
      <c r="Z813" s="282"/>
      <c r="AA813" s="282"/>
      <c r="AB813" s="282"/>
      <c r="AC813" s="282"/>
      <c r="AD813" s="282"/>
      <c r="AE813" s="282"/>
      <c r="AF813" s="282"/>
      <c r="AG813" s="282"/>
      <c r="AH813" s="281"/>
      <c r="AI813" s="282"/>
      <c r="AJ813" s="282"/>
      <c r="AK813" s="282"/>
      <c r="AL813" s="282"/>
      <c r="AM813" s="282"/>
      <c r="AN813" s="282"/>
      <c r="AO813" s="282"/>
      <c r="AP813" s="282"/>
      <c r="AQ813" s="282"/>
      <c r="AR813" s="282"/>
      <c r="AS813" s="282"/>
      <c r="AT813" s="282"/>
      <c r="AU813" s="282"/>
      <c r="AV813" s="282"/>
      <c r="AW813" s="282"/>
      <c r="AX813" s="282"/>
      <c r="AY813" s="282"/>
      <c r="AZ813" s="282"/>
      <c r="BA813" s="282"/>
    </row>
    <row r="814" spans="1:53">
      <c r="A814" s="282"/>
      <c r="B814" s="282"/>
      <c r="C814" s="282"/>
      <c r="D814" s="282"/>
      <c r="E814" s="282"/>
      <c r="F814" s="282"/>
      <c r="G814" s="282"/>
      <c r="H814" s="282"/>
      <c r="I814" s="282"/>
      <c r="J814" s="282"/>
      <c r="K814" s="282"/>
      <c r="L814" s="282"/>
      <c r="M814" s="282"/>
      <c r="N814" s="282"/>
      <c r="O814" s="282"/>
      <c r="P814" s="282"/>
      <c r="Q814" s="282"/>
      <c r="R814" s="282"/>
      <c r="S814" s="282"/>
      <c r="T814" s="282"/>
      <c r="U814" s="282"/>
      <c r="V814" s="282"/>
      <c r="W814" s="282"/>
      <c r="X814" s="282"/>
      <c r="Y814" s="282"/>
      <c r="Z814" s="282"/>
      <c r="AA814" s="282"/>
      <c r="AB814" s="282"/>
      <c r="AC814" s="282"/>
      <c r="AD814" s="282"/>
      <c r="AE814" s="282"/>
      <c r="AF814" s="282"/>
      <c r="AG814" s="282"/>
      <c r="AH814" s="281"/>
      <c r="AI814" s="282"/>
      <c r="AJ814" s="282"/>
      <c r="AK814" s="282"/>
      <c r="AL814" s="282"/>
      <c r="AM814" s="282"/>
      <c r="AN814" s="282"/>
      <c r="AO814" s="282"/>
      <c r="AP814" s="282"/>
      <c r="AQ814" s="282"/>
      <c r="AR814" s="282"/>
      <c r="AS814" s="282"/>
      <c r="AT814" s="282"/>
      <c r="AU814" s="282"/>
      <c r="AV814" s="282"/>
      <c r="AW814" s="282"/>
      <c r="AX814" s="282"/>
      <c r="AY814" s="282"/>
      <c r="AZ814" s="282"/>
      <c r="BA814" s="282"/>
    </row>
    <row r="815" spans="1:53">
      <c r="A815" s="282"/>
      <c r="B815" s="282"/>
      <c r="C815" s="282"/>
      <c r="D815" s="282"/>
      <c r="E815" s="282"/>
      <c r="F815" s="282"/>
      <c r="G815" s="282"/>
      <c r="H815" s="282"/>
      <c r="I815" s="282"/>
      <c r="J815" s="282"/>
      <c r="K815" s="282"/>
      <c r="L815" s="282"/>
      <c r="M815" s="282"/>
      <c r="N815" s="282"/>
      <c r="O815" s="282"/>
      <c r="P815" s="282"/>
      <c r="Q815" s="282"/>
      <c r="R815" s="282"/>
      <c r="S815" s="282"/>
      <c r="T815" s="282"/>
      <c r="U815" s="282"/>
      <c r="V815" s="282"/>
      <c r="W815" s="282"/>
      <c r="X815" s="282"/>
      <c r="Y815" s="282"/>
      <c r="Z815" s="282"/>
      <c r="AA815" s="282"/>
      <c r="AB815" s="282"/>
      <c r="AC815" s="282"/>
      <c r="AD815" s="282"/>
      <c r="AE815" s="282"/>
      <c r="AF815" s="282"/>
      <c r="AG815" s="282"/>
      <c r="AH815" s="281"/>
      <c r="AI815" s="282"/>
      <c r="AJ815" s="282"/>
      <c r="AK815" s="282"/>
      <c r="AL815" s="282"/>
      <c r="AM815" s="282"/>
      <c r="AN815" s="282"/>
      <c r="AO815" s="282"/>
      <c r="AP815" s="282"/>
      <c r="AQ815" s="282"/>
      <c r="AR815" s="282"/>
      <c r="AS815" s="282"/>
      <c r="AT815" s="282"/>
      <c r="AU815" s="282"/>
      <c r="AV815" s="282"/>
      <c r="AW815" s="282"/>
      <c r="AX815" s="282"/>
      <c r="AY815" s="282"/>
      <c r="AZ815" s="282"/>
      <c r="BA815" s="282"/>
    </row>
    <row r="816" spans="1:53">
      <c r="A816" s="282"/>
      <c r="B816" s="282"/>
      <c r="C816" s="282"/>
      <c r="D816" s="282"/>
      <c r="E816" s="282"/>
      <c r="F816" s="282"/>
      <c r="G816" s="282"/>
      <c r="H816" s="282"/>
      <c r="I816" s="282"/>
      <c r="J816" s="282"/>
      <c r="K816" s="282"/>
      <c r="L816" s="282"/>
      <c r="M816" s="282"/>
      <c r="N816" s="282"/>
      <c r="O816" s="282"/>
      <c r="P816" s="282"/>
      <c r="Q816" s="282"/>
      <c r="R816" s="282"/>
      <c r="S816" s="282"/>
      <c r="T816" s="282"/>
      <c r="U816" s="282"/>
      <c r="V816" s="282"/>
      <c r="W816" s="282"/>
      <c r="X816" s="282"/>
      <c r="Y816" s="282"/>
      <c r="Z816" s="282"/>
      <c r="AA816" s="282"/>
      <c r="AB816" s="282"/>
      <c r="AC816" s="282"/>
      <c r="AD816" s="282"/>
      <c r="AE816" s="282"/>
      <c r="AF816" s="282"/>
      <c r="AG816" s="282"/>
      <c r="AH816" s="281"/>
      <c r="AI816" s="282"/>
      <c r="AJ816" s="282"/>
      <c r="AK816" s="282"/>
      <c r="AL816" s="282"/>
      <c r="AM816" s="282"/>
      <c r="AN816" s="282"/>
      <c r="AO816" s="282"/>
      <c r="AP816" s="282"/>
      <c r="AQ816" s="282"/>
      <c r="AR816" s="282"/>
      <c r="AS816" s="282"/>
      <c r="AT816" s="282"/>
      <c r="AU816" s="282"/>
      <c r="AV816" s="282"/>
      <c r="AW816" s="282"/>
      <c r="AX816" s="282"/>
      <c r="AY816" s="282"/>
      <c r="AZ816" s="282"/>
      <c r="BA816" s="282"/>
    </row>
    <row r="817" spans="1:53">
      <c r="A817" s="282"/>
      <c r="B817" s="282"/>
      <c r="C817" s="282"/>
      <c r="D817" s="282"/>
      <c r="E817" s="282"/>
      <c r="F817" s="282"/>
      <c r="G817" s="282"/>
      <c r="H817" s="282"/>
      <c r="I817" s="282"/>
      <c r="J817" s="282"/>
      <c r="K817" s="282"/>
      <c r="L817" s="282"/>
      <c r="M817" s="282"/>
      <c r="N817" s="282"/>
      <c r="O817" s="282"/>
      <c r="P817" s="282"/>
      <c r="Q817" s="282"/>
      <c r="R817" s="282"/>
      <c r="S817" s="282"/>
      <c r="T817" s="282"/>
      <c r="U817" s="282"/>
      <c r="V817" s="282"/>
      <c r="W817" s="282"/>
      <c r="X817" s="282"/>
      <c r="Y817" s="282"/>
      <c r="Z817" s="282"/>
      <c r="AA817" s="282"/>
      <c r="AB817" s="282"/>
      <c r="AC817" s="282"/>
      <c r="AD817" s="282"/>
      <c r="AE817" s="282"/>
      <c r="AF817" s="282"/>
      <c r="AG817" s="282"/>
      <c r="AH817" s="281"/>
      <c r="AI817" s="282"/>
      <c r="AJ817" s="282"/>
      <c r="AK817" s="282"/>
      <c r="AL817" s="282"/>
      <c r="AM817" s="282"/>
      <c r="AN817" s="282"/>
      <c r="AO817" s="282"/>
      <c r="AP817" s="282"/>
      <c r="AQ817" s="282"/>
      <c r="AR817" s="282"/>
      <c r="AS817" s="282"/>
      <c r="AT817" s="282"/>
      <c r="AU817" s="282"/>
      <c r="AV817" s="282"/>
      <c r="AW817" s="282"/>
      <c r="AX817" s="282"/>
      <c r="AY817" s="282"/>
      <c r="AZ817" s="282"/>
      <c r="BA817" s="282"/>
    </row>
    <row r="818" spans="1:53">
      <c r="A818" s="282"/>
      <c r="B818" s="282"/>
      <c r="C818" s="282"/>
      <c r="D818" s="282"/>
      <c r="E818" s="282"/>
      <c r="F818" s="282"/>
      <c r="G818" s="282"/>
      <c r="H818" s="282"/>
      <c r="I818" s="282"/>
      <c r="J818" s="282"/>
      <c r="K818" s="282"/>
      <c r="L818" s="282"/>
      <c r="M818" s="282"/>
      <c r="N818" s="282"/>
      <c r="O818" s="282"/>
      <c r="P818" s="282"/>
      <c r="Q818" s="282"/>
      <c r="R818" s="282"/>
      <c r="S818" s="282"/>
      <c r="T818" s="282"/>
      <c r="U818" s="282"/>
      <c r="V818" s="282"/>
      <c r="W818" s="282"/>
      <c r="X818" s="282"/>
      <c r="Y818" s="282"/>
      <c r="Z818" s="282"/>
      <c r="AA818" s="282"/>
      <c r="AB818" s="282"/>
      <c r="AC818" s="282"/>
      <c r="AD818" s="282"/>
      <c r="AE818" s="282"/>
      <c r="AF818" s="282"/>
      <c r="AG818" s="282"/>
      <c r="AH818" s="281"/>
      <c r="AI818" s="282"/>
      <c r="AJ818" s="282"/>
      <c r="AK818" s="282"/>
      <c r="AL818" s="282"/>
      <c r="AM818" s="282"/>
      <c r="AN818" s="282"/>
      <c r="AO818" s="282"/>
      <c r="AP818" s="282"/>
      <c r="AQ818" s="282"/>
      <c r="AR818" s="282"/>
      <c r="AS818" s="282"/>
      <c r="AT818" s="282"/>
      <c r="AU818" s="282"/>
      <c r="AV818" s="282"/>
      <c r="AW818" s="282"/>
      <c r="AX818" s="282"/>
      <c r="AY818" s="282"/>
      <c r="AZ818" s="282"/>
      <c r="BA818" s="282"/>
    </row>
    <row r="819" spans="1:53">
      <c r="A819" s="282"/>
      <c r="B819" s="282"/>
      <c r="C819" s="282"/>
      <c r="D819" s="282"/>
      <c r="E819" s="282"/>
      <c r="F819" s="282"/>
      <c r="G819" s="282"/>
      <c r="H819" s="282"/>
      <c r="I819" s="282"/>
      <c r="J819" s="282"/>
      <c r="K819" s="282"/>
      <c r="L819" s="282"/>
      <c r="M819" s="282"/>
      <c r="N819" s="282"/>
      <c r="O819" s="282"/>
      <c r="P819" s="282"/>
      <c r="Q819" s="282"/>
      <c r="R819" s="282"/>
      <c r="S819" s="282"/>
      <c r="T819" s="282"/>
      <c r="U819" s="282"/>
      <c r="V819" s="282"/>
      <c r="W819" s="282"/>
      <c r="X819" s="282"/>
      <c r="Y819" s="282"/>
      <c r="Z819" s="282"/>
      <c r="AA819" s="282"/>
      <c r="AB819" s="282"/>
      <c r="AC819" s="282"/>
      <c r="AD819" s="282"/>
      <c r="AE819" s="282"/>
      <c r="AF819" s="282"/>
      <c r="AG819" s="282"/>
      <c r="AH819" s="281"/>
      <c r="AI819" s="282"/>
      <c r="AJ819" s="282"/>
      <c r="AK819" s="282"/>
      <c r="AL819" s="282"/>
      <c r="AM819" s="282"/>
      <c r="AN819" s="282"/>
      <c r="AO819" s="282"/>
      <c r="AP819" s="282"/>
      <c r="AQ819" s="282"/>
      <c r="AR819" s="282"/>
      <c r="AS819" s="282"/>
      <c r="AT819" s="282"/>
      <c r="AU819" s="282"/>
      <c r="AV819" s="282"/>
      <c r="AW819" s="282"/>
      <c r="AX819" s="282"/>
      <c r="AY819" s="282"/>
      <c r="AZ819" s="282"/>
      <c r="BA819" s="282"/>
    </row>
    <row r="820" spans="1:53">
      <c r="A820" s="282"/>
      <c r="B820" s="282"/>
      <c r="C820" s="282"/>
      <c r="D820" s="282"/>
      <c r="E820" s="282"/>
      <c r="F820" s="282"/>
      <c r="G820" s="282"/>
      <c r="H820" s="282"/>
      <c r="I820" s="282"/>
      <c r="J820" s="282"/>
      <c r="K820" s="282"/>
      <c r="L820" s="282"/>
      <c r="M820" s="282"/>
      <c r="N820" s="282"/>
      <c r="O820" s="282"/>
      <c r="P820" s="282"/>
      <c r="Q820" s="282"/>
      <c r="R820" s="282"/>
      <c r="S820" s="282"/>
      <c r="T820" s="282"/>
      <c r="U820" s="282"/>
      <c r="V820" s="282"/>
      <c r="W820" s="282"/>
      <c r="X820" s="282"/>
      <c r="Y820" s="282"/>
      <c r="Z820" s="282"/>
      <c r="AA820" s="282"/>
      <c r="AB820" s="282"/>
      <c r="AC820" s="282"/>
      <c r="AD820" s="282"/>
      <c r="AE820" s="282"/>
      <c r="AF820" s="282"/>
      <c r="AG820" s="282"/>
      <c r="AH820" s="281"/>
      <c r="AI820" s="282"/>
      <c r="AJ820" s="282"/>
      <c r="AK820" s="282"/>
      <c r="AL820" s="282"/>
      <c r="AM820" s="282"/>
      <c r="AN820" s="282"/>
      <c r="AO820" s="282"/>
      <c r="AP820" s="282"/>
      <c r="AQ820" s="282"/>
      <c r="AR820" s="282"/>
      <c r="AS820" s="282"/>
      <c r="AT820" s="282"/>
      <c r="AU820" s="282"/>
      <c r="AV820" s="282"/>
      <c r="AW820" s="282"/>
      <c r="AX820" s="282"/>
      <c r="AY820" s="282"/>
      <c r="AZ820" s="282"/>
      <c r="BA820" s="282"/>
    </row>
    <row r="821" spans="1:53">
      <c r="A821" s="282"/>
      <c r="B821" s="282"/>
      <c r="C821" s="282"/>
      <c r="D821" s="282"/>
      <c r="E821" s="282"/>
      <c r="F821" s="282"/>
      <c r="G821" s="282"/>
      <c r="H821" s="282"/>
      <c r="I821" s="282"/>
      <c r="J821" s="282"/>
      <c r="K821" s="282"/>
      <c r="L821" s="282"/>
      <c r="M821" s="282"/>
      <c r="N821" s="282"/>
      <c r="O821" s="282"/>
      <c r="P821" s="282"/>
      <c r="Q821" s="282"/>
      <c r="R821" s="282"/>
      <c r="S821" s="282"/>
      <c r="T821" s="282"/>
      <c r="U821" s="282"/>
      <c r="V821" s="282"/>
      <c r="W821" s="282"/>
      <c r="X821" s="282"/>
      <c r="Y821" s="282"/>
      <c r="Z821" s="282"/>
      <c r="AA821" s="282"/>
      <c r="AB821" s="282"/>
      <c r="AC821" s="282"/>
      <c r="AD821" s="282"/>
      <c r="AE821" s="282"/>
      <c r="AF821" s="282"/>
      <c r="AG821" s="282"/>
      <c r="AH821" s="281"/>
      <c r="AI821" s="282"/>
      <c r="AJ821" s="282"/>
      <c r="AK821" s="282"/>
      <c r="AL821" s="282"/>
      <c r="AM821" s="282"/>
      <c r="AN821" s="282"/>
      <c r="AO821" s="282"/>
      <c r="AP821" s="282"/>
      <c r="AQ821" s="282"/>
      <c r="AR821" s="282"/>
      <c r="AS821" s="282"/>
      <c r="AT821" s="282"/>
      <c r="AU821" s="282"/>
      <c r="AV821" s="282"/>
      <c r="AW821" s="282"/>
      <c r="AX821" s="282"/>
      <c r="AY821" s="282"/>
      <c r="AZ821" s="282"/>
      <c r="BA821" s="282"/>
    </row>
  </sheetData>
  <mergeCells count="10">
    <mergeCell ref="A1:AG1"/>
    <mergeCell ref="A2:B2"/>
    <mergeCell ref="C2:M2"/>
    <mergeCell ref="N2:P2"/>
    <mergeCell ref="Q2:S2"/>
    <mergeCell ref="T2:V2"/>
    <mergeCell ref="W2:Y2"/>
    <mergeCell ref="Z2:AA2"/>
    <mergeCell ref="AB2:AC2"/>
    <mergeCell ref="AD2:AG2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033"/>
  <sheetViews>
    <sheetView workbookViewId="0">
      <pane xSplit="2" ySplit="4" topLeftCell="C341" activePane="bottomRight" state="frozen"/>
      <selection/>
      <selection pane="topRight"/>
      <selection pane="bottomLeft"/>
      <selection pane="bottomRight" activeCell="N373" sqref="N373"/>
    </sheetView>
  </sheetViews>
  <sheetFormatPr defaultColWidth="9" defaultRowHeight="14.25"/>
  <cols>
    <col min="1" max="1" width="9.625" style="2" customWidth="1"/>
    <col min="2" max="2" width="6" style="2" customWidth="1"/>
    <col min="3" max="3" width="10.375" style="2" customWidth="1"/>
    <col min="4" max="4" width="8.75" style="2" customWidth="1"/>
    <col min="5" max="5" width="10.5" style="2" customWidth="1"/>
    <col min="6" max="6" width="9.5" style="117" customWidth="1"/>
    <col min="7" max="7" width="9.5" style="2" customWidth="1"/>
    <col min="8" max="8" width="7.5" style="2" hidden="1" customWidth="1"/>
    <col min="9" max="9" width="8.5" style="2" hidden="1" customWidth="1"/>
    <col min="10" max="10" width="11.25" style="2" customWidth="1"/>
    <col min="11" max="12" width="9" style="2"/>
    <col min="13" max="13" width="9" style="118"/>
    <col min="14" max="14" width="11" style="2" customWidth="1"/>
    <col min="15" max="15" width="12.75" style="2" customWidth="1"/>
    <col min="16" max="16" width="10.625" style="2" customWidth="1"/>
    <col min="17" max="17" width="11.875" style="3" customWidth="1"/>
    <col min="18" max="18" width="10.125" style="2" customWidth="1"/>
    <col min="19" max="19" width="12.25" style="2" customWidth="1"/>
    <col min="20" max="25" width="10.625" style="2" customWidth="1"/>
    <col min="26" max="26" width="8.75" style="119" customWidth="1"/>
    <col min="27" max="27" width="10.75" style="119" customWidth="1"/>
    <col min="28" max="28" width="9.75" style="2" customWidth="1"/>
    <col min="29" max="29" width="15.125" style="2" customWidth="1"/>
    <col min="30" max="30" width="13.25" style="2" customWidth="1"/>
    <col min="31" max="16384" width="9" style="2"/>
  </cols>
  <sheetData>
    <row r="1" ht="15" customHeight="1" spans="1:33">
      <c r="A1" s="120" t="s">
        <v>55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</row>
    <row r="2" ht="15" customHeight="1" spans="1:33">
      <c r="A2" s="7"/>
      <c r="B2" s="7"/>
      <c r="C2" s="69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2</v>
      </c>
      <c r="O2" s="7"/>
      <c r="P2" s="7"/>
      <c r="Q2" s="7" t="s">
        <v>3</v>
      </c>
      <c r="R2" s="7"/>
      <c r="S2" s="7"/>
      <c r="T2" s="7" t="s">
        <v>4</v>
      </c>
      <c r="U2" s="7"/>
      <c r="V2" s="7"/>
      <c r="W2" s="8" t="s">
        <v>5</v>
      </c>
      <c r="X2" s="8"/>
      <c r="Y2" s="8"/>
      <c r="Z2" s="137"/>
      <c r="AA2" s="137"/>
      <c r="AB2" s="138"/>
      <c r="AC2" s="138"/>
      <c r="AD2" s="9"/>
      <c r="AE2" s="9"/>
      <c r="AF2" s="9"/>
      <c r="AG2" s="9"/>
    </row>
    <row r="3" ht="24.75" customHeight="1" spans="1:33">
      <c r="A3" s="9" t="s">
        <v>6</v>
      </c>
      <c r="B3" s="9" t="s">
        <v>7</v>
      </c>
      <c r="C3" s="121" t="s">
        <v>8</v>
      </c>
      <c r="D3" s="121" t="s">
        <v>9</v>
      </c>
      <c r="E3" s="121" t="s">
        <v>10</v>
      </c>
      <c r="F3" s="122" t="s">
        <v>11</v>
      </c>
      <c r="G3" s="123" t="s">
        <v>12</v>
      </c>
      <c r="H3" s="12" t="s">
        <v>13</v>
      </c>
      <c r="I3" s="12" t="s">
        <v>14</v>
      </c>
      <c r="J3" s="8" t="s">
        <v>15</v>
      </c>
      <c r="K3" s="123" t="s">
        <v>16</v>
      </c>
      <c r="L3" s="123" t="s">
        <v>17</v>
      </c>
      <c r="M3" s="130" t="s">
        <v>18</v>
      </c>
      <c r="N3" s="69" t="s">
        <v>8</v>
      </c>
      <c r="O3" s="69" t="s">
        <v>9</v>
      </c>
      <c r="P3" s="69" t="s">
        <v>10</v>
      </c>
      <c r="Q3" s="69" t="s">
        <v>8</v>
      </c>
      <c r="R3" s="69" t="s">
        <v>9</v>
      </c>
      <c r="S3" s="69" t="s">
        <v>10</v>
      </c>
      <c r="T3" s="69" t="s">
        <v>8</v>
      </c>
      <c r="U3" s="69" t="s">
        <v>9</v>
      </c>
      <c r="V3" s="69" t="s">
        <v>10</v>
      </c>
      <c r="W3" s="69" t="s">
        <v>8</v>
      </c>
      <c r="X3" s="69" t="s">
        <v>9</v>
      </c>
      <c r="Y3" s="69" t="s">
        <v>10</v>
      </c>
      <c r="Z3" s="123" t="s">
        <v>19</v>
      </c>
      <c r="AA3" s="139" t="s">
        <v>20</v>
      </c>
      <c r="AB3" s="107" t="s">
        <v>21</v>
      </c>
      <c r="AC3" s="107" t="s">
        <v>22</v>
      </c>
      <c r="AD3" s="52" t="s">
        <v>23</v>
      </c>
      <c r="AE3" s="52" t="s">
        <v>24</v>
      </c>
      <c r="AF3" s="52" t="s">
        <v>25</v>
      </c>
      <c r="AG3" s="52" t="s">
        <v>26</v>
      </c>
    </row>
    <row r="4" s="114" customFormat="1" ht="15" customHeight="1" spans="1:33">
      <c r="A4" s="8"/>
      <c r="B4" s="8"/>
      <c r="C4" s="8" t="s">
        <v>29</v>
      </c>
      <c r="D4" s="8" t="s">
        <v>29</v>
      </c>
      <c r="E4" s="8" t="s">
        <v>29</v>
      </c>
      <c r="F4" s="11" t="s">
        <v>30</v>
      </c>
      <c r="G4" s="8" t="s">
        <v>30</v>
      </c>
      <c r="H4" s="8" t="s">
        <v>30</v>
      </c>
      <c r="I4" s="8" t="s">
        <v>30</v>
      </c>
      <c r="J4" s="8" t="s">
        <v>29</v>
      </c>
      <c r="K4" s="8" t="s">
        <v>29</v>
      </c>
      <c r="L4" s="8" t="s">
        <v>29</v>
      </c>
      <c r="M4" s="131"/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 t="s">
        <v>31</v>
      </c>
      <c r="U4" s="8" t="s">
        <v>31</v>
      </c>
      <c r="V4" s="8" t="s">
        <v>31</v>
      </c>
      <c r="W4" s="8" t="s">
        <v>31</v>
      </c>
      <c r="X4" s="8" t="s">
        <v>31</v>
      </c>
      <c r="Y4" s="8" t="s">
        <v>31</v>
      </c>
      <c r="Z4" s="140" t="s">
        <v>32</v>
      </c>
      <c r="AA4" s="140" t="s">
        <v>32</v>
      </c>
      <c r="AB4" s="108" t="s">
        <v>30</v>
      </c>
      <c r="AC4" s="108" t="s">
        <v>33</v>
      </c>
      <c r="AD4" s="8" t="s">
        <v>29</v>
      </c>
      <c r="AE4" s="8" t="s">
        <v>29</v>
      </c>
      <c r="AF4" s="8" t="s">
        <v>29</v>
      </c>
      <c r="AG4" s="8" t="s">
        <v>29</v>
      </c>
    </row>
    <row r="5" ht="15" customHeight="1" spans="1:33">
      <c r="A5" s="14">
        <v>42736</v>
      </c>
      <c r="B5" s="21" t="s">
        <v>1</v>
      </c>
      <c r="C5" s="9">
        <v>52873</v>
      </c>
      <c r="D5" s="38">
        <f>16818+7465</f>
        <v>24283</v>
      </c>
      <c r="E5" s="38">
        <v>78761</v>
      </c>
      <c r="F5" s="13">
        <v>3630.6</v>
      </c>
      <c r="G5" s="38">
        <v>2942.9</v>
      </c>
      <c r="H5" s="25"/>
      <c r="I5" s="37"/>
      <c r="J5" s="9">
        <f t="shared" ref="J5:J68" si="0">E5-D5</f>
        <v>54478</v>
      </c>
      <c r="K5" s="38">
        <v>596</v>
      </c>
      <c r="L5" s="38">
        <v>791</v>
      </c>
      <c r="M5" s="132">
        <f>J5-K5-L5-C5</f>
        <v>218</v>
      </c>
      <c r="N5" s="78">
        <f>C5</f>
        <v>52873</v>
      </c>
      <c r="O5" s="79">
        <f>D5</f>
        <v>24283</v>
      </c>
      <c r="P5" s="79">
        <f>E5</f>
        <v>78761</v>
      </c>
      <c r="Q5" s="80">
        <f>N5</f>
        <v>52873</v>
      </c>
      <c r="R5" s="80">
        <f>O5</f>
        <v>24283</v>
      </c>
      <c r="S5" s="80">
        <f>P5</f>
        <v>78761</v>
      </c>
      <c r="T5" s="84">
        <f>N5/'2016'!N5-1</f>
        <v>0.137543029259897</v>
      </c>
      <c r="U5" s="84">
        <f>O5/'2016'!O5-1</f>
        <v>0.208049350778568</v>
      </c>
      <c r="V5" s="84">
        <f>P5/'2016'!P5-1</f>
        <v>0.143618411499927</v>
      </c>
      <c r="W5" s="85">
        <f>Q5/'2016'!Q5-1</f>
        <v>0.137543029259897</v>
      </c>
      <c r="X5" s="85">
        <f>R5/'2016'!R5-1</f>
        <v>0.208049350778568</v>
      </c>
      <c r="Y5" s="85">
        <f>S5/'2016'!S5-1</f>
        <v>0.143618411499927</v>
      </c>
      <c r="Z5" s="141"/>
      <c r="AA5" s="141"/>
      <c r="AB5" s="109"/>
      <c r="AC5" s="109"/>
      <c r="AD5" s="38">
        <f>S5-R5</f>
        <v>54478</v>
      </c>
      <c r="AE5" s="38">
        <f>K5</f>
        <v>596</v>
      </c>
      <c r="AF5" s="38">
        <f>L5</f>
        <v>791</v>
      </c>
      <c r="AG5" s="38">
        <f>AD5-Q5-AE5-AF5</f>
        <v>218</v>
      </c>
    </row>
    <row r="6" ht="15" customHeight="1" spans="1:33">
      <c r="A6" s="14">
        <v>42737</v>
      </c>
      <c r="B6" s="21" t="s">
        <v>39</v>
      </c>
      <c r="C6" s="9">
        <v>64061</v>
      </c>
      <c r="D6" s="38">
        <f>16943+7266</f>
        <v>24209</v>
      </c>
      <c r="E6" s="38">
        <v>89926</v>
      </c>
      <c r="F6" s="13">
        <v>4668</v>
      </c>
      <c r="G6" s="38">
        <v>2618.4</v>
      </c>
      <c r="H6" s="25"/>
      <c r="I6" s="37"/>
      <c r="J6" s="9">
        <f t="shared" si="0"/>
        <v>65717</v>
      </c>
      <c r="K6" s="38">
        <v>763</v>
      </c>
      <c r="L6" s="38">
        <v>789</v>
      </c>
      <c r="M6" s="132">
        <f t="shared" ref="M6:M69" si="1">J6-K6-L6-C6</f>
        <v>104</v>
      </c>
      <c r="N6" s="78">
        <f t="shared" ref="N6:P21" si="2">N5+C6</f>
        <v>116934</v>
      </c>
      <c r="O6" s="79">
        <f t="shared" si="2"/>
        <v>48492</v>
      </c>
      <c r="P6" s="79">
        <f t="shared" si="2"/>
        <v>168687</v>
      </c>
      <c r="Q6" s="80">
        <f t="shared" ref="Q6:S35" si="3">N6</f>
        <v>116934</v>
      </c>
      <c r="R6" s="80">
        <f t="shared" si="3"/>
        <v>48492</v>
      </c>
      <c r="S6" s="80">
        <f t="shared" si="3"/>
        <v>168687</v>
      </c>
      <c r="T6" s="84">
        <f>N6/'2016'!N6-1</f>
        <v>0.167308882544373</v>
      </c>
      <c r="U6" s="84">
        <f>O6/'2016'!O6-1</f>
        <v>0.203783233622123</v>
      </c>
      <c r="V6" s="84">
        <f>P6/'2016'!P6-1</f>
        <v>0.162853380944831</v>
      </c>
      <c r="W6" s="85">
        <f>Q6/'2016'!Q6-1</f>
        <v>0.167308882544373</v>
      </c>
      <c r="X6" s="85">
        <f>R6/'2016'!R6-1</f>
        <v>0.203783233622123</v>
      </c>
      <c r="Y6" s="85">
        <f>S6/'2016'!S6-1</f>
        <v>0.162853380944831</v>
      </c>
      <c r="Z6" s="141"/>
      <c r="AA6" s="141"/>
      <c r="AB6" s="109"/>
      <c r="AC6" s="109"/>
      <c r="AD6" s="38">
        <f t="shared" ref="AD6:AD69" si="4">S6-R6</f>
        <v>120195</v>
      </c>
      <c r="AE6" s="38">
        <f>AE5+K6</f>
        <v>1359</v>
      </c>
      <c r="AF6" s="38">
        <f>AF5+L6</f>
        <v>1580</v>
      </c>
      <c r="AG6" s="38">
        <f t="shared" ref="AG6:AG69" si="5">AD6-Q6-AE6-AF6</f>
        <v>322</v>
      </c>
    </row>
    <row r="7" ht="15" customHeight="1" spans="1:33">
      <c r="A7" s="21">
        <v>42738</v>
      </c>
      <c r="B7" s="21" t="s">
        <v>34</v>
      </c>
      <c r="C7" s="9">
        <v>67546</v>
      </c>
      <c r="D7" s="38">
        <f>19005+7173</f>
        <v>26178</v>
      </c>
      <c r="E7" s="38">
        <v>95609</v>
      </c>
      <c r="F7" s="13">
        <v>4888.5</v>
      </c>
      <c r="G7" s="38">
        <v>2973</v>
      </c>
      <c r="H7" s="25"/>
      <c r="I7" s="37"/>
      <c r="J7" s="9">
        <f t="shared" si="0"/>
        <v>69431</v>
      </c>
      <c r="K7" s="38">
        <v>934</v>
      </c>
      <c r="L7" s="38">
        <v>791</v>
      </c>
      <c r="M7" s="132">
        <f t="shared" si="1"/>
        <v>160</v>
      </c>
      <c r="N7" s="78">
        <f t="shared" si="2"/>
        <v>184480</v>
      </c>
      <c r="O7" s="79">
        <f t="shared" si="2"/>
        <v>74670</v>
      </c>
      <c r="P7" s="79">
        <f t="shared" si="2"/>
        <v>264296</v>
      </c>
      <c r="Q7" s="80">
        <f t="shared" si="3"/>
        <v>184480</v>
      </c>
      <c r="R7" s="80">
        <f t="shared" si="3"/>
        <v>74670</v>
      </c>
      <c r="S7" s="80">
        <f t="shared" si="3"/>
        <v>264296</v>
      </c>
      <c r="T7" s="84">
        <f>N7/'2016'!N7-1</f>
        <v>0.162005542957924</v>
      </c>
      <c r="U7" s="84">
        <f>O7/'2016'!O7-1</f>
        <v>0.226269460684491</v>
      </c>
      <c r="V7" s="84">
        <f>P7/'2016'!P7-1</f>
        <v>0.165881460307377</v>
      </c>
      <c r="W7" s="85">
        <f>Q7/'2016'!Q7-1</f>
        <v>0.162005542957924</v>
      </c>
      <c r="X7" s="85">
        <f>R7/'2016'!R7-1</f>
        <v>0.226269460684491</v>
      </c>
      <c r="Y7" s="85">
        <f>S7/'2016'!S7-1</f>
        <v>0.165881460307377</v>
      </c>
      <c r="Z7" s="141"/>
      <c r="AA7" s="141"/>
      <c r="AB7" s="109"/>
      <c r="AC7" s="109"/>
      <c r="AD7" s="38">
        <f t="shared" si="4"/>
        <v>189626</v>
      </c>
      <c r="AE7" s="38">
        <f t="shared" ref="AE7:AE70" si="6">AE6+K7</f>
        <v>2293</v>
      </c>
      <c r="AF7" s="38">
        <f t="shared" ref="AF7:AF70" si="7">AF6+L7</f>
        <v>2371</v>
      </c>
      <c r="AG7" s="38">
        <f t="shared" si="5"/>
        <v>482</v>
      </c>
    </row>
    <row r="8" ht="15" customHeight="1" spans="1:33">
      <c r="A8" s="106">
        <v>42739</v>
      </c>
      <c r="B8" s="21" t="s">
        <v>35</v>
      </c>
      <c r="C8" s="9">
        <v>68925</v>
      </c>
      <c r="D8" s="38">
        <f>19049+7202</f>
        <v>26251</v>
      </c>
      <c r="E8" s="38">
        <v>96403</v>
      </c>
      <c r="F8" s="13">
        <v>4916.5</v>
      </c>
      <c r="G8" s="38">
        <v>3024.6</v>
      </c>
      <c r="H8" s="25"/>
      <c r="I8" s="37"/>
      <c r="J8" s="9">
        <f t="shared" si="0"/>
        <v>70152</v>
      </c>
      <c r="K8" s="38">
        <v>342</v>
      </c>
      <c r="L8" s="38">
        <v>790</v>
      </c>
      <c r="M8" s="132">
        <f t="shared" si="1"/>
        <v>95</v>
      </c>
      <c r="N8" s="78">
        <f t="shared" si="2"/>
        <v>253405</v>
      </c>
      <c r="O8" s="79">
        <f t="shared" si="2"/>
        <v>100921</v>
      </c>
      <c r="P8" s="79">
        <f t="shared" si="2"/>
        <v>360699</v>
      </c>
      <c r="Q8" s="80">
        <f t="shared" si="3"/>
        <v>253405</v>
      </c>
      <c r="R8" s="80">
        <f t="shared" si="3"/>
        <v>100921</v>
      </c>
      <c r="S8" s="80">
        <f t="shared" si="3"/>
        <v>360699</v>
      </c>
      <c r="T8" s="84">
        <f>N8/'2016'!N8-1</f>
        <v>0.156224049350721</v>
      </c>
      <c r="U8" s="84">
        <f>O8/'2016'!O8-1</f>
        <v>0.219869214683734</v>
      </c>
      <c r="V8" s="84">
        <f>P8/'2016'!P8-1</f>
        <v>0.156705672587571</v>
      </c>
      <c r="W8" s="85">
        <f>Q8/'2016'!Q8-1</f>
        <v>0.156224049350721</v>
      </c>
      <c r="X8" s="85">
        <f>R8/'2016'!R8-1</f>
        <v>0.219869214683734</v>
      </c>
      <c r="Y8" s="85">
        <f>S8/'2016'!S8-1</f>
        <v>0.156705672587571</v>
      </c>
      <c r="Z8" s="141">
        <f>Z9/7*4</f>
        <v>0.617142857142857</v>
      </c>
      <c r="AA8" s="141">
        <f>Q8/10000-Z8</f>
        <v>24.7233571428571</v>
      </c>
      <c r="AB8" s="109"/>
      <c r="AC8" s="109"/>
      <c r="AD8" s="38">
        <f t="shared" si="4"/>
        <v>259778</v>
      </c>
      <c r="AE8" s="38">
        <f t="shared" si="6"/>
        <v>2635</v>
      </c>
      <c r="AF8" s="38">
        <f t="shared" si="7"/>
        <v>3161</v>
      </c>
      <c r="AG8" s="38">
        <f t="shared" si="5"/>
        <v>577</v>
      </c>
    </row>
    <row r="9" ht="15" customHeight="1" spans="1:33">
      <c r="A9" s="106">
        <v>42740</v>
      </c>
      <c r="B9" s="15" t="s">
        <v>36</v>
      </c>
      <c r="C9" s="33">
        <v>68805</v>
      </c>
      <c r="D9" s="34">
        <f>19030+7517</f>
        <v>26547</v>
      </c>
      <c r="E9" s="34">
        <v>96573</v>
      </c>
      <c r="F9" s="124">
        <v>4925.1</v>
      </c>
      <c r="G9" s="34">
        <v>3013.9</v>
      </c>
      <c r="H9" s="20"/>
      <c r="I9" s="20"/>
      <c r="J9" s="33">
        <f t="shared" si="0"/>
        <v>70026</v>
      </c>
      <c r="K9" s="34">
        <v>301</v>
      </c>
      <c r="L9" s="34">
        <v>791</v>
      </c>
      <c r="M9" s="133">
        <f t="shared" si="1"/>
        <v>129</v>
      </c>
      <c r="N9" s="81">
        <f t="shared" si="2"/>
        <v>322210</v>
      </c>
      <c r="O9" s="82">
        <f t="shared" si="2"/>
        <v>127468</v>
      </c>
      <c r="P9" s="82">
        <f t="shared" si="2"/>
        <v>457272</v>
      </c>
      <c r="Q9" s="81">
        <f t="shared" si="3"/>
        <v>322210</v>
      </c>
      <c r="R9" s="81">
        <f t="shared" si="3"/>
        <v>127468</v>
      </c>
      <c r="S9" s="81">
        <f t="shared" si="3"/>
        <v>457272</v>
      </c>
      <c r="T9" s="86">
        <f>N9/'2016'!N9-1</f>
        <v>0.149100220397857</v>
      </c>
      <c r="U9" s="86">
        <f>O9/'2016'!O9-1</f>
        <v>0.192671881432688</v>
      </c>
      <c r="V9" s="86">
        <f>P9/'2016'!P9-1</f>
        <v>0.143408681736347</v>
      </c>
      <c r="W9" s="86">
        <f>Q9/'2016'!Q9-1</f>
        <v>0.149100220397857</v>
      </c>
      <c r="X9" s="86">
        <f>R9/'2016'!R9-1</f>
        <v>0.192671881432688</v>
      </c>
      <c r="Y9" s="142">
        <f>S9/'2016'!S9-1</f>
        <v>0.143408681736347</v>
      </c>
      <c r="Z9" s="143">
        <v>1.08</v>
      </c>
      <c r="AA9" s="143">
        <f>Q9/10000-Z9</f>
        <v>31.141</v>
      </c>
      <c r="AB9" s="34">
        <v>4258</v>
      </c>
      <c r="AC9" s="34">
        <f>AA9*10000/AB9</f>
        <v>73.1352747768906</v>
      </c>
      <c r="AD9" s="34">
        <f t="shared" si="4"/>
        <v>329804</v>
      </c>
      <c r="AE9" s="34">
        <f t="shared" si="6"/>
        <v>2936</v>
      </c>
      <c r="AF9" s="34">
        <f t="shared" si="7"/>
        <v>3952</v>
      </c>
      <c r="AG9" s="34">
        <f t="shared" si="5"/>
        <v>706</v>
      </c>
    </row>
    <row r="10" ht="15" customHeight="1" spans="1:33">
      <c r="A10" s="106">
        <v>42741</v>
      </c>
      <c r="B10" s="21" t="s">
        <v>37</v>
      </c>
      <c r="C10" s="9">
        <v>69308</v>
      </c>
      <c r="D10" s="38">
        <f>19374+7469</f>
        <v>26843</v>
      </c>
      <c r="E10" s="38">
        <v>97429</v>
      </c>
      <c r="F10" s="13">
        <v>4980.8</v>
      </c>
      <c r="G10" s="38">
        <v>3041.1</v>
      </c>
      <c r="H10" s="25"/>
      <c r="I10" s="37"/>
      <c r="J10" s="9">
        <f t="shared" si="0"/>
        <v>70586</v>
      </c>
      <c r="K10" s="38">
        <v>431</v>
      </c>
      <c r="L10" s="38">
        <v>791</v>
      </c>
      <c r="M10" s="132">
        <f t="shared" si="1"/>
        <v>56</v>
      </c>
      <c r="N10" s="78">
        <f t="shared" si="2"/>
        <v>391518</v>
      </c>
      <c r="O10" s="79">
        <f t="shared" si="2"/>
        <v>154311</v>
      </c>
      <c r="P10" s="79">
        <f t="shared" si="2"/>
        <v>554701</v>
      </c>
      <c r="Q10" s="80">
        <f t="shared" si="3"/>
        <v>391518</v>
      </c>
      <c r="R10" s="80">
        <f t="shared" si="3"/>
        <v>154311</v>
      </c>
      <c r="S10" s="80">
        <f t="shared" si="3"/>
        <v>554701</v>
      </c>
      <c r="T10" s="84">
        <f>N10/'2016'!N10-1</f>
        <v>0.142667853546777</v>
      </c>
      <c r="U10" s="84">
        <f>O10/'2016'!O10-1</f>
        <v>0.181898255235061</v>
      </c>
      <c r="V10" s="84">
        <f>P10/'2016'!P10-1</f>
        <v>0.133745789594166</v>
      </c>
      <c r="W10" s="85">
        <f>Q10/'2016'!Q10-1</f>
        <v>0.142667853546777</v>
      </c>
      <c r="X10" s="85">
        <f>R10/'2016'!R10-1</f>
        <v>0.181898255235061</v>
      </c>
      <c r="Y10" s="85">
        <f>S10/'2016'!S10-1</f>
        <v>0.133745789594166</v>
      </c>
      <c r="Z10" s="141"/>
      <c r="AA10" s="141"/>
      <c r="AB10" s="109"/>
      <c r="AC10" s="109"/>
      <c r="AD10" s="38">
        <f t="shared" si="4"/>
        <v>400390</v>
      </c>
      <c r="AE10" s="38">
        <f t="shared" si="6"/>
        <v>3367</v>
      </c>
      <c r="AF10" s="38">
        <f t="shared" si="7"/>
        <v>4743</v>
      </c>
      <c r="AG10" s="38">
        <f t="shared" si="5"/>
        <v>762</v>
      </c>
    </row>
    <row r="11" ht="15" customHeight="1" spans="1:33">
      <c r="A11" s="106">
        <v>42742</v>
      </c>
      <c r="B11" s="21" t="s">
        <v>38</v>
      </c>
      <c r="C11" s="74">
        <v>66721</v>
      </c>
      <c r="D11" s="75">
        <f>19151+7533</f>
        <v>26684</v>
      </c>
      <c r="E11" s="75">
        <v>94687</v>
      </c>
      <c r="F11" s="125">
        <v>4844.9</v>
      </c>
      <c r="G11" s="75">
        <v>3025.2</v>
      </c>
      <c r="H11" s="25"/>
      <c r="I11" s="25"/>
      <c r="J11" s="74">
        <f t="shared" si="0"/>
        <v>68003</v>
      </c>
      <c r="K11" s="75">
        <v>398</v>
      </c>
      <c r="L11" s="75">
        <v>788</v>
      </c>
      <c r="M11" s="134">
        <f t="shared" si="1"/>
        <v>96</v>
      </c>
      <c r="N11" s="78">
        <f t="shared" si="2"/>
        <v>458239</v>
      </c>
      <c r="O11" s="79">
        <f t="shared" si="2"/>
        <v>180995</v>
      </c>
      <c r="P11" s="79">
        <f t="shared" si="2"/>
        <v>649388</v>
      </c>
      <c r="Q11" s="80">
        <f t="shared" si="3"/>
        <v>458239</v>
      </c>
      <c r="R11" s="80">
        <f t="shared" si="3"/>
        <v>180995</v>
      </c>
      <c r="S11" s="80">
        <f t="shared" si="3"/>
        <v>649388</v>
      </c>
      <c r="T11" s="84">
        <f>N11/'2016'!N11-1</f>
        <v>0.123972273458655</v>
      </c>
      <c r="U11" s="84">
        <f>O11/'2016'!O11-1</f>
        <v>0.175505936144234</v>
      </c>
      <c r="V11" s="84">
        <f>P11/'2016'!P11-1</f>
        <v>0.118652768518662</v>
      </c>
      <c r="W11" s="85">
        <f>Q11/'2016'!Q11-1</f>
        <v>0.123972273458655</v>
      </c>
      <c r="X11" s="85">
        <f>R11/'2016'!R11-1</f>
        <v>0.175505936144234</v>
      </c>
      <c r="Y11" s="85">
        <f>S11/'2016'!S11-1</f>
        <v>0.118652768518662</v>
      </c>
      <c r="Z11" s="144"/>
      <c r="AA11" s="144"/>
      <c r="AB11" s="109"/>
      <c r="AC11" s="109"/>
      <c r="AD11" s="38">
        <f t="shared" si="4"/>
        <v>468393</v>
      </c>
      <c r="AE11" s="75">
        <f t="shared" si="6"/>
        <v>3765</v>
      </c>
      <c r="AF11" s="75">
        <f t="shared" si="7"/>
        <v>5531</v>
      </c>
      <c r="AG11" s="75">
        <f t="shared" si="5"/>
        <v>858</v>
      </c>
    </row>
    <row r="12" ht="15" customHeight="1" spans="1:33">
      <c r="A12" s="106">
        <v>42743</v>
      </c>
      <c r="B12" s="21" t="s">
        <v>1</v>
      </c>
      <c r="C12" s="9">
        <v>63087</v>
      </c>
      <c r="D12" s="38">
        <f>19189+7509</f>
        <v>26698</v>
      </c>
      <c r="E12" s="38">
        <v>90939</v>
      </c>
      <c r="F12" s="13">
        <v>4610.5</v>
      </c>
      <c r="G12" s="38">
        <v>2925.3</v>
      </c>
      <c r="H12" s="25"/>
      <c r="I12" s="37"/>
      <c r="J12" s="9">
        <f t="shared" si="0"/>
        <v>64241</v>
      </c>
      <c r="K12" s="38">
        <v>137</v>
      </c>
      <c r="L12" s="38">
        <v>793</v>
      </c>
      <c r="M12" s="132">
        <f t="shared" si="1"/>
        <v>224</v>
      </c>
      <c r="N12" s="78">
        <f t="shared" si="2"/>
        <v>521326</v>
      </c>
      <c r="O12" s="79">
        <f t="shared" si="2"/>
        <v>207693</v>
      </c>
      <c r="P12" s="79">
        <f t="shared" si="2"/>
        <v>740327</v>
      </c>
      <c r="Q12" s="80">
        <f t="shared" si="3"/>
        <v>521326</v>
      </c>
      <c r="R12" s="80">
        <f t="shared" si="3"/>
        <v>207693</v>
      </c>
      <c r="S12" s="80">
        <f t="shared" si="3"/>
        <v>740327</v>
      </c>
      <c r="T12" s="84">
        <f>N12/'2016'!N12-1</f>
        <v>0.101503108057285</v>
      </c>
      <c r="U12" s="84">
        <f>O12/'2016'!O12-1</f>
        <v>0.159602918925559</v>
      </c>
      <c r="V12" s="84">
        <f>P12/'2016'!P12-1</f>
        <v>0.0980349406507284</v>
      </c>
      <c r="W12" s="85">
        <f>Q12/'2016'!Q12-1</f>
        <v>0.101503108057285</v>
      </c>
      <c r="X12" s="85">
        <f>R12/'2016'!R12-1</f>
        <v>0.159602918925559</v>
      </c>
      <c r="Y12" s="85">
        <f>S12/'2016'!S12-1</f>
        <v>0.0980349406507284</v>
      </c>
      <c r="Z12" s="141"/>
      <c r="AA12" s="141"/>
      <c r="AB12" s="109"/>
      <c r="AC12" s="109"/>
      <c r="AD12" s="38">
        <f t="shared" si="4"/>
        <v>532634</v>
      </c>
      <c r="AE12" s="38">
        <f t="shared" si="6"/>
        <v>3902</v>
      </c>
      <c r="AF12" s="38">
        <f t="shared" si="7"/>
        <v>6324</v>
      </c>
      <c r="AG12" s="38">
        <f t="shared" si="5"/>
        <v>1082</v>
      </c>
    </row>
    <row r="13" ht="15" customHeight="1" spans="1:33">
      <c r="A13" s="106">
        <v>42744</v>
      </c>
      <c r="B13" s="21" t="s">
        <v>39</v>
      </c>
      <c r="C13" s="9">
        <v>68983</v>
      </c>
      <c r="D13" s="38">
        <f>18566+7502</f>
        <v>26068</v>
      </c>
      <c r="E13" s="38">
        <v>96205</v>
      </c>
      <c r="F13" s="13">
        <v>4923.4</v>
      </c>
      <c r="G13" s="38">
        <v>2888.6</v>
      </c>
      <c r="H13" s="25"/>
      <c r="I13" s="37"/>
      <c r="J13" s="9">
        <f t="shared" si="0"/>
        <v>70137</v>
      </c>
      <c r="K13" s="38">
        <v>193</v>
      </c>
      <c r="L13" s="38">
        <v>790</v>
      </c>
      <c r="M13" s="132">
        <f t="shared" si="1"/>
        <v>171</v>
      </c>
      <c r="N13" s="78">
        <f t="shared" si="2"/>
        <v>590309</v>
      </c>
      <c r="O13" s="79">
        <f t="shared" si="2"/>
        <v>233761</v>
      </c>
      <c r="P13" s="79">
        <f t="shared" si="2"/>
        <v>836532</v>
      </c>
      <c r="Q13" s="80">
        <f t="shared" si="3"/>
        <v>590309</v>
      </c>
      <c r="R13" s="80">
        <f t="shared" si="3"/>
        <v>233761</v>
      </c>
      <c r="S13" s="80">
        <f t="shared" si="3"/>
        <v>836532</v>
      </c>
      <c r="T13" s="84">
        <f>N13/'2016'!N13-1</f>
        <v>0.102758816518526</v>
      </c>
      <c r="U13" s="84">
        <f>O13/'2016'!O13-1</f>
        <v>0.131526847992875</v>
      </c>
      <c r="V13" s="84">
        <f>P13/'2016'!P13-1</f>
        <v>0.0920127511924871</v>
      </c>
      <c r="W13" s="85">
        <f>Q13/'2016'!Q13-1</f>
        <v>0.102758816518526</v>
      </c>
      <c r="X13" s="85">
        <f>R13/'2016'!R13-1</f>
        <v>0.131526847992875</v>
      </c>
      <c r="Y13" s="85">
        <f>S13/'2016'!S13-1</f>
        <v>0.0920127511924871</v>
      </c>
      <c r="Z13" s="141"/>
      <c r="AA13" s="141"/>
      <c r="AB13" s="109"/>
      <c r="AC13" s="109"/>
      <c r="AD13" s="38">
        <f t="shared" si="4"/>
        <v>602771</v>
      </c>
      <c r="AE13" s="38">
        <f t="shared" si="6"/>
        <v>4095</v>
      </c>
      <c r="AF13" s="38">
        <f t="shared" si="7"/>
        <v>7114</v>
      </c>
      <c r="AG13" s="38">
        <f t="shared" si="5"/>
        <v>1253</v>
      </c>
    </row>
    <row r="14" ht="15" customHeight="1" spans="1:33">
      <c r="A14" s="106">
        <v>42745</v>
      </c>
      <c r="B14" s="21" t="s">
        <v>34</v>
      </c>
      <c r="C14" s="9">
        <v>69743</v>
      </c>
      <c r="D14" s="38">
        <f>19481+7487</f>
        <v>26968</v>
      </c>
      <c r="E14" s="38">
        <v>98208</v>
      </c>
      <c r="F14" s="13">
        <v>4975.9</v>
      </c>
      <c r="G14" s="38">
        <v>3038</v>
      </c>
      <c r="H14" s="25"/>
      <c r="I14" s="37"/>
      <c r="J14" s="9">
        <f t="shared" si="0"/>
        <v>71240</v>
      </c>
      <c r="K14" s="38">
        <v>601</v>
      </c>
      <c r="L14" s="38">
        <v>791</v>
      </c>
      <c r="M14" s="132">
        <f t="shared" si="1"/>
        <v>105</v>
      </c>
      <c r="N14" s="78">
        <f t="shared" si="2"/>
        <v>660052</v>
      </c>
      <c r="O14" s="79">
        <f t="shared" si="2"/>
        <v>260729</v>
      </c>
      <c r="P14" s="79">
        <f t="shared" si="2"/>
        <v>934740</v>
      </c>
      <c r="Q14" s="80">
        <f t="shared" si="3"/>
        <v>660052</v>
      </c>
      <c r="R14" s="80">
        <f t="shared" si="3"/>
        <v>260729</v>
      </c>
      <c r="S14" s="80">
        <f t="shared" si="3"/>
        <v>934740</v>
      </c>
      <c r="T14" s="84">
        <f>N14/'2016'!N14-1</f>
        <v>0.110452743022784</v>
      </c>
      <c r="U14" s="84">
        <f>O14/'2016'!O14-1</f>
        <v>0.115785734766105</v>
      </c>
      <c r="V14" s="84">
        <f>P14/'2016'!P14-1</f>
        <v>0.0947227882791091</v>
      </c>
      <c r="W14" s="85">
        <f>Q14/'2016'!Q14-1</f>
        <v>0.110452743022784</v>
      </c>
      <c r="X14" s="85">
        <f>R14/'2016'!R14-1</f>
        <v>0.115785734766105</v>
      </c>
      <c r="Y14" s="85">
        <f>S14/'2016'!S14-1</f>
        <v>0.0947227882791091</v>
      </c>
      <c r="Z14" s="141">
        <v>3.47</v>
      </c>
      <c r="AA14" s="141"/>
      <c r="AB14" s="109"/>
      <c r="AC14" s="109"/>
      <c r="AD14" s="38">
        <f t="shared" si="4"/>
        <v>674011</v>
      </c>
      <c r="AE14" s="38">
        <f t="shared" si="6"/>
        <v>4696</v>
      </c>
      <c r="AF14" s="38">
        <f t="shared" si="7"/>
        <v>7905</v>
      </c>
      <c r="AG14" s="38">
        <f t="shared" si="5"/>
        <v>1358</v>
      </c>
    </row>
    <row r="15" ht="15" customHeight="1" spans="1:33">
      <c r="A15" s="106">
        <v>42746</v>
      </c>
      <c r="B15" s="21" t="s">
        <v>35</v>
      </c>
      <c r="C15" s="9">
        <v>69855</v>
      </c>
      <c r="D15" s="38">
        <f>19937+7559</f>
        <v>27496</v>
      </c>
      <c r="E15" s="38">
        <v>98864</v>
      </c>
      <c r="F15" s="13">
        <v>5062.7</v>
      </c>
      <c r="G15" s="38">
        <v>3009.7</v>
      </c>
      <c r="H15" s="25"/>
      <c r="I15" s="37"/>
      <c r="J15" s="9">
        <f t="shared" si="0"/>
        <v>71368</v>
      </c>
      <c r="K15" s="38">
        <v>676</v>
      </c>
      <c r="L15" s="38">
        <v>791</v>
      </c>
      <c r="M15" s="132">
        <f t="shared" si="1"/>
        <v>46</v>
      </c>
      <c r="N15" s="78">
        <f t="shared" si="2"/>
        <v>729907</v>
      </c>
      <c r="O15" s="79">
        <f t="shared" si="2"/>
        <v>288225</v>
      </c>
      <c r="P15" s="79">
        <f t="shared" si="2"/>
        <v>1033604</v>
      </c>
      <c r="Q15" s="80">
        <f t="shared" si="3"/>
        <v>729907</v>
      </c>
      <c r="R15" s="80">
        <f t="shared" si="3"/>
        <v>288225</v>
      </c>
      <c r="S15" s="80">
        <f t="shared" si="3"/>
        <v>1033604</v>
      </c>
      <c r="T15" s="84">
        <f>N15/'2016'!N15-1</f>
        <v>0.111746258040244</v>
      </c>
      <c r="U15" s="84">
        <f>O15/'2016'!O15-1</f>
        <v>0.103401412629443</v>
      </c>
      <c r="V15" s="84">
        <f>P15/'2016'!P15-1</f>
        <v>0.0928241401549994</v>
      </c>
      <c r="W15" s="85">
        <f>Q15/'2016'!Q15-1</f>
        <v>0.111746258040244</v>
      </c>
      <c r="X15" s="85">
        <f>R15/'2016'!R15-1</f>
        <v>0.103401412629443</v>
      </c>
      <c r="Y15" s="85">
        <f>S15/'2016'!S15-1</f>
        <v>0.0928241401549994</v>
      </c>
      <c r="Z15" s="145">
        <f>(Z16-Z9)/7*6+Z9</f>
        <v>4.07142857142857</v>
      </c>
      <c r="AA15" s="141">
        <f>Q15/10000-Z15</f>
        <v>68.9192714285714</v>
      </c>
      <c r="AB15" s="109"/>
      <c r="AC15" s="109"/>
      <c r="AD15" s="38">
        <f t="shared" si="4"/>
        <v>745379</v>
      </c>
      <c r="AE15" s="38">
        <f t="shared" si="6"/>
        <v>5372</v>
      </c>
      <c r="AF15" s="38">
        <f t="shared" si="7"/>
        <v>8696</v>
      </c>
      <c r="AG15" s="38">
        <f t="shared" si="5"/>
        <v>1404</v>
      </c>
    </row>
    <row r="16" ht="15" customHeight="1" spans="1:33">
      <c r="A16" s="106">
        <v>42747</v>
      </c>
      <c r="B16" s="15" t="s">
        <v>36</v>
      </c>
      <c r="C16" s="33">
        <v>70123</v>
      </c>
      <c r="D16" s="34">
        <f>19234+7538</f>
        <v>26772</v>
      </c>
      <c r="E16" s="34">
        <v>98473</v>
      </c>
      <c r="F16" s="124">
        <v>5075.8</v>
      </c>
      <c r="G16" s="34">
        <v>3003.1</v>
      </c>
      <c r="H16" s="20"/>
      <c r="I16" s="20"/>
      <c r="J16" s="33">
        <f t="shared" si="0"/>
        <v>71701</v>
      </c>
      <c r="K16" s="34">
        <v>728</v>
      </c>
      <c r="L16" s="34">
        <v>790</v>
      </c>
      <c r="M16" s="133">
        <f t="shared" si="1"/>
        <v>60</v>
      </c>
      <c r="N16" s="81">
        <f t="shared" si="2"/>
        <v>800030</v>
      </c>
      <c r="O16" s="82">
        <f t="shared" si="2"/>
        <v>314997</v>
      </c>
      <c r="P16" s="82">
        <f t="shared" si="2"/>
        <v>1132077</v>
      </c>
      <c r="Q16" s="81">
        <f t="shared" si="3"/>
        <v>800030</v>
      </c>
      <c r="R16" s="81">
        <f t="shared" si="3"/>
        <v>314997</v>
      </c>
      <c r="S16" s="81">
        <f t="shared" si="3"/>
        <v>1132077</v>
      </c>
      <c r="T16" s="86">
        <f>N16/'2016'!N16-1</f>
        <v>0.109899516240689</v>
      </c>
      <c r="U16" s="86">
        <f>O16/'2016'!O16-1</f>
        <v>0.0899210751222281</v>
      </c>
      <c r="V16" s="86">
        <f>P16/'2016'!P16-1</f>
        <v>0.0878995740951445</v>
      </c>
      <c r="W16" s="86">
        <f>Q16/'2016'!Q16-1</f>
        <v>0.109899516240689</v>
      </c>
      <c r="X16" s="86">
        <f>R16/'2016'!R16-1</f>
        <v>0.0899210751222281</v>
      </c>
      <c r="Y16" s="86">
        <f>S16/'2016'!S16-1</f>
        <v>0.0878995740951445</v>
      </c>
      <c r="Z16" s="143">
        <v>4.57</v>
      </c>
      <c r="AA16" s="143">
        <f>Q16/10000-Z16</f>
        <v>75.433</v>
      </c>
      <c r="AB16" s="34">
        <v>4258</v>
      </c>
      <c r="AC16" s="34">
        <f>AA16*10000/AB16</f>
        <v>177.155941756693</v>
      </c>
      <c r="AD16" s="34">
        <f t="shared" si="4"/>
        <v>817080</v>
      </c>
      <c r="AE16" s="34">
        <f t="shared" si="6"/>
        <v>6100</v>
      </c>
      <c r="AF16" s="34">
        <f t="shared" si="7"/>
        <v>9486</v>
      </c>
      <c r="AG16" s="34">
        <f t="shared" si="5"/>
        <v>1464</v>
      </c>
    </row>
    <row r="17" spans="1:33">
      <c r="A17" s="106">
        <v>42748</v>
      </c>
      <c r="B17" s="21" t="s">
        <v>37</v>
      </c>
      <c r="C17" s="9">
        <v>67115</v>
      </c>
      <c r="D17" s="38">
        <f>17005+7294</f>
        <v>24299</v>
      </c>
      <c r="E17" s="38">
        <v>92599</v>
      </c>
      <c r="F17" s="13">
        <v>4658.3</v>
      </c>
      <c r="G17" s="38">
        <v>2955.4</v>
      </c>
      <c r="H17" s="25"/>
      <c r="I17" s="37"/>
      <c r="J17" s="9">
        <f t="shared" si="0"/>
        <v>68300</v>
      </c>
      <c r="K17" s="38">
        <v>85</v>
      </c>
      <c r="L17" s="38">
        <v>792</v>
      </c>
      <c r="M17" s="132">
        <f t="shared" si="1"/>
        <v>308</v>
      </c>
      <c r="N17" s="78">
        <f t="shared" si="2"/>
        <v>867145</v>
      </c>
      <c r="O17" s="79">
        <f t="shared" si="2"/>
        <v>339296</v>
      </c>
      <c r="P17" s="79">
        <f t="shared" si="2"/>
        <v>1224676</v>
      </c>
      <c r="Q17" s="80">
        <f t="shared" si="3"/>
        <v>867145</v>
      </c>
      <c r="R17" s="80">
        <f t="shared" si="3"/>
        <v>339296</v>
      </c>
      <c r="S17" s="80">
        <f t="shared" si="3"/>
        <v>1224676</v>
      </c>
      <c r="T17" s="84">
        <f>N17/'2016'!N17-1</f>
        <v>0.103111602997112</v>
      </c>
      <c r="U17" s="84">
        <f>O17/'2016'!O17-1</f>
        <v>0.0707329542227075</v>
      </c>
      <c r="V17" s="84">
        <f>P17/'2016'!P17-1</f>
        <v>0.0775192025128237</v>
      </c>
      <c r="W17" s="85">
        <f>Q17/'2016'!Q17-1</f>
        <v>0.103111602997112</v>
      </c>
      <c r="X17" s="85">
        <f>R17/'2016'!R17-1</f>
        <v>0.0707329542227075</v>
      </c>
      <c r="Y17" s="85">
        <f>S17/'2016'!S17-1</f>
        <v>0.0775192025128237</v>
      </c>
      <c r="Z17" s="141"/>
      <c r="AA17" s="141"/>
      <c r="AB17" s="109"/>
      <c r="AC17" s="109"/>
      <c r="AD17" s="38">
        <f t="shared" si="4"/>
        <v>885380</v>
      </c>
      <c r="AE17" s="38">
        <f t="shared" si="6"/>
        <v>6185</v>
      </c>
      <c r="AF17" s="38">
        <f t="shared" si="7"/>
        <v>10278</v>
      </c>
      <c r="AG17" s="38">
        <f t="shared" si="5"/>
        <v>1772</v>
      </c>
    </row>
    <row r="18" spans="1:33">
      <c r="A18" s="106">
        <v>42749</v>
      </c>
      <c r="B18" s="21" t="s">
        <v>38</v>
      </c>
      <c r="C18" s="74">
        <v>64168</v>
      </c>
      <c r="D18" s="75">
        <f>16596+7325</f>
        <v>23921</v>
      </c>
      <c r="E18" s="75">
        <v>89321</v>
      </c>
      <c r="F18" s="125">
        <v>4419.9</v>
      </c>
      <c r="G18" s="75">
        <v>2858</v>
      </c>
      <c r="H18" s="25"/>
      <c r="I18" s="25"/>
      <c r="J18" s="74">
        <f t="shared" si="0"/>
        <v>65400</v>
      </c>
      <c r="K18" s="75">
        <v>134</v>
      </c>
      <c r="L18" s="75">
        <v>789</v>
      </c>
      <c r="M18" s="134">
        <f t="shared" si="1"/>
        <v>309</v>
      </c>
      <c r="N18" s="78">
        <f t="shared" si="2"/>
        <v>931313</v>
      </c>
      <c r="O18" s="79">
        <f t="shared" si="2"/>
        <v>363217</v>
      </c>
      <c r="P18" s="79">
        <f t="shared" si="2"/>
        <v>1313997</v>
      </c>
      <c r="Q18" s="80">
        <f t="shared" si="3"/>
        <v>931313</v>
      </c>
      <c r="R18" s="80">
        <f t="shared" si="3"/>
        <v>363217</v>
      </c>
      <c r="S18" s="80">
        <f t="shared" si="3"/>
        <v>1313997</v>
      </c>
      <c r="T18" s="84">
        <f>N18/'2016'!N18-1</f>
        <v>0.0949010746645567</v>
      </c>
      <c r="U18" s="84">
        <f>O18/'2016'!O18-1</f>
        <v>0.0512488784695089</v>
      </c>
      <c r="V18" s="84">
        <f>P18/'2016'!P18-1</f>
        <v>0.0664720391332825</v>
      </c>
      <c r="W18" s="85">
        <f>Q18/'2016'!Q18-1</f>
        <v>0.0949010746645567</v>
      </c>
      <c r="X18" s="85">
        <f>R18/'2016'!R18-1</f>
        <v>0.0512488784695089</v>
      </c>
      <c r="Y18" s="85">
        <f>S18/'2016'!S18-1</f>
        <v>0.0664720391332825</v>
      </c>
      <c r="Z18" s="144"/>
      <c r="AA18" s="144"/>
      <c r="AB18" s="109"/>
      <c r="AC18" s="109"/>
      <c r="AD18" s="38">
        <f t="shared" si="4"/>
        <v>950780</v>
      </c>
      <c r="AE18" s="75">
        <f t="shared" si="6"/>
        <v>6319</v>
      </c>
      <c r="AF18" s="75">
        <f t="shared" si="7"/>
        <v>11067</v>
      </c>
      <c r="AG18" s="75">
        <f t="shared" si="5"/>
        <v>2081</v>
      </c>
    </row>
    <row r="19" spans="1:33">
      <c r="A19" s="106">
        <v>42750</v>
      </c>
      <c r="B19" s="21" t="s">
        <v>1</v>
      </c>
      <c r="C19" s="9">
        <v>60329</v>
      </c>
      <c r="D19" s="38">
        <f>16044+7490</f>
        <v>23534</v>
      </c>
      <c r="E19" s="38">
        <v>85348</v>
      </c>
      <c r="F19" s="13">
        <v>4140.2</v>
      </c>
      <c r="G19" s="38">
        <v>2770</v>
      </c>
      <c r="H19" s="25"/>
      <c r="I19" s="37"/>
      <c r="J19" s="9">
        <f t="shared" si="0"/>
        <v>61814</v>
      </c>
      <c r="K19" s="38">
        <v>487</v>
      </c>
      <c r="L19" s="38">
        <v>790</v>
      </c>
      <c r="M19" s="132">
        <f t="shared" si="1"/>
        <v>208</v>
      </c>
      <c r="N19" s="78">
        <f t="shared" si="2"/>
        <v>991642</v>
      </c>
      <c r="O19" s="79">
        <f t="shared" si="2"/>
        <v>386751</v>
      </c>
      <c r="P19" s="79">
        <f t="shared" si="2"/>
        <v>1399345</v>
      </c>
      <c r="Q19" s="80">
        <f t="shared" si="3"/>
        <v>991642</v>
      </c>
      <c r="R19" s="80">
        <f t="shared" si="3"/>
        <v>386751</v>
      </c>
      <c r="S19" s="80">
        <f t="shared" si="3"/>
        <v>1399345</v>
      </c>
      <c r="T19" s="84">
        <f>N19/'2016'!N19-1</f>
        <v>0.0863535626527552</v>
      </c>
      <c r="U19" s="84">
        <f>O19/'2016'!O19-1</f>
        <v>0.0338116342601751</v>
      </c>
      <c r="V19" s="84">
        <f>P19/'2016'!P19-1</f>
        <v>0.056038500055468</v>
      </c>
      <c r="W19" s="85">
        <f>Q19/'2016'!Q19-1</f>
        <v>0.0863535626527552</v>
      </c>
      <c r="X19" s="85">
        <f>R19/'2016'!R19-1</f>
        <v>0.0338116342601751</v>
      </c>
      <c r="Y19" s="85">
        <f>S19/'2016'!S19-1</f>
        <v>0.056038500055468</v>
      </c>
      <c r="Z19" s="141"/>
      <c r="AA19" s="141"/>
      <c r="AB19" s="109"/>
      <c r="AC19" s="109"/>
      <c r="AD19" s="38">
        <f t="shared" si="4"/>
        <v>1012594</v>
      </c>
      <c r="AE19" s="38">
        <f t="shared" si="6"/>
        <v>6806</v>
      </c>
      <c r="AF19" s="38">
        <f t="shared" si="7"/>
        <v>11857</v>
      </c>
      <c r="AG19" s="38">
        <f t="shared" si="5"/>
        <v>2289</v>
      </c>
    </row>
    <row r="20" spans="1:33">
      <c r="A20" s="106">
        <v>42751</v>
      </c>
      <c r="B20" s="21" t="s">
        <v>39</v>
      </c>
      <c r="C20" s="9">
        <v>59121</v>
      </c>
      <c r="D20" s="38">
        <f>16265+7419</f>
        <v>23684</v>
      </c>
      <c r="E20" s="38">
        <v>84369</v>
      </c>
      <c r="F20" s="13">
        <v>4193</v>
      </c>
      <c r="G20" s="38">
        <v>2642.2</v>
      </c>
      <c r="H20" s="25"/>
      <c r="I20" s="37"/>
      <c r="J20" s="9">
        <f t="shared" si="0"/>
        <v>60685</v>
      </c>
      <c r="K20" s="38">
        <v>526</v>
      </c>
      <c r="L20" s="38">
        <v>791</v>
      </c>
      <c r="M20" s="132">
        <f t="shared" si="1"/>
        <v>247</v>
      </c>
      <c r="N20" s="78">
        <f t="shared" si="2"/>
        <v>1050763</v>
      </c>
      <c r="O20" s="79">
        <f t="shared" si="2"/>
        <v>410435</v>
      </c>
      <c r="P20" s="79">
        <f t="shared" si="2"/>
        <v>1483714</v>
      </c>
      <c r="Q20" s="80">
        <f t="shared" si="3"/>
        <v>1050763</v>
      </c>
      <c r="R20" s="80">
        <f t="shared" si="3"/>
        <v>410435</v>
      </c>
      <c r="S20" s="80">
        <f t="shared" si="3"/>
        <v>1483714</v>
      </c>
      <c r="T20" s="84">
        <f>N20/'2016'!N20-1</f>
        <v>0.0767073400662359</v>
      </c>
      <c r="U20" s="84">
        <f>O20/'2016'!O20-1</f>
        <v>0.0299859969986398</v>
      </c>
      <c r="V20" s="84">
        <f>P20/'2016'!P20-1</f>
        <v>0.0487886771193466</v>
      </c>
      <c r="W20" s="85">
        <f>Q20/'2016'!Q20-1</f>
        <v>0.0767073400662359</v>
      </c>
      <c r="X20" s="85">
        <f>R20/'2016'!R20-1</f>
        <v>0.0299859969986398</v>
      </c>
      <c r="Y20" s="85">
        <f>S20/'2016'!S20-1</f>
        <v>0.0487886771193466</v>
      </c>
      <c r="Z20" s="141">
        <v>6.82</v>
      </c>
      <c r="AA20" s="141"/>
      <c r="AB20" s="109"/>
      <c r="AC20" s="109"/>
      <c r="AD20" s="38">
        <f t="shared" si="4"/>
        <v>1073279</v>
      </c>
      <c r="AE20" s="38">
        <f t="shared" si="6"/>
        <v>7332</v>
      </c>
      <c r="AF20" s="38">
        <f t="shared" si="7"/>
        <v>12648</v>
      </c>
      <c r="AG20" s="38">
        <f t="shared" si="5"/>
        <v>2536</v>
      </c>
    </row>
    <row r="21" spans="1:33">
      <c r="A21" s="106">
        <v>42752</v>
      </c>
      <c r="B21" s="21" t="s">
        <v>34</v>
      </c>
      <c r="C21" s="9">
        <v>57805</v>
      </c>
      <c r="D21" s="38">
        <f>16386+7434</f>
        <v>23820</v>
      </c>
      <c r="E21" s="38">
        <v>83160</v>
      </c>
      <c r="F21" s="13">
        <v>4183.4</v>
      </c>
      <c r="G21" s="38">
        <v>2566.8</v>
      </c>
      <c r="H21" s="25"/>
      <c r="I21" s="37"/>
      <c r="J21" s="9">
        <f t="shared" si="0"/>
        <v>59340</v>
      </c>
      <c r="K21" s="38">
        <v>595</v>
      </c>
      <c r="L21" s="38">
        <v>790</v>
      </c>
      <c r="M21" s="132">
        <f t="shared" si="1"/>
        <v>150</v>
      </c>
      <c r="N21" s="78">
        <f t="shared" si="2"/>
        <v>1108568</v>
      </c>
      <c r="O21" s="79">
        <f t="shared" si="2"/>
        <v>434255</v>
      </c>
      <c r="P21" s="79">
        <f t="shared" si="2"/>
        <v>1566874</v>
      </c>
      <c r="Q21" s="80">
        <f t="shared" si="3"/>
        <v>1108568</v>
      </c>
      <c r="R21" s="80">
        <f t="shared" si="3"/>
        <v>434255</v>
      </c>
      <c r="S21" s="80">
        <f t="shared" si="3"/>
        <v>1566874</v>
      </c>
      <c r="T21" s="84">
        <f>N21/'2016'!N21-1</f>
        <v>0.0714818695317665</v>
      </c>
      <c r="U21" s="84">
        <f>O21/'2016'!O21-1</f>
        <v>0.0289013095387589</v>
      </c>
      <c r="V21" s="84">
        <f>P21/'2016'!P21-1</f>
        <v>0.0447449503822928</v>
      </c>
      <c r="W21" s="85">
        <f>Q21/'2016'!Q21-1</f>
        <v>0.0714818695317665</v>
      </c>
      <c r="X21" s="85">
        <f>R21/'2016'!R21-1</f>
        <v>0.0289013095387589</v>
      </c>
      <c r="Y21" s="85">
        <f>S21/'2016'!S21-1</f>
        <v>0.0447449503822928</v>
      </c>
      <c r="Z21" s="141"/>
      <c r="AA21" s="141"/>
      <c r="AB21" s="109"/>
      <c r="AC21" s="109"/>
      <c r="AD21" s="38">
        <f t="shared" si="4"/>
        <v>1132619</v>
      </c>
      <c r="AE21" s="38">
        <f t="shared" si="6"/>
        <v>7927</v>
      </c>
      <c r="AF21" s="38">
        <f t="shared" si="7"/>
        <v>13438</v>
      </c>
      <c r="AG21" s="38">
        <f t="shared" si="5"/>
        <v>2686</v>
      </c>
    </row>
    <row r="22" spans="1:33">
      <c r="A22" s="106">
        <v>42753</v>
      </c>
      <c r="B22" s="21" t="s">
        <v>35</v>
      </c>
      <c r="C22" s="9">
        <v>52536</v>
      </c>
      <c r="D22" s="38">
        <f>16397+7399</f>
        <v>23796</v>
      </c>
      <c r="E22" s="38">
        <v>78049</v>
      </c>
      <c r="F22" s="13">
        <v>3931.4</v>
      </c>
      <c r="G22" s="38">
        <v>2432.9</v>
      </c>
      <c r="H22" s="25"/>
      <c r="I22" s="37"/>
      <c r="J22" s="9">
        <f t="shared" si="0"/>
        <v>54253</v>
      </c>
      <c r="K22" s="38">
        <v>782</v>
      </c>
      <c r="L22" s="38">
        <v>792</v>
      </c>
      <c r="M22" s="132">
        <f t="shared" si="1"/>
        <v>143</v>
      </c>
      <c r="N22" s="78">
        <f t="shared" ref="N22:P34" si="8">N21+C22</f>
        <v>1161104</v>
      </c>
      <c r="O22" s="79">
        <f t="shared" si="8"/>
        <v>458051</v>
      </c>
      <c r="P22" s="79">
        <f t="shared" si="8"/>
        <v>1644923</v>
      </c>
      <c r="Q22" s="80">
        <f t="shared" si="3"/>
        <v>1161104</v>
      </c>
      <c r="R22" s="80">
        <f t="shared" si="3"/>
        <v>458051</v>
      </c>
      <c r="S22" s="80">
        <f t="shared" si="3"/>
        <v>1644923</v>
      </c>
      <c r="T22" s="84">
        <f>N22/'2016'!N22-1</f>
        <v>0.0571328681515579</v>
      </c>
      <c r="U22" s="84">
        <f>O22/'2016'!O22-1</f>
        <v>0.02622634957264</v>
      </c>
      <c r="V22" s="84">
        <f>P22/'2016'!P22-1</f>
        <v>0.0345694448724778</v>
      </c>
      <c r="W22" s="85">
        <f>Q22/'2016'!Q22-1</f>
        <v>0.0571328681515579</v>
      </c>
      <c r="X22" s="85">
        <f>R22/'2016'!R22-1</f>
        <v>0.02622634957264</v>
      </c>
      <c r="Y22" s="85">
        <f>S22/'2016'!S22-1</f>
        <v>0.0345694448724778</v>
      </c>
      <c r="Z22" s="141">
        <f>(Z23-Z16)/7*6+Z16</f>
        <v>7.13285714285714</v>
      </c>
      <c r="AA22" s="141">
        <f>Q22/10000-Z22</f>
        <v>108.977542857143</v>
      </c>
      <c r="AB22" s="109"/>
      <c r="AC22" s="109"/>
      <c r="AD22" s="38">
        <f t="shared" si="4"/>
        <v>1186872</v>
      </c>
      <c r="AE22" s="38">
        <f t="shared" si="6"/>
        <v>8709</v>
      </c>
      <c r="AF22" s="38">
        <f t="shared" si="7"/>
        <v>14230</v>
      </c>
      <c r="AG22" s="38">
        <f t="shared" si="5"/>
        <v>2829</v>
      </c>
    </row>
    <row r="23" spans="1:33">
      <c r="A23" s="106">
        <v>42754</v>
      </c>
      <c r="B23" s="15" t="s">
        <v>36</v>
      </c>
      <c r="C23" s="33">
        <v>47892</v>
      </c>
      <c r="D23" s="34">
        <f>16752+7436</f>
        <v>24188</v>
      </c>
      <c r="E23" s="34">
        <v>73063</v>
      </c>
      <c r="F23" s="124">
        <v>3648.1</v>
      </c>
      <c r="G23" s="34">
        <v>2287.3</v>
      </c>
      <c r="H23" s="20"/>
      <c r="I23" s="20"/>
      <c r="J23" s="33">
        <f t="shared" si="0"/>
        <v>48875</v>
      </c>
      <c r="K23" s="34">
        <v>101</v>
      </c>
      <c r="L23" s="34">
        <v>789</v>
      </c>
      <c r="M23" s="133">
        <f t="shared" si="1"/>
        <v>93</v>
      </c>
      <c r="N23" s="81">
        <f t="shared" si="8"/>
        <v>1208996</v>
      </c>
      <c r="O23" s="82">
        <f t="shared" si="8"/>
        <v>482239</v>
      </c>
      <c r="P23" s="82">
        <f t="shared" si="8"/>
        <v>1717986</v>
      </c>
      <c r="Q23" s="81">
        <f t="shared" si="3"/>
        <v>1208996</v>
      </c>
      <c r="R23" s="81">
        <f t="shared" si="3"/>
        <v>482239</v>
      </c>
      <c r="S23" s="81">
        <f t="shared" si="3"/>
        <v>1717986</v>
      </c>
      <c r="T23" s="86">
        <f>N23/'2016'!N23-1</f>
        <v>0.0383093622492139</v>
      </c>
      <c r="U23" s="86">
        <f>O23/'2016'!O23-1</f>
        <v>0.0242773608830757</v>
      </c>
      <c r="V23" s="86">
        <f>P23/'2016'!P23-1</f>
        <v>0.0209801846218212</v>
      </c>
      <c r="W23" s="86">
        <f>Q23/'2016'!Q23-1</f>
        <v>0.0383093622492139</v>
      </c>
      <c r="X23" s="86">
        <f>R23/'2016'!R23-1</f>
        <v>0.0242773608830757</v>
      </c>
      <c r="Y23" s="86">
        <f>S23/'2016'!S23-1</f>
        <v>0.0209801846218212</v>
      </c>
      <c r="Z23" s="143">
        <v>7.56</v>
      </c>
      <c r="AA23" s="143">
        <f>Q23/10000-Z23</f>
        <v>113.3396</v>
      </c>
      <c r="AB23" s="34">
        <v>4258</v>
      </c>
      <c r="AC23" s="34">
        <f>AA23*10000/AB23</f>
        <v>266.180366369187</v>
      </c>
      <c r="AD23" s="34">
        <f t="shared" si="4"/>
        <v>1235747</v>
      </c>
      <c r="AE23" s="34">
        <f t="shared" si="6"/>
        <v>8810</v>
      </c>
      <c r="AF23" s="34">
        <f t="shared" si="7"/>
        <v>15019</v>
      </c>
      <c r="AG23" s="34">
        <f t="shared" si="5"/>
        <v>2922</v>
      </c>
    </row>
    <row r="24" spans="1:33">
      <c r="A24" s="106">
        <v>42755</v>
      </c>
      <c r="B24" s="21" t="s">
        <v>37</v>
      </c>
      <c r="C24" s="9">
        <v>40727</v>
      </c>
      <c r="D24" s="38">
        <v>24626</v>
      </c>
      <c r="E24" s="38">
        <v>66682</v>
      </c>
      <c r="F24" s="13">
        <v>3216</v>
      </c>
      <c r="G24" s="38">
        <v>2108</v>
      </c>
      <c r="H24" s="25"/>
      <c r="I24" s="37"/>
      <c r="J24" s="9">
        <f t="shared" si="0"/>
        <v>42056</v>
      </c>
      <c r="K24" s="38">
        <v>114</v>
      </c>
      <c r="L24" s="38">
        <v>791</v>
      </c>
      <c r="M24" s="132">
        <f t="shared" si="1"/>
        <v>424</v>
      </c>
      <c r="N24" s="78">
        <f t="shared" si="8"/>
        <v>1249723</v>
      </c>
      <c r="O24" s="79">
        <f t="shared" si="8"/>
        <v>506865</v>
      </c>
      <c r="P24" s="79">
        <f t="shared" si="8"/>
        <v>1784668</v>
      </c>
      <c r="Q24" s="80">
        <f t="shared" si="3"/>
        <v>1249723</v>
      </c>
      <c r="R24" s="80">
        <f t="shared" si="3"/>
        <v>506865</v>
      </c>
      <c r="S24" s="80">
        <f t="shared" si="3"/>
        <v>1784668</v>
      </c>
      <c r="T24" s="84">
        <f>N24/'2016'!N24-1</f>
        <v>0.0153324813482705</v>
      </c>
      <c r="U24" s="84">
        <f>O24/'2016'!O24-1</f>
        <v>0.0228497281764211</v>
      </c>
      <c r="V24" s="84">
        <f>P24/'2016'!P24-1</f>
        <v>0.00388578885788848</v>
      </c>
      <c r="W24" s="85">
        <f>Q24/'2016'!Q24-1</f>
        <v>0.0153324813482705</v>
      </c>
      <c r="X24" s="85">
        <f>R24/'2016'!R24-1</f>
        <v>0.0228497281764211</v>
      </c>
      <c r="Y24" s="85">
        <f>S24/'2016'!S24-1</f>
        <v>0.00388578885788848</v>
      </c>
      <c r="Z24" s="141"/>
      <c r="AA24" s="141"/>
      <c r="AB24" s="109"/>
      <c r="AC24" s="109"/>
      <c r="AD24" s="38">
        <f t="shared" si="4"/>
        <v>1277803</v>
      </c>
      <c r="AE24" s="38">
        <f t="shared" si="6"/>
        <v>8924</v>
      </c>
      <c r="AF24" s="38">
        <f t="shared" si="7"/>
        <v>15810</v>
      </c>
      <c r="AG24" s="38">
        <f t="shared" si="5"/>
        <v>3346</v>
      </c>
    </row>
    <row r="25" spans="1:33">
      <c r="A25" s="106">
        <v>42756</v>
      </c>
      <c r="B25" s="21" t="s">
        <v>38</v>
      </c>
      <c r="C25" s="74">
        <v>37008</v>
      </c>
      <c r="D25" s="75">
        <v>23954</v>
      </c>
      <c r="E25" s="75">
        <v>62557</v>
      </c>
      <c r="F25" s="125">
        <v>3063</v>
      </c>
      <c r="G25" s="75">
        <v>2080</v>
      </c>
      <c r="H25" s="25"/>
      <c r="I25" s="25"/>
      <c r="J25" s="74">
        <f t="shared" si="0"/>
        <v>38603</v>
      </c>
      <c r="K25" s="75">
        <v>360</v>
      </c>
      <c r="L25" s="75">
        <v>792</v>
      </c>
      <c r="M25" s="134">
        <f t="shared" si="1"/>
        <v>443</v>
      </c>
      <c r="N25" s="78">
        <f t="shared" si="8"/>
        <v>1286731</v>
      </c>
      <c r="O25" s="79">
        <f t="shared" si="8"/>
        <v>530819</v>
      </c>
      <c r="P25" s="79">
        <f t="shared" si="8"/>
        <v>1847225</v>
      </c>
      <c r="Q25" s="80">
        <f t="shared" si="3"/>
        <v>1286731</v>
      </c>
      <c r="R25" s="80">
        <f t="shared" si="3"/>
        <v>530819</v>
      </c>
      <c r="S25" s="80">
        <f t="shared" si="3"/>
        <v>1847225</v>
      </c>
      <c r="T25" s="84">
        <f>N25/'2016'!N25-1</f>
        <v>-0.00965995064966652</v>
      </c>
      <c r="U25" s="84">
        <f>O25/'2016'!O25-1</f>
        <v>0.01932382920216</v>
      </c>
      <c r="V25" s="84">
        <f>P25/'2016'!P25-1</f>
        <v>-0.0140713891894113</v>
      </c>
      <c r="W25" s="85">
        <f>Q25/'2016'!Q25-1</f>
        <v>-0.00965995064966652</v>
      </c>
      <c r="X25" s="85">
        <f>R25/'2016'!R25-1</f>
        <v>0.01932382920216</v>
      </c>
      <c r="Y25" s="85">
        <f>S25/'2016'!S25-1</f>
        <v>-0.0140713891894113</v>
      </c>
      <c r="Z25" s="144"/>
      <c r="AA25" s="144"/>
      <c r="AB25" s="109"/>
      <c r="AC25" s="109"/>
      <c r="AD25" s="38">
        <f t="shared" si="4"/>
        <v>1316406</v>
      </c>
      <c r="AE25" s="75">
        <f t="shared" si="6"/>
        <v>9284</v>
      </c>
      <c r="AF25" s="75">
        <f t="shared" si="7"/>
        <v>16602</v>
      </c>
      <c r="AG25" s="75">
        <f t="shared" si="5"/>
        <v>3789</v>
      </c>
    </row>
    <row r="26" spans="1:33">
      <c r="A26" s="106">
        <v>42757</v>
      </c>
      <c r="B26" s="21" t="s">
        <v>1</v>
      </c>
      <c r="C26" s="9">
        <v>32902</v>
      </c>
      <c r="D26" s="38">
        <v>23237</v>
      </c>
      <c r="E26" s="38">
        <v>57862</v>
      </c>
      <c r="F26" s="13">
        <v>2884</v>
      </c>
      <c r="G26" s="38">
        <v>1889</v>
      </c>
      <c r="H26" s="25"/>
      <c r="I26" s="37"/>
      <c r="J26" s="9">
        <f t="shared" si="0"/>
        <v>34625</v>
      </c>
      <c r="K26" s="38">
        <v>478</v>
      </c>
      <c r="L26" s="38">
        <v>789</v>
      </c>
      <c r="M26" s="132">
        <f t="shared" si="1"/>
        <v>456</v>
      </c>
      <c r="N26" s="78">
        <f t="shared" si="8"/>
        <v>1319633</v>
      </c>
      <c r="O26" s="79">
        <f t="shared" si="8"/>
        <v>554056</v>
      </c>
      <c r="P26" s="79">
        <f t="shared" si="8"/>
        <v>1905087</v>
      </c>
      <c r="Q26" s="80">
        <f t="shared" si="3"/>
        <v>1319633</v>
      </c>
      <c r="R26" s="80">
        <f t="shared" si="3"/>
        <v>554056</v>
      </c>
      <c r="S26" s="80">
        <f t="shared" si="3"/>
        <v>1905087</v>
      </c>
      <c r="T26" s="84">
        <f>N26/'2016'!N26-1</f>
        <v>-0.0327639712856236</v>
      </c>
      <c r="U26" s="84">
        <f>O26/'2016'!O26-1</f>
        <v>0.0132995844794288</v>
      </c>
      <c r="V26" s="84">
        <f>P26/'2016'!P26-1</f>
        <v>-0.0316068086369612</v>
      </c>
      <c r="W26" s="85">
        <f>Q26/'2016'!Q26-1</f>
        <v>-0.0327639712856236</v>
      </c>
      <c r="X26" s="85">
        <f>R26/'2016'!R26-1</f>
        <v>0.0132995844794288</v>
      </c>
      <c r="Y26" s="85">
        <f>S26/'2016'!S26-1</f>
        <v>-0.0316068086369612</v>
      </c>
      <c r="Z26" s="141"/>
      <c r="AA26" s="141"/>
      <c r="AB26" s="109"/>
      <c r="AC26" s="109"/>
      <c r="AD26" s="38">
        <f t="shared" si="4"/>
        <v>1351031</v>
      </c>
      <c r="AE26" s="38">
        <f t="shared" si="6"/>
        <v>9762</v>
      </c>
      <c r="AF26" s="38">
        <f t="shared" si="7"/>
        <v>17391</v>
      </c>
      <c r="AG26" s="38">
        <f t="shared" si="5"/>
        <v>4245</v>
      </c>
    </row>
    <row r="27" spans="1:33">
      <c r="A27" s="106">
        <v>42758</v>
      </c>
      <c r="B27" s="21" t="s">
        <v>39</v>
      </c>
      <c r="C27" s="9">
        <v>31550</v>
      </c>
      <c r="D27" s="38">
        <v>22307</v>
      </c>
      <c r="E27" s="38">
        <v>55297</v>
      </c>
      <c r="F27" s="13">
        <v>2817</v>
      </c>
      <c r="G27" s="38">
        <v>1780</v>
      </c>
      <c r="H27" s="25"/>
      <c r="I27" s="37"/>
      <c r="J27" s="9">
        <f t="shared" si="0"/>
        <v>32990</v>
      </c>
      <c r="K27" s="38">
        <v>235</v>
      </c>
      <c r="L27" s="38">
        <v>791</v>
      </c>
      <c r="M27" s="132">
        <f t="shared" si="1"/>
        <v>414</v>
      </c>
      <c r="N27" s="78">
        <f t="shared" si="8"/>
        <v>1351183</v>
      </c>
      <c r="O27" s="79">
        <f t="shared" si="8"/>
        <v>576363</v>
      </c>
      <c r="P27" s="79">
        <f t="shared" si="8"/>
        <v>1960384</v>
      </c>
      <c r="Q27" s="80">
        <f t="shared" si="3"/>
        <v>1351183</v>
      </c>
      <c r="R27" s="80">
        <f t="shared" si="3"/>
        <v>576363</v>
      </c>
      <c r="S27" s="80">
        <f t="shared" si="3"/>
        <v>1960384</v>
      </c>
      <c r="T27" s="84">
        <f>N27/'2016'!N27-1</f>
        <v>-0.052510192375388</v>
      </c>
      <c r="U27" s="84">
        <f>O27/'2016'!O27-1</f>
        <v>0.00599902954308229</v>
      </c>
      <c r="V27" s="84">
        <f>P27/'2016'!P27-1</f>
        <v>-0.0471129776261234</v>
      </c>
      <c r="W27" s="85">
        <f>Q27/'2016'!Q27-1</f>
        <v>-0.052510192375388</v>
      </c>
      <c r="X27" s="85">
        <f>R27/'2016'!R27-1</f>
        <v>0.00599902954308229</v>
      </c>
      <c r="Y27" s="85">
        <f>S27/'2016'!S27-1</f>
        <v>-0.0471129776261234</v>
      </c>
      <c r="Z27" s="141"/>
      <c r="AA27" s="141"/>
      <c r="AB27" s="109"/>
      <c r="AC27" s="109"/>
      <c r="AD27" s="38">
        <f t="shared" si="4"/>
        <v>1384021</v>
      </c>
      <c r="AE27" s="38">
        <f t="shared" si="6"/>
        <v>9997</v>
      </c>
      <c r="AF27" s="38">
        <f t="shared" si="7"/>
        <v>18182</v>
      </c>
      <c r="AG27" s="38">
        <f t="shared" si="5"/>
        <v>4659</v>
      </c>
    </row>
    <row r="28" spans="1:33">
      <c r="A28" s="106">
        <v>42759</v>
      </c>
      <c r="B28" s="21" t="s">
        <v>34</v>
      </c>
      <c r="C28" s="9">
        <v>28200</v>
      </c>
      <c r="D28" s="38">
        <v>21611</v>
      </c>
      <c r="E28" s="38">
        <v>51085</v>
      </c>
      <c r="F28" s="13">
        <v>2599</v>
      </c>
      <c r="G28" s="38">
        <v>1703</v>
      </c>
      <c r="H28" s="25"/>
      <c r="I28" s="37"/>
      <c r="J28" s="9">
        <f t="shared" si="0"/>
        <v>29474</v>
      </c>
      <c r="K28" s="38">
        <v>148</v>
      </c>
      <c r="L28" s="38">
        <v>791</v>
      </c>
      <c r="M28" s="132">
        <f t="shared" si="1"/>
        <v>335</v>
      </c>
      <c r="N28" s="78">
        <f t="shared" si="8"/>
        <v>1379383</v>
      </c>
      <c r="O28" s="79">
        <f t="shared" si="8"/>
        <v>597974</v>
      </c>
      <c r="P28" s="79">
        <f t="shared" si="8"/>
        <v>2011469</v>
      </c>
      <c r="Q28" s="80">
        <f t="shared" si="3"/>
        <v>1379383</v>
      </c>
      <c r="R28" s="80">
        <f t="shared" si="3"/>
        <v>597974</v>
      </c>
      <c r="S28" s="80">
        <f t="shared" si="3"/>
        <v>2011469</v>
      </c>
      <c r="T28" s="84">
        <f>N28/'2016'!N28-1</f>
        <v>-0.0718850506654466</v>
      </c>
      <c r="U28" s="84">
        <f>O28/'2016'!O28-1</f>
        <v>0.000163913587432951</v>
      </c>
      <c r="V28" s="84">
        <f>P28/'2016'!P28-1</f>
        <v>-0.0621665196446854</v>
      </c>
      <c r="W28" s="85">
        <f>Q28/'2016'!Q28-1</f>
        <v>-0.0718850506654466</v>
      </c>
      <c r="X28" s="85">
        <f>R28/'2016'!R28-1</f>
        <v>0.000163913587432951</v>
      </c>
      <c r="Y28" s="85">
        <f>S28/'2016'!S28-1</f>
        <v>-0.0621665196446854</v>
      </c>
      <c r="Z28" s="141"/>
      <c r="AA28" s="141"/>
      <c r="AB28" s="109"/>
      <c r="AC28" s="109"/>
      <c r="AD28" s="38">
        <f t="shared" si="4"/>
        <v>1413495</v>
      </c>
      <c r="AE28" s="38">
        <f t="shared" si="6"/>
        <v>10145</v>
      </c>
      <c r="AF28" s="38">
        <f t="shared" si="7"/>
        <v>18973</v>
      </c>
      <c r="AG28" s="38">
        <f t="shared" si="5"/>
        <v>4994</v>
      </c>
    </row>
    <row r="29" spans="1:33">
      <c r="A29" s="106">
        <v>42760</v>
      </c>
      <c r="B29" s="21" t="s">
        <v>35</v>
      </c>
      <c r="C29" s="9">
        <v>26775</v>
      </c>
      <c r="D29" s="38">
        <v>20199</v>
      </c>
      <c r="E29" s="38">
        <v>48291</v>
      </c>
      <c r="F29" s="13">
        <v>2459</v>
      </c>
      <c r="G29" s="38">
        <v>1540</v>
      </c>
      <c r="H29" s="25"/>
      <c r="I29" s="37"/>
      <c r="J29" s="9">
        <f t="shared" si="0"/>
        <v>28092</v>
      </c>
      <c r="K29" s="38">
        <v>128</v>
      </c>
      <c r="L29" s="38">
        <v>789</v>
      </c>
      <c r="M29" s="132">
        <f t="shared" si="1"/>
        <v>400</v>
      </c>
      <c r="N29" s="78">
        <f t="shared" si="8"/>
        <v>1406158</v>
      </c>
      <c r="O29" s="79">
        <f t="shared" si="8"/>
        <v>618173</v>
      </c>
      <c r="P29" s="79">
        <f t="shared" si="8"/>
        <v>2059760</v>
      </c>
      <c r="Q29" s="80">
        <f t="shared" si="3"/>
        <v>1406158</v>
      </c>
      <c r="R29" s="80">
        <f t="shared" si="3"/>
        <v>618173</v>
      </c>
      <c r="S29" s="80">
        <f t="shared" si="3"/>
        <v>2059760</v>
      </c>
      <c r="T29" s="84">
        <f>N29/'2016'!N29-1</f>
        <v>-0.0908110463744183</v>
      </c>
      <c r="U29" s="84">
        <f>O29/'2016'!O29-1</f>
        <v>-0.00666537044387061</v>
      </c>
      <c r="V29" s="84">
        <f>P29/'2016'!P29-1</f>
        <v>-0.0771581222907962</v>
      </c>
      <c r="W29" s="85">
        <f>Q29/'2016'!Q29-1</f>
        <v>-0.0908110463744183</v>
      </c>
      <c r="X29" s="85">
        <f>R29/'2016'!R29-1</f>
        <v>-0.00666537044387061</v>
      </c>
      <c r="Y29" s="85">
        <f>S29/'2016'!S29-1</f>
        <v>-0.0771581222907962</v>
      </c>
      <c r="Z29" s="141">
        <f>(Z30-Z23)/7*6+Z23</f>
        <v>8.7807895</v>
      </c>
      <c r="AA29" s="141">
        <f>Q29/10000-Z29</f>
        <v>131.8350105</v>
      </c>
      <c r="AB29" s="109"/>
      <c r="AC29" s="109"/>
      <c r="AD29" s="38">
        <f t="shared" si="4"/>
        <v>1441587</v>
      </c>
      <c r="AE29" s="38">
        <f t="shared" si="6"/>
        <v>10273</v>
      </c>
      <c r="AF29" s="38">
        <f t="shared" si="7"/>
        <v>19762</v>
      </c>
      <c r="AG29" s="38">
        <f t="shared" si="5"/>
        <v>5394</v>
      </c>
    </row>
    <row r="30" spans="1:33">
      <c r="A30" s="106">
        <v>42761</v>
      </c>
      <c r="B30" s="15" t="s">
        <v>36</v>
      </c>
      <c r="C30" s="33">
        <v>23725</v>
      </c>
      <c r="D30" s="34">
        <v>18395</v>
      </c>
      <c r="E30" s="34">
        <v>43501</v>
      </c>
      <c r="F30" s="124">
        <v>2290</v>
      </c>
      <c r="G30" s="34">
        <v>1458</v>
      </c>
      <c r="H30" s="20"/>
      <c r="I30" s="20"/>
      <c r="J30" s="33">
        <f t="shared" si="0"/>
        <v>25106</v>
      </c>
      <c r="K30" s="34">
        <v>202</v>
      </c>
      <c r="L30" s="34">
        <v>779</v>
      </c>
      <c r="M30" s="133">
        <f t="shared" si="1"/>
        <v>400</v>
      </c>
      <c r="N30" s="81">
        <f t="shared" si="8"/>
        <v>1429883</v>
      </c>
      <c r="O30" s="82">
        <f t="shared" si="8"/>
        <v>636568</v>
      </c>
      <c r="P30" s="82">
        <f t="shared" si="8"/>
        <v>2103261</v>
      </c>
      <c r="Q30" s="81">
        <f t="shared" si="3"/>
        <v>1429883</v>
      </c>
      <c r="R30" s="81">
        <f t="shared" si="3"/>
        <v>636568</v>
      </c>
      <c r="S30" s="81">
        <f t="shared" si="3"/>
        <v>2103261</v>
      </c>
      <c r="T30" s="86">
        <f>N30/'2016'!N30-1</f>
        <v>-0.107720657520159</v>
      </c>
      <c r="U30" s="86">
        <f>O30/'2016'!O30-1</f>
        <v>-0.0185340793630481</v>
      </c>
      <c r="V30" s="86">
        <f>P30/'2016'!P30-1</f>
        <v>-0.0917432737749772</v>
      </c>
      <c r="W30" s="86">
        <f>Q30/'2016'!Q30-1</f>
        <v>-0.107720657520159</v>
      </c>
      <c r="X30" s="86">
        <f>R30/'2016'!R30-1</f>
        <v>-0.0185340793630481</v>
      </c>
      <c r="Y30" s="86">
        <f>S30/'2016'!S30-1</f>
        <v>-0.0917432737749772</v>
      </c>
      <c r="Z30" s="143">
        <f>Z23+(Z35-Z23)/12*7</f>
        <v>8.98425441666667</v>
      </c>
      <c r="AA30" s="143">
        <f>Q30/10000-Z30</f>
        <v>134.004045583333</v>
      </c>
      <c r="AB30" s="34">
        <v>4258</v>
      </c>
      <c r="AC30" s="34">
        <f>AA30*10000/AB30</f>
        <v>314.711239040238</v>
      </c>
      <c r="AD30" s="34">
        <f t="shared" si="4"/>
        <v>1466693</v>
      </c>
      <c r="AE30" s="34">
        <f t="shared" si="6"/>
        <v>10475</v>
      </c>
      <c r="AF30" s="34">
        <f t="shared" si="7"/>
        <v>20541</v>
      </c>
      <c r="AG30" s="34">
        <f t="shared" si="5"/>
        <v>5794</v>
      </c>
    </row>
    <row r="31" spans="1:33">
      <c r="A31" s="126">
        <v>42762</v>
      </c>
      <c r="B31" s="21" t="s">
        <v>37</v>
      </c>
      <c r="C31" s="9">
        <v>24995</v>
      </c>
      <c r="D31" s="38">
        <v>15985</v>
      </c>
      <c r="E31" s="38">
        <v>41858</v>
      </c>
      <c r="F31" s="13">
        <v>2295</v>
      </c>
      <c r="G31" s="38">
        <v>1340</v>
      </c>
      <c r="H31" s="25"/>
      <c r="I31" s="37"/>
      <c r="J31" s="9">
        <f t="shared" si="0"/>
        <v>25873</v>
      </c>
      <c r="K31" s="38">
        <v>111</v>
      </c>
      <c r="L31" s="38">
        <v>481</v>
      </c>
      <c r="M31" s="132">
        <f t="shared" si="1"/>
        <v>286</v>
      </c>
      <c r="N31" s="78">
        <f t="shared" si="8"/>
        <v>1454878</v>
      </c>
      <c r="O31" s="79">
        <f t="shared" si="8"/>
        <v>652553</v>
      </c>
      <c r="P31" s="79">
        <f t="shared" si="8"/>
        <v>2145119</v>
      </c>
      <c r="Q31" s="80">
        <f t="shared" si="3"/>
        <v>1454878</v>
      </c>
      <c r="R31" s="80">
        <f t="shared" si="3"/>
        <v>652553</v>
      </c>
      <c r="S31" s="80">
        <f t="shared" si="3"/>
        <v>2145119</v>
      </c>
      <c r="T31" s="84">
        <f>N31/'2016'!N31-1</f>
        <v>-0.121637188230521</v>
      </c>
      <c r="U31" s="84">
        <f>O31/'2016'!O31-1</f>
        <v>-0.0328321266331212</v>
      </c>
      <c r="V31" s="84">
        <f>P31/'2016'!P31-1</f>
        <v>-0.105127688483236</v>
      </c>
      <c r="W31" s="85">
        <f>Q31/'2016'!Q31-1</f>
        <v>-0.121637188230521</v>
      </c>
      <c r="X31" s="85">
        <f>R31/'2016'!R31-1</f>
        <v>-0.0328321266331212</v>
      </c>
      <c r="Y31" s="85">
        <f>S31/'2016'!S31-1</f>
        <v>-0.105127688483236</v>
      </c>
      <c r="Z31" s="141"/>
      <c r="AA31" s="141"/>
      <c r="AB31" s="109"/>
      <c r="AC31" s="109"/>
      <c r="AD31" s="38">
        <f t="shared" si="4"/>
        <v>1492566</v>
      </c>
      <c r="AE31" s="38">
        <f t="shared" si="6"/>
        <v>10586</v>
      </c>
      <c r="AF31" s="38">
        <f t="shared" si="7"/>
        <v>21022</v>
      </c>
      <c r="AG31" s="38">
        <f t="shared" si="5"/>
        <v>6080</v>
      </c>
    </row>
    <row r="32" spans="1:33">
      <c r="A32" s="126">
        <v>42763</v>
      </c>
      <c r="B32" s="21" t="s">
        <v>38</v>
      </c>
      <c r="C32" s="74">
        <v>20031</v>
      </c>
      <c r="D32" s="75">
        <v>15352</v>
      </c>
      <c r="E32" s="75">
        <v>36615</v>
      </c>
      <c r="F32" s="125">
        <v>1921</v>
      </c>
      <c r="G32" s="75">
        <v>1216</v>
      </c>
      <c r="H32" s="25"/>
      <c r="I32" s="25"/>
      <c r="J32" s="74">
        <f t="shared" si="0"/>
        <v>21263</v>
      </c>
      <c r="K32" s="75">
        <v>297</v>
      </c>
      <c r="L32" s="75">
        <v>480</v>
      </c>
      <c r="M32" s="134">
        <f t="shared" si="1"/>
        <v>455</v>
      </c>
      <c r="N32" s="78">
        <f t="shared" si="8"/>
        <v>1474909</v>
      </c>
      <c r="O32" s="79">
        <f t="shared" si="8"/>
        <v>667905</v>
      </c>
      <c r="P32" s="79">
        <f t="shared" si="8"/>
        <v>2181734</v>
      </c>
      <c r="Q32" s="80">
        <f t="shared" si="3"/>
        <v>1474909</v>
      </c>
      <c r="R32" s="80">
        <f t="shared" si="3"/>
        <v>667905</v>
      </c>
      <c r="S32" s="80">
        <f t="shared" si="3"/>
        <v>2181734</v>
      </c>
      <c r="T32" s="84">
        <f>N32/'2016'!N32-1</f>
        <v>-0.135000958888604</v>
      </c>
      <c r="U32" s="84">
        <f>O32/'2016'!O32-1</f>
        <v>-0.0446763166175587</v>
      </c>
      <c r="V32" s="84">
        <f>P32/'2016'!P32-1</f>
        <v>-0.117608208295737</v>
      </c>
      <c r="W32" s="85">
        <f>Q32/'2016'!Q32-1</f>
        <v>-0.135000958888604</v>
      </c>
      <c r="X32" s="85">
        <f>R32/'2016'!R32-1</f>
        <v>-0.0446763166175587</v>
      </c>
      <c r="Y32" s="85">
        <f>S32/'2016'!S32-1</f>
        <v>-0.117608208295737</v>
      </c>
      <c r="Z32" s="144"/>
      <c r="AA32" s="144"/>
      <c r="AB32" s="109"/>
      <c r="AC32" s="109"/>
      <c r="AD32" s="38">
        <f t="shared" si="4"/>
        <v>1513829</v>
      </c>
      <c r="AE32" s="75">
        <f t="shared" si="6"/>
        <v>10883</v>
      </c>
      <c r="AF32" s="75">
        <f t="shared" si="7"/>
        <v>21502</v>
      </c>
      <c r="AG32" s="75">
        <f t="shared" si="5"/>
        <v>6535</v>
      </c>
    </row>
    <row r="33" spans="1:33">
      <c r="A33" s="126">
        <v>42764</v>
      </c>
      <c r="B33" s="21" t="s">
        <v>1</v>
      </c>
      <c r="C33" s="9">
        <v>17537</v>
      </c>
      <c r="D33" s="38">
        <v>15592</v>
      </c>
      <c r="E33" s="38">
        <v>34292</v>
      </c>
      <c r="F33" s="13">
        <v>1807</v>
      </c>
      <c r="G33" s="38">
        <v>1180</v>
      </c>
      <c r="H33" s="25"/>
      <c r="I33" s="37"/>
      <c r="J33" s="9">
        <f t="shared" si="0"/>
        <v>18700</v>
      </c>
      <c r="K33" s="38">
        <v>229</v>
      </c>
      <c r="L33" s="38">
        <v>479</v>
      </c>
      <c r="M33" s="132">
        <f t="shared" si="1"/>
        <v>455</v>
      </c>
      <c r="N33" s="78">
        <f t="shared" si="8"/>
        <v>1492446</v>
      </c>
      <c r="O33" s="79">
        <f t="shared" si="8"/>
        <v>683497</v>
      </c>
      <c r="P33" s="79">
        <f t="shared" si="8"/>
        <v>2216026</v>
      </c>
      <c r="Q33" s="80">
        <f t="shared" si="3"/>
        <v>1492446</v>
      </c>
      <c r="R33" s="80">
        <f t="shared" si="3"/>
        <v>683497</v>
      </c>
      <c r="S33" s="80">
        <f t="shared" si="3"/>
        <v>2216026</v>
      </c>
      <c r="T33" s="84">
        <f>N33/'2016'!N33-1</f>
        <v>-0.145603577774928</v>
      </c>
      <c r="U33" s="84">
        <f>O33/'2016'!O33-1</f>
        <v>-0.054679460936722</v>
      </c>
      <c r="V33" s="84">
        <f>P33/'2016'!P33-1</f>
        <v>-0.127865053655741</v>
      </c>
      <c r="W33" s="85">
        <f>Q33/'2016'!Q33-1</f>
        <v>-0.145603577774928</v>
      </c>
      <c r="X33" s="85">
        <f>R33/'2016'!R33-1</f>
        <v>-0.054679460936722</v>
      </c>
      <c r="Y33" s="85">
        <f>S33/'2016'!S33-1</f>
        <v>-0.127865053655741</v>
      </c>
      <c r="Z33" s="141"/>
      <c r="AA33" s="141"/>
      <c r="AB33" s="109"/>
      <c r="AC33" s="109"/>
      <c r="AD33" s="38">
        <f t="shared" si="4"/>
        <v>1532529</v>
      </c>
      <c r="AE33" s="38">
        <f t="shared" si="6"/>
        <v>11112</v>
      </c>
      <c r="AF33" s="38">
        <f t="shared" si="7"/>
        <v>21981</v>
      </c>
      <c r="AG33" s="38">
        <f t="shared" si="5"/>
        <v>6990</v>
      </c>
    </row>
    <row r="34" spans="1:33">
      <c r="A34" s="126">
        <v>42765</v>
      </c>
      <c r="B34" s="21" t="s">
        <v>39</v>
      </c>
      <c r="C34" s="9">
        <v>20898</v>
      </c>
      <c r="D34" s="38">
        <v>15586</v>
      </c>
      <c r="E34" s="38">
        <v>37549</v>
      </c>
      <c r="F34" s="13">
        <v>2099</v>
      </c>
      <c r="G34" s="38">
        <v>1137</v>
      </c>
      <c r="H34" s="25"/>
      <c r="I34" s="37"/>
      <c r="J34" s="9">
        <f t="shared" si="0"/>
        <v>21963</v>
      </c>
      <c r="K34" s="38">
        <v>233</v>
      </c>
      <c r="L34" s="38">
        <v>478</v>
      </c>
      <c r="M34" s="132">
        <f t="shared" si="1"/>
        <v>354</v>
      </c>
      <c r="N34" s="78">
        <f t="shared" si="8"/>
        <v>1513344</v>
      </c>
      <c r="O34" s="79">
        <f t="shared" si="8"/>
        <v>699083</v>
      </c>
      <c r="P34" s="79">
        <f t="shared" si="8"/>
        <v>2253575</v>
      </c>
      <c r="Q34" s="80">
        <f t="shared" si="3"/>
        <v>1513344</v>
      </c>
      <c r="R34" s="80">
        <f t="shared" si="3"/>
        <v>699083</v>
      </c>
      <c r="S34" s="80">
        <f t="shared" si="3"/>
        <v>2253575</v>
      </c>
      <c r="T34" s="84">
        <f>N34/'2016'!N34-1</f>
        <v>-0.151353376206509</v>
      </c>
      <c r="U34" s="84">
        <f>O34/'2016'!O34-1</f>
        <v>-0.0636319800693821</v>
      </c>
      <c r="V34" s="84">
        <f>P34/'2016'!P34-1</f>
        <v>-0.134436194303869</v>
      </c>
      <c r="W34" s="85">
        <f>Q34/'2016'!Q34-1</f>
        <v>-0.151353376206509</v>
      </c>
      <c r="X34" s="85">
        <f>R34/'2016'!R34-1</f>
        <v>-0.0636319800693821</v>
      </c>
      <c r="Y34" s="85">
        <f>S34/'2016'!S34-1</f>
        <v>-0.134436194303869</v>
      </c>
      <c r="Z34" s="141"/>
      <c r="AA34" s="141"/>
      <c r="AB34" s="109"/>
      <c r="AC34" s="109"/>
      <c r="AD34" s="38">
        <f t="shared" si="4"/>
        <v>1554492</v>
      </c>
      <c r="AE34" s="38">
        <f t="shared" si="6"/>
        <v>11345</v>
      </c>
      <c r="AF34" s="38">
        <f t="shared" si="7"/>
        <v>22459</v>
      </c>
      <c r="AG34" s="38">
        <f t="shared" si="5"/>
        <v>7344</v>
      </c>
    </row>
    <row r="35" s="1" customFormat="1" spans="1:33">
      <c r="A35" s="126">
        <v>42766</v>
      </c>
      <c r="B35" s="26" t="s">
        <v>34</v>
      </c>
      <c r="C35" s="43">
        <v>23861</v>
      </c>
      <c r="D35" s="44">
        <v>15903</v>
      </c>
      <c r="E35" s="44">
        <v>40989</v>
      </c>
      <c r="F35" s="127">
        <v>2194</v>
      </c>
      <c r="G35" s="44">
        <v>1317</v>
      </c>
      <c r="H35" s="31"/>
      <c r="I35" s="31"/>
      <c r="J35" s="43">
        <f t="shared" si="0"/>
        <v>25086</v>
      </c>
      <c r="K35" s="44">
        <v>426</v>
      </c>
      <c r="L35" s="44">
        <v>480</v>
      </c>
      <c r="M35" s="135">
        <f t="shared" si="1"/>
        <v>319</v>
      </c>
      <c r="N35" s="91" t="str">
        <f>[13]日发电量查询!$C$10</f>
        <v>1537312.620</v>
      </c>
      <c r="O35" s="92">
        <f>[13]日发电量查询!$C$15</f>
        <v>714986</v>
      </c>
      <c r="P35" s="92" t="str">
        <f>[13]日发电量查询!$D$2</f>
        <v>2294564.368</v>
      </c>
      <c r="Q35" s="91" t="str">
        <f t="shared" si="3"/>
        <v>1537312.620</v>
      </c>
      <c r="R35" s="91">
        <f t="shared" si="3"/>
        <v>714986</v>
      </c>
      <c r="S35" s="91" t="str">
        <f t="shared" si="3"/>
        <v>2294564.368</v>
      </c>
      <c r="T35" s="93">
        <f>N35/'2016'!N35-1</f>
        <v>-0.153923921472368</v>
      </c>
      <c r="U35" s="93">
        <f>O35/'2016'!O35-1</f>
        <v>-0.0712742756122241</v>
      </c>
      <c r="V35" s="93">
        <f>P35/'2016'!P35-1</f>
        <v>-0.138296323863809</v>
      </c>
      <c r="W35" s="93">
        <f>Q35/'2016'!Q35-1</f>
        <v>-0.153923921472368</v>
      </c>
      <c r="X35" s="93">
        <f>R35/'2016'!R35-1</f>
        <v>-0.0712742756122241</v>
      </c>
      <c r="Y35" s="93">
        <f>S35/'2016'!S35-1</f>
        <v>-0.138296323863809</v>
      </c>
      <c r="Z35" s="146">
        <v>10.001579</v>
      </c>
      <c r="AA35" s="146">
        <v>143.729683</v>
      </c>
      <c r="AB35" s="44">
        <v>4258</v>
      </c>
      <c r="AC35" s="44">
        <f>AA35*10000/AB35</f>
        <v>337.552097228746</v>
      </c>
      <c r="AD35" s="44">
        <f t="shared" si="4"/>
        <v>1579578.368</v>
      </c>
      <c r="AE35" s="44">
        <f t="shared" si="6"/>
        <v>11771</v>
      </c>
      <c r="AF35" s="44">
        <f t="shared" si="7"/>
        <v>22939</v>
      </c>
      <c r="AG35" s="44">
        <f t="shared" si="5"/>
        <v>7555.74799999967</v>
      </c>
    </row>
    <row r="36" spans="1:33">
      <c r="A36" s="126">
        <v>42767</v>
      </c>
      <c r="B36" s="21" t="s">
        <v>35</v>
      </c>
      <c r="C36" s="9">
        <v>25395</v>
      </c>
      <c r="D36" s="38">
        <v>16553</v>
      </c>
      <c r="E36" s="38">
        <v>43208</v>
      </c>
      <c r="F36" s="13">
        <v>2302</v>
      </c>
      <c r="G36" s="38">
        <v>1322</v>
      </c>
      <c r="H36" s="25"/>
      <c r="I36" s="37"/>
      <c r="J36" s="9">
        <f t="shared" si="0"/>
        <v>26655</v>
      </c>
      <c r="K36" s="38">
        <v>670</v>
      </c>
      <c r="L36" s="38">
        <v>479</v>
      </c>
      <c r="M36" s="132">
        <f t="shared" si="1"/>
        <v>111</v>
      </c>
      <c r="N36" s="78">
        <f>C36</f>
        <v>25395</v>
      </c>
      <c r="O36" s="79">
        <f>D36</f>
        <v>16553</v>
      </c>
      <c r="P36" s="79">
        <f>E36</f>
        <v>43208</v>
      </c>
      <c r="Q36" s="80">
        <f>N36+Q$35</f>
        <v>1562707.62</v>
      </c>
      <c r="R36" s="80">
        <f>O36+R$35</f>
        <v>731539</v>
      </c>
      <c r="S36" s="80">
        <f>P36+S$35</f>
        <v>2337772.368</v>
      </c>
      <c r="T36" s="84">
        <f>N36/'2016'!N36-1</f>
        <v>-0.302411822876607</v>
      </c>
      <c r="U36" s="84">
        <f>O36/'2016'!O36-1</f>
        <v>-0.238312166390576</v>
      </c>
      <c r="V36" s="84">
        <f>P36/'2016'!P36-1</f>
        <v>-0.295954115135813</v>
      </c>
      <c r="W36" s="85">
        <f>Q36/'2016'!Q36-1</f>
        <v>-0.156840490019667</v>
      </c>
      <c r="X36" s="85">
        <f>R36/'2016'!R36-1</f>
        <v>-0.0758600738514558</v>
      </c>
      <c r="Y36" s="85">
        <f>S36/'2016'!S36-1</f>
        <v>-0.141848059279185</v>
      </c>
      <c r="Z36" s="141">
        <f>(Z37-Z30)/7*6+Z30</f>
        <v>9.98346491666667</v>
      </c>
      <c r="AA36" s="141">
        <f>Q36/10000-Z36</f>
        <v>146.287297083333</v>
      </c>
      <c r="AB36" s="109"/>
      <c r="AC36" s="109"/>
      <c r="AD36" s="38">
        <f t="shared" si="4"/>
        <v>1606233.368</v>
      </c>
      <c r="AE36" s="38">
        <f t="shared" si="6"/>
        <v>12441</v>
      </c>
      <c r="AF36" s="38">
        <f t="shared" si="7"/>
        <v>23418</v>
      </c>
      <c r="AG36" s="38">
        <f t="shared" si="5"/>
        <v>7666.74799999967</v>
      </c>
    </row>
    <row r="37" spans="1:33">
      <c r="A37" s="126">
        <v>42768</v>
      </c>
      <c r="B37" s="15" t="s">
        <v>36</v>
      </c>
      <c r="C37" s="33">
        <v>26125</v>
      </c>
      <c r="D37" s="34">
        <v>17675</v>
      </c>
      <c r="E37" s="34">
        <v>44681</v>
      </c>
      <c r="F37" s="124">
        <v>2383</v>
      </c>
      <c r="G37" s="34">
        <v>1386</v>
      </c>
      <c r="H37" s="20"/>
      <c r="I37" s="20"/>
      <c r="J37" s="33">
        <f t="shared" si="0"/>
        <v>27006</v>
      </c>
      <c r="K37" s="34">
        <v>199</v>
      </c>
      <c r="L37" s="34">
        <v>479</v>
      </c>
      <c r="M37" s="133">
        <f t="shared" si="1"/>
        <v>203</v>
      </c>
      <c r="N37" s="81">
        <f t="shared" ref="N37:P52" si="9">N36+C37</f>
        <v>51520</v>
      </c>
      <c r="O37" s="82">
        <f t="shared" si="9"/>
        <v>34228</v>
      </c>
      <c r="P37" s="82">
        <f t="shared" si="9"/>
        <v>87889</v>
      </c>
      <c r="Q37" s="81">
        <f t="shared" ref="Q37:S62" si="10">N37+Q$35</f>
        <v>1588832.62</v>
      </c>
      <c r="R37" s="81">
        <f t="shared" si="10"/>
        <v>749214</v>
      </c>
      <c r="S37" s="81">
        <f t="shared" si="10"/>
        <v>2382453.368</v>
      </c>
      <c r="T37" s="86">
        <f>N37/'2016'!N37-1</f>
        <v>-0.231056252891748</v>
      </c>
      <c r="U37" s="86">
        <f>O37/'2016'!O37-1</f>
        <v>-0.237904392937457</v>
      </c>
      <c r="V37" s="86">
        <f>P37/'2016'!P37-1</f>
        <v>-0.253818397928429</v>
      </c>
      <c r="W37" s="86">
        <f>Q37/'2016'!Q37-1</f>
        <v>-0.156667002832284</v>
      </c>
      <c r="X37" s="86">
        <f>R37/'2016'!R37-1</f>
        <v>-0.0804595161824809</v>
      </c>
      <c r="Y37" s="86">
        <f>S37/'2016'!S37-1</f>
        <v>-0.143189774322738</v>
      </c>
      <c r="Z37" s="143">
        <v>10.15</v>
      </c>
      <c r="AA37" s="143">
        <f>Q37/10000-Z37</f>
        <v>148.733262</v>
      </c>
      <c r="AB37" s="34">
        <v>4258</v>
      </c>
      <c r="AC37" s="34">
        <f>AA37*10000/AB37</f>
        <v>349.303104744011</v>
      </c>
      <c r="AD37" s="34">
        <f t="shared" si="4"/>
        <v>1633239.368</v>
      </c>
      <c r="AE37" s="34">
        <f t="shared" si="6"/>
        <v>12640</v>
      </c>
      <c r="AF37" s="34">
        <f t="shared" si="7"/>
        <v>23897</v>
      </c>
      <c r="AG37" s="34">
        <f t="shared" si="5"/>
        <v>7869.74799999967</v>
      </c>
    </row>
    <row r="38" spans="1:33">
      <c r="A38" s="106">
        <v>42769</v>
      </c>
      <c r="B38" s="21" t="s">
        <v>37</v>
      </c>
      <c r="C38" s="9">
        <v>25478</v>
      </c>
      <c r="D38" s="38">
        <f>11854+9057</f>
        <v>20911</v>
      </c>
      <c r="E38" s="38">
        <v>47193</v>
      </c>
      <c r="F38" s="13">
        <v>2410.9</v>
      </c>
      <c r="G38" s="38">
        <v>1427.3</v>
      </c>
      <c r="H38" s="25"/>
      <c r="I38" s="37"/>
      <c r="J38" s="9">
        <f t="shared" si="0"/>
        <v>26282</v>
      </c>
      <c r="K38" s="38">
        <v>288</v>
      </c>
      <c r="L38" s="38">
        <v>480</v>
      </c>
      <c r="M38" s="132">
        <f t="shared" si="1"/>
        <v>36</v>
      </c>
      <c r="N38" s="78">
        <f t="shared" si="9"/>
        <v>76998</v>
      </c>
      <c r="O38" s="79">
        <f t="shared" si="9"/>
        <v>55139</v>
      </c>
      <c r="P38" s="79">
        <f t="shared" si="9"/>
        <v>135082</v>
      </c>
      <c r="Q38" s="80">
        <f t="shared" si="10"/>
        <v>1614310.62</v>
      </c>
      <c r="R38" s="80">
        <f t="shared" si="10"/>
        <v>770125</v>
      </c>
      <c r="S38" s="80">
        <f t="shared" si="10"/>
        <v>2429646.368</v>
      </c>
      <c r="T38" s="84">
        <f>N38/'2016'!N38-1</f>
        <v>-0.172091222863779</v>
      </c>
      <c r="U38" s="84">
        <f>O38/'2016'!O38-1</f>
        <v>-0.193803550019008</v>
      </c>
      <c r="V38" s="84">
        <f>P38/'2016'!P38-1</f>
        <v>-0.201916600692434</v>
      </c>
      <c r="W38" s="85">
        <f>Q38/'2016'!Q38-1</f>
        <v>-0.154808538665566</v>
      </c>
      <c r="X38" s="85">
        <f>R38/'2016'!R38-1</f>
        <v>-0.0812716000338801</v>
      </c>
      <c r="Y38" s="85">
        <f>S38/'2016'!S38-1</f>
        <v>-0.142098560034123</v>
      </c>
      <c r="Z38" s="141"/>
      <c r="AA38" s="141"/>
      <c r="AB38" s="109"/>
      <c r="AC38" s="109"/>
      <c r="AD38" s="38">
        <f t="shared" si="4"/>
        <v>1659521.368</v>
      </c>
      <c r="AE38" s="38">
        <f t="shared" si="6"/>
        <v>12928</v>
      </c>
      <c r="AF38" s="38">
        <f t="shared" si="7"/>
        <v>24377</v>
      </c>
      <c r="AG38" s="38">
        <f t="shared" si="5"/>
        <v>7905.74799999967</v>
      </c>
    </row>
    <row r="39" spans="1:33">
      <c r="A39" s="106">
        <v>42770</v>
      </c>
      <c r="B39" s="21" t="s">
        <v>38</v>
      </c>
      <c r="C39" s="74">
        <v>26430</v>
      </c>
      <c r="D39" s="75">
        <f>13528+10418</f>
        <v>23946</v>
      </c>
      <c r="E39" s="75">
        <v>51190</v>
      </c>
      <c r="F39" s="125">
        <v>2555.5</v>
      </c>
      <c r="G39" s="75">
        <v>1481.2</v>
      </c>
      <c r="H39" s="25"/>
      <c r="I39" s="25"/>
      <c r="J39" s="74">
        <f t="shared" si="0"/>
        <v>27244</v>
      </c>
      <c r="K39" s="75">
        <v>150</v>
      </c>
      <c r="L39" s="75">
        <v>479</v>
      </c>
      <c r="M39" s="134">
        <f t="shared" si="1"/>
        <v>185</v>
      </c>
      <c r="N39" s="78">
        <f t="shared" si="9"/>
        <v>103428</v>
      </c>
      <c r="O39" s="79">
        <f t="shared" si="9"/>
        <v>79085</v>
      </c>
      <c r="P39" s="79">
        <f t="shared" si="9"/>
        <v>186272</v>
      </c>
      <c r="Q39" s="80">
        <f t="shared" si="10"/>
        <v>1640740.62</v>
      </c>
      <c r="R39" s="80">
        <f t="shared" si="10"/>
        <v>794071</v>
      </c>
      <c r="S39" s="80">
        <f t="shared" si="10"/>
        <v>2480836.368</v>
      </c>
      <c r="T39" s="84">
        <f>N39/'2016'!N39-1</f>
        <v>-0.123602931830699</v>
      </c>
      <c r="U39" s="84">
        <f>O39/'2016'!O39-1</f>
        <v>-0.125185283511427</v>
      </c>
      <c r="V39" s="84">
        <f>P39/'2016'!P39-1</f>
        <v>-0.149473991817651</v>
      </c>
      <c r="W39" s="85">
        <f>Q39/'2016'!Q39-1</f>
        <v>-0.152074660233612</v>
      </c>
      <c r="X39" s="85">
        <f>R39/'2016'!R39-1</f>
        <v>-0.0769396193471966</v>
      </c>
      <c r="Y39" s="85">
        <f>S39/'2016'!S39-1</f>
        <v>-0.139145783357872</v>
      </c>
      <c r="Z39" s="144"/>
      <c r="AA39" s="144"/>
      <c r="AB39" s="109"/>
      <c r="AC39" s="109"/>
      <c r="AD39" s="38">
        <f t="shared" si="4"/>
        <v>1686765.368</v>
      </c>
      <c r="AE39" s="75">
        <f t="shared" si="6"/>
        <v>13078</v>
      </c>
      <c r="AF39" s="75">
        <f t="shared" si="7"/>
        <v>24856</v>
      </c>
      <c r="AG39" s="75">
        <f t="shared" si="5"/>
        <v>8090.74799999967</v>
      </c>
    </row>
    <row r="40" spans="1:33">
      <c r="A40" s="106">
        <v>42771</v>
      </c>
      <c r="B40" s="21" t="s">
        <v>1</v>
      </c>
      <c r="C40" s="9">
        <v>26708</v>
      </c>
      <c r="D40" s="38">
        <f>14755+10607</f>
        <v>25362</v>
      </c>
      <c r="E40" s="38">
        <v>53208</v>
      </c>
      <c r="F40" s="13">
        <v>2671.9</v>
      </c>
      <c r="G40" s="38">
        <v>1591.2</v>
      </c>
      <c r="H40" s="25"/>
      <c r="I40" s="37"/>
      <c r="J40" s="9">
        <f t="shared" si="0"/>
        <v>27846</v>
      </c>
      <c r="K40" s="38">
        <v>212</v>
      </c>
      <c r="L40" s="38">
        <v>674</v>
      </c>
      <c r="M40" s="132">
        <f t="shared" si="1"/>
        <v>252</v>
      </c>
      <c r="N40" s="78">
        <f t="shared" si="9"/>
        <v>130136</v>
      </c>
      <c r="O40" s="79">
        <f t="shared" si="9"/>
        <v>104447</v>
      </c>
      <c r="P40" s="79">
        <f t="shared" si="9"/>
        <v>239480</v>
      </c>
      <c r="Q40" s="80">
        <f t="shared" si="10"/>
        <v>1667448.62</v>
      </c>
      <c r="R40" s="80">
        <f t="shared" si="10"/>
        <v>819433</v>
      </c>
      <c r="S40" s="80">
        <f t="shared" si="10"/>
        <v>2534044.368</v>
      </c>
      <c r="T40" s="84">
        <f>N40/'2016'!N40-1</f>
        <v>-0.0692937600572143</v>
      </c>
      <c r="U40" s="84">
        <f>O40/'2016'!O40-1</f>
        <v>-0.0480673708770427</v>
      </c>
      <c r="V40" s="84">
        <f>P40/'2016'!P40-1</f>
        <v>-0.0865678017820091</v>
      </c>
      <c r="W40" s="85">
        <f>Q40/'2016'!Q40-1</f>
        <v>-0.147876642464084</v>
      </c>
      <c r="X40" s="85">
        <f>R40/'2016'!R40-1</f>
        <v>-0.0683793819308804</v>
      </c>
      <c r="Y40" s="85">
        <f>S40/'2016'!S40-1</f>
        <v>-0.133659748943504</v>
      </c>
      <c r="Z40" s="141"/>
      <c r="AA40" s="141"/>
      <c r="AB40" s="109"/>
      <c r="AC40" s="109"/>
      <c r="AD40" s="38">
        <f t="shared" si="4"/>
        <v>1714611.368</v>
      </c>
      <c r="AE40" s="38">
        <f t="shared" si="6"/>
        <v>13290</v>
      </c>
      <c r="AF40" s="38">
        <f t="shared" si="7"/>
        <v>25530</v>
      </c>
      <c r="AG40" s="38">
        <f t="shared" si="5"/>
        <v>8342.74799999967</v>
      </c>
    </row>
    <row r="41" spans="1:33">
      <c r="A41" s="106">
        <v>42772</v>
      </c>
      <c r="B41" s="21" t="s">
        <v>39</v>
      </c>
      <c r="C41" s="9">
        <v>31542</v>
      </c>
      <c r="D41" s="128">
        <f>13507+1620</f>
        <v>15127</v>
      </c>
      <c r="E41" s="38">
        <v>59039</v>
      </c>
      <c r="F41" s="13">
        <v>2952.7</v>
      </c>
      <c r="G41" s="38">
        <v>1722.6</v>
      </c>
      <c r="H41" s="25"/>
      <c r="I41" s="37"/>
      <c r="J41" s="9">
        <f t="shared" si="0"/>
        <v>43912</v>
      </c>
      <c r="K41" s="38">
        <v>210</v>
      </c>
      <c r="L41" s="38">
        <v>791</v>
      </c>
      <c r="M41" s="132">
        <f t="shared" si="1"/>
        <v>11369</v>
      </c>
      <c r="N41" s="78">
        <f t="shared" si="9"/>
        <v>161678</v>
      </c>
      <c r="O41" s="79">
        <f t="shared" si="9"/>
        <v>119574</v>
      </c>
      <c r="P41" s="79">
        <f t="shared" si="9"/>
        <v>298519</v>
      </c>
      <c r="Q41" s="80">
        <f t="shared" si="10"/>
        <v>1698990.62</v>
      </c>
      <c r="R41" s="80">
        <f t="shared" si="10"/>
        <v>834560</v>
      </c>
      <c r="S41" s="80">
        <f t="shared" si="10"/>
        <v>2593083.368</v>
      </c>
      <c r="T41" s="84">
        <f>N41/'2016'!N41-1</f>
        <v>0.0102033802992909</v>
      </c>
      <c r="U41" s="84">
        <f>O41/'2016'!O41-1</f>
        <v>-0.0570766173548245</v>
      </c>
      <c r="V41" s="84">
        <f>P41/'2016'!P41-1</f>
        <v>-0.0138286450504617</v>
      </c>
      <c r="W41" s="85">
        <f>Q41/'2016'!Q41-1</f>
        <v>-0.140637489656233</v>
      </c>
      <c r="X41" s="85">
        <f>R41/'2016'!R41-1</f>
        <v>-0.0692663625038894</v>
      </c>
      <c r="Y41" s="85">
        <f>S41/'2016'!S41-1</f>
        <v>-0.125591338877934</v>
      </c>
      <c r="Z41" s="141"/>
      <c r="AA41" s="141"/>
      <c r="AB41" s="109"/>
      <c r="AC41" s="109"/>
      <c r="AD41" s="38">
        <f t="shared" si="4"/>
        <v>1758523.368</v>
      </c>
      <c r="AE41" s="38">
        <f t="shared" si="6"/>
        <v>13500</v>
      </c>
      <c r="AF41" s="38">
        <f t="shared" si="7"/>
        <v>26321</v>
      </c>
      <c r="AG41" s="38">
        <f t="shared" si="5"/>
        <v>19711.7479999997</v>
      </c>
    </row>
    <row r="42" spans="1:33">
      <c r="A42" s="21">
        <v>42773</v>
      </c>
      <c r="B42" s="21" t="s">
        <v>34</v>
      </c>
      <c r="C42" s="9">
        <v>37218</v>
      </c>
      <c r="D42" s="38">
        <f>15401+11137</f>
        <v>26538</v>
      </c>
      <c r="E42" s="38">
        <v>65007</v>
      </c>
      <c r="F42" s="13">
        <v>3293.1</v>
      </c>
      <c r="G42" s="38">
        <v>1909.5</v>
      </c>
      <c r="H42" s="25"/>
      <c r="I42" s="37"/>
      <c r="J42" s="9">
        <f t="shared" si="0"/>
        <v>38469</v>
      </c>
      <c r="K42" s="38">
        <v>130</v>
      </c>
      <c r="L42" s="38">
        <v>791</v>
      </c>
      <c r="M42" s="132">
        <f t="shared" si="1"/>
        <v>330</v>
      </c>
      <c r="N42" s="78">
        <f t="shared" si="9"/>
        <v>198896</v>
      </c>
      <c r="O42" s="79">
        <f t="shared" si="9"/>
        <v>146112</v>
      </c>
      <c r="P42" s="79">
        <f t="shared" si="9"/>
        <v>363526</v>
      </c>
      <c r="Q42" s="80">
        <f t="shared" si="10"/>
        <v>1736208.62</v>
      </c>
      <c r="R42" s="80">
        <f t="shared" si="10"/>
        <v>861098</v>
      </c>
      <c r="S42" s="80">
        <f t="shared" si="10"/>
        <v>2658090.368</v>
      </c>
      <c r="T42" s="84">
        <f>N42/'2016'!N42-1</f>
        <v>0.086352861496783</v>
      </c>
      <c r="U42" s="84">
        <f>O42/'2016'!O42-1</f>
        <v>0.0395435206397541</v>
      </c>
      <c r="V42" s="84">
        <f>P42/'2016'!P42-1</f>
        <v>0.0613123129698563</v>
      </c>
      <c r="W42" s="85">
        <f>Q42/'2016'!Q42-1</f>
        <v>-0.131929110729237</v>
      </c>
      <c r="X42" s="85">
        <f>R42/'2016'!R42-1</f>
        <v>-0.0541656460653485</v>
      </c>
      <c r="Y42" s="85">
        <f>S42/'2016'!S42-1</f>
        <v>-0.115546562993703</v>
      </c>
      <c r="Z42" s="141"/>
      <c r="AA42" s="141"/>
      <c r="AB42" s="109"/>
      <c r="AC42" s="109"/>
      <c r="AD42" s="38">
        <f t="shared" si="4"/>
        <v>1796992.368</v>
      </c>
      <c r="AE42" s="38">
        <f t="shared" si="6"/>
        <v>13630</v>
      </c>
      <c r="AF42" s="38">
        <f t="shared" si="7"/>
        <v>27112</v>
      </c>
      <c r="AG42" s="38">
        <f t="shared" si="5"/>
        <v>20041.7479999997</v>
      </c>
    </row>
    <row r="43" spans="1:33">
      <c r="A43" s="21">
        <v>42774</v>
      </c>
      <c r="B43" s="21" t="s">
        <v>35</v>
      </c>
      <c r="C43" s="9">
        <v>45118</v>
      </c>
      <c r="D43" s="38">
        <f>15405+11048</f>
        <v>26453</v>
      </c>
      <c r="E43" s="38">
        <v>72720</v>
      </c>
      <c r="F43" s="13">
        <v>3770.4</v>
      </c>
      <c r="G43" s="38">
        <v>2045.2</v>
      </c>
      <c r="H43" s="25"/>
      <c r="I43" s="37"/>
      <c r="J43" s="9">
        <f t="shared" si="0"/>
        <v>46267</v>
      </c>
      <c r="K43" s="38">
        <v>276</v>
      </c>
      <c r="L43" s="38">
        <v>790</v>
      </c>
      <c r="M43" s="132">
        <f t="shared" si="1"/>
        <v>83</v>
      </c>
      <c r="N43" s="78">
        <f t="shared" si="9"/>
        <v>244014</v>
      </c>
      <c r="O43" s="79">
        <f t="shared" si="9"/>
        <v>172565</v>
      </c>
      <c r="P43" s="79">
        <f t="shared" si="9"/>
        <v>436246</v>
      </c>
      <c r="Q43" s="80">
        <f t="shared" si="10"/>
        <v>1781326.62</v>
      </c>
      <c r="R43" s="80">
        <f t="shared" si="10"/>
        <v>887551</v>
      </c>
      <c r="S43" s="80">
        <f t="shared" si="10"/>
        <v>2730810.368</v>
      </c>
      <c r="T43" s="84">
        <f>N43/'2016'!N43-1</f>
        <v>0.20512048044014</v>
      </c>
      <c r="U43" s="84">
        <f>O43/'2016'!O43-1</f>
        <v>0.122505399006062</v>
      </c>
      <c r="V43" s="84">
        <f>P43/'2016'!P43-1</f>
        <v>0.155462440835808</v>
      </c>
      <c r="W43" s="85">
        <f>Q43/'2016'!Q43-1</f>
        <v>-0.117924576324901</v>
      </c>
      <c r="X43" s="85">
        <f>R43/'2016'!R43-1</f>
        <v>-0.0390195205876207</v>
      </c>
      <c r="Y43" s="85">
        <f>S43/'2016'!S43-1</f>
        <v>-0.101817615859102</v>
      </c>
      <c r="Z43" s="141">
        <f>(Z44-Z37)/7*6+Z37</f>
        <v>11.4785714285714</v>
      </c>
      <c r="AA43" s="141">
        <f>Q43/10000-Z43</f>
        <v>166.654090571429</v>
      </c>
      <c r="AB43" s="109"/>
      <c r="AC43" s="109"/>
      <c r="AD43" s="38">
        <f t="shared" si="4"/>
        <v>1843259.368</v>
      </c>
      <c r="AE43" s="38">
        <f t="shared" si="6"/>
        <v>13906</v>
      </c>
      <c r="AF43" s="38">
        <f t="shared" si="7"/>
        <v>27902</v>
      </c>
      <c r="AG43" s="38">
        <f t="shared" si="5"/>
        <v>20124.7479999997</v>
      </c>
    </row>
    <row r="44" spans="1:33">
      <c r="A44" s="21">
        <v>42775</v>
      </c>
      <c r="B44" s="15" t="s">
        <v>36</v>
      </c>
      <c r="C44" s="33">
        <v>47954</v>
      </c>
      <c r="D44" s="34">
        <f>11047+16452</f>
        <v>27499</v>
      </c>
      <c r="E44" s="34">
        <v>76852</v>
      </c>
      <c r="F44" s="124">
        <v>4017</v>
      </c>
      <c r="G44" s="34">
        <v>2216</v>
      </c>
      <c r="H44" s="20"/>
      <c r="I44" s="20"/>
      <c r="J44" s="33">
        <f t="shared" si="0"/>
        <v>49353</v>
      </c>
      <c r="K44" s="34">
        <v>310</v>
      </c>
      <c r="L44" s="34">
        <v>793</v>
      </c>
      <c r="M44" s="133">
        <f t="shared" si="1"/>
        <v>296</v>
      </c>
      <c r="N44" s="81">
        <f t="shared" si="9"/>
        <v>291968</v>
      </c>
      <c r="O44" s="82">
        <f t="shared" si="9"/>
        <v>200064</v>
      </c>
      <c r="P44" s="82">
        <f t="shared" si="9"/>
        <v>513098</v>
      </c>
      <c r="Q44" s="81">
        <f t="shared" si="10"/>
        <v>1829280.62</v>
      </c>
      <c r="R44" s="81">
        <f t="shared" si="10"/>
        <v>915050</v>
      </c>
      <c r="S44" s="81">
        <f t="shared" si="10"/>
        <v>2807662.368</v>
      </c>
      <c r="T44" s="86">
        <f>N44/'2016'!N44-1</f>
        <v>0.324610512753042</v>
      </c>
      <c r="U44" s="86">
        <f>O44/'2016'!O44-1</f>
        <v>0.198153039041305</v>
      </c>
      <c r="V44" s="86">
        <f>P44/'2016'!P44-1</f>
        <v>0.252011253748606</v>
      </c>
      <c r="W44" s="86">
        <f>Q44/'2016'!Q44-1</f>
        <v>-0.102153460596277</v>
      </c>
      <c r="X44" s="86">
        <f>R44/'2016'!R44-1</f>
        <v>-0.0232527854454471</v>
      </c>
      <c r="Y44" s="86">
        <f>S44/'2016'!S44-1</f>
        <v>-0.0862383681535305</v>
      </c>
      <c r="Z44" s="143">
        <v>11.7</v>
      </c>
      <c r="AA44" s="143">
        <f>Q44/10000-Z44</f>
        <v>171.228062</v>
      </c>
      <c r="AB44" s="34">
        <v>4258</v>
      </c>
      <c r="AC44" s="34">
        <f>AA44*10000/AB44</f>
        <v>402.132602160639</v>
      </c>
      <c r="AD44" s="34">
        <f t="shared" si="4"/>
        <v>1892612.368</v>
      </c>
      <c r="AE44" s="34">
        <f t="shared" si="6"/>
        <v>14216</v>
      </c>
      <c r="AF44" s="34">
        <f t="shared" si="7"/>
        <v>28695</v>
      </c>
      <c r="AG44" s="34">
        <f t="shared" si="5"/>
        <v>20420.7479999997</v>
      </c>
    </row>
    <row r="45" spans="1:33">
      <c r="A45" s="21">
        <v>42776</v>
      </c>
      <c r="B45" s="21" t="s">
        <v>37</v>
      </c>
      <c r="C45" s="9">
        <v>49291</v>
      </c>
      <c r="D45" s="38">
        <f>8983+11056</f>
        <v>20039</v>
      </c>
      <c r="E45" s="38">
        <v>70772</v>
      </c>
      <c r="F45" s="13">
        <v>4014.2</v>
      </c>
      <c r="G45" s="38">
        <v>2364.7</v>
      </c>
      <c r="H45" s="25"/>
      <c r="I45" s="37"/>
      <c r="J45" s="9">
        <f t="shared" si="0"/>
        <v>50733</v>
      </c>
      <c r="K45" s="38">
        <v>155</v>
      </c>
      <c r="L45" s="38">
        <v>792</v>
      </c>
      <c r="M45" s="132">
        <f t="shared" si="1"/>
        <v>495</v>
      </c>
      <c r="N45" s="78">
        <f t="shared" si="9"/>
        <v>341259</v>
      </c>
      <c r="O45" s="79">
        <f t="shared" si="9"/>
        <v>220103</v>
      </c>
      <c r="P45" s="79">
        <f t="shared" si="9"/>
        <v>583870</v>
      </c>
      <c r="Q45" s="80">
        <f t="shared" si="10"/>
        <v>1878571.62</v>
      </c>
      <c r="R45" s="80">
        <f t="shared" si="10"/>
        <v>935089</v>
      </c>
      <c r="S45" s="80">
        <f t="shared" si="10"/>
        <v>2878434.368</v>
      </c>
      <c r="T45" s="84">
        <f>N45/'2016'!N45-1</f>
        <v>0.437557922051662</v>
      </c>
      <c r="U45" s="84">
        <f>O45/'2016'!O45-1</f>
        <v>0.228795060322352</v>
      </c>
      <c r="V45" s="84">
        <f>P45/'2016'!P45-1</f>
        <v>0.326865695384706</v>
      </c>
      <c r="W45" s="85">
        <f>Q45/'2016'!Q45-1</f>
        <v>-0.0855768969601032</v>
      </c>
      <c r="X45" s="85">
        <f>R45/'2016'!R45-1</f>
        <v>-0.0146357449803894</v>
      </c>
      <c r="Y45" s="85">
        <f>S45/'2016'!S45-1</f>
        <v>-0.0723286361614769</v>
      </c>
      <c r="Z45" s="141"/>
      <c r="AA45" s="141"/>
      <c r="AB45" s="109"/>
      <c r="AC45" s="109"/>
      <c r="AD45" s="38">
        <f t="shared" si="4"/>
        <v>1943345.368</v>
      </c>
      <c r="AE45" s="38">
        <f t="shared" si="6"/>
        <v>14371</v>
      </c>
      <c r="AF45" s="38">
        <f t="shared" si="7"/>
        <v>29487</v>
      </c>
      <c r="AG45" s="38">
        <f t="shared" si="5"/>
        <v>20915.7479999997</v>
      </c>
    </row>
    <row r="46" spans="1:33">
      <c r="A46" s="21">
        <v>42777</v>
      </c>
      <c r="B46" s="21" t="s">
        <v>38</v>
      </c>
      <c r="C46" s="74">
        <v>47871</v>
      </c>
      <c r="D46" s="75">
        <f>16813+10686</f>
        <v>27499</v>
      </c>
      <c r="E46" s="75">
        <v>76904</v>
      </c>
      <c r="F46" s="125">
        <v>3778.3</v>
      </c>
      <c r="G46" s="75">
        <v>2408.5</v>
      </c>
      <c r="H46" s="25"/>
      <c r="I46" s="25"/>
      <c r="J46" s="74">
        <f t="shared" si="0"/>
        <v>49405</v>
      </c>
      <c r="K46" s="75">
        <v>187</v>
      </c>
      <c r="L46" s="75">
        <v>793</v>
      </c>
      <c r="M46" s="134">
        <f t="shared" si="1"/>
        <v>554</v>
      </c>
      <c r="N46" s="78">
        <f t="shared" si="9"/>
        <v>389130</v>
      </c>
      <c r="O46" s="79">
        <f t="shared" si="9"/>
        <v>247602</v>
      </c>
      <c r="P46" s="79">
        <f t="shared" si="9"/>
        <v>660774</v>
      </c>
      <c r="Q46" s="80">
        <f t="shared" si="10"/>
        <v>1926442.62</v>
      </c>
      <c r="R46" s="80">
        <f t="shared" si="10"/>
        <v>962588</v>
      </c>
      <c r="S46" s="80">
        <f t="shared" si="10"/>
        <v>2955338.368</v>
      </c>
      <c r="T46" s="84">
        <f>N46/'2016'!N46-1</f>
        <v>0.533734835286977</v>
      </c>
      <c r="U46" s="84">
        <f>O46/'2016'!O46-1</f>
        <v>0.288748009119016</v>
      </c>
      <c r="V46" s="84">
        <f>P46/'2016'!P46-1</f>
        <v>0.405130800539278</v>
      </c>
      <c r="W46" s="85">
        <f>Q46/'2016'!Q46-1</f>
        <v>-0.069668243424341</v>
      </c>
      <c r="X46" s="85">
        <f>R46/'2016'!R46-1</f>
        <v>0.000628909242678999</v>
      </c>
      <c r="Y46" s="85">
        <f>S46/'2016'!S46-1</f>
        <v>-0.0567309405661712</v>
      </c>
      <c r="Z46" s="144"/>
      <c r="AA46" s="144"/>
      <c r="AB46" s="109"/>
      <c r="AC46" s="109"/>
      <c r="AD46" s="38">
        <f t="shared" si="4"/>
        <v>1992750.368</v>
      </c>
      <c r="AE46" s="75">
        <f t="shared" si="6"/>
        <v>14558</v>
      </c>
      <c r="AF46" s="75">
        <f t="shared" si="7"/>
        <v>30280</v>
      </c>
      <c r="AG46" s="75">
        <f t="shared" si="5"/>
        <v>21469.7479999997</v>
      </c>
    </row>
    <row r="47" spans="1:33">
      <c r="A47" s="21">
        <v>42778</v>
      </c>
      <c r="B47" s="21" t="s">
        <v>1</v>
      </c>
      <c r="C47" s="9">
        <v>48519</v>
      </c>
      <c r="D47" s="38">
        <f>16845+11044</f>
        <v>27889</v>
      </c>
      <c r="E47" s="38">
        <v>77964</v>
      </c>
      <c r="F47" s="13">
        <v>3824.2</v>
      </c>
      <c r="G47" s="38">
        <v>2462</v>
      </c>
      <c r="H47" s="25"/>
      <c r="I47" s="37"/>
      <c r="J47" s="9">
        <f t="shared" si="0"/>
        <v>50075</v>
      </c>
      <c r="K47" s="38">
        <v>260</v>
      </c>
      <c r="L47" s="38">
        <v>793</v>
      </c>
      <c r="M47" s="132">
        <f t="shared" si="1"/>
        <v>503</v>
      </c>
      <c r="N47" s="78">
        <f t="shared" si="9"/>
        <v>437649</v>
      </c>
      <c r="O47" s="79">
        <f t="shared" si="9"/>
        <v>275491</v>
      </c>
      <c r="P47" s="79">
        <f t="shared" si="9"/>
        <v>738738</v>
      </c>
      <c r="Q47" s="80">
        <f t="shared" si="10"/>
        <v>1974961.62</v>
      </c>
      <c r="R47" s="80">
        <f t="shared" si="10"/>
        <v>990477</v>
      </c>
      <c r="S47" s="80">
        <f t="shared" si="10"/>
        <v>3033302.368</v>
      </c>
      <c r="T47" s="84">
        <f>N47/'2016'!N47-1</f>
        <v>0.623411453117002</v>
      </c>
      <c r="U47" s="84">
        <f>O47/'2016'!O47-1</f>
        <v>0.340373565315546</v>
      </c>
      <c r="V47" s="84">
        <f>P47/'2016'!P47-1</f>
        <v>0.476</v>
      </c>
      <c r="W47" s="85">
        <f>Q47/'2016'!Q47-1</f>
        <v>-0.0534920973441191</v>
      </c>
      <c r="X47" s="85">
        <f>R47/'2016'!R47-1</f>
        <v>0.0154676590902101</v>
      </c>
      <c r="Y47" s="85">
        <f>S47/'2016'!S47-1</f>
        <v>-0.0411025469103219</v>
      </c>
      <c r="Z47" s="141"/>
      <c r="AA47" s="141"/>
      <c r="AB47" s="109"/>
      <c r="AC47" s="109"/>
      <c r="AD47" s="38">
        <f t="shared" si="4"/>
        <v>2042825.368</v>
      </c>
      <c r="AE47" s="38">
        <f t="shared" si="6"/>
        <v>14818</v>
      </c>
      <c r="AF47" s="38">
        <f t="shared" si="7"/>
        <v>31073</v>
      </c>
      <c r="AG47" s="38">
        <f t="shared" si="5"/>
        <v>21972.7479999997</v>
      </c>
    </row>
    <row r="48" spans="1:33">
      <c r="A48" s="21">
        <v>42779</v>
      </c>
      <c r="B48" s="21" t="s">
        <v>39</v>
      </c>
      <c r="C48" s="9">
        <v>53498</v>
      </c>
      <c r="D48" s="38">
        <f>17242+11040</f>
        <v>28282</v>
      </c>
      <c r="E48" s="38">
        <v>83208</v>
      </c>
      <c r="F48" s="13">
        <v>4305.8</v>
      </c>
      <c r="G48" s="38">
        <v>2511.9</v>
      </c>
      <c r="H48" s="25"/>
      <c r="I48" s="37"/>
      <c r="J48" s="9">
        <f t="shared" si="0"/>
        <v>54926</v>
      </c>
      <c r="K48" s="38">
        <v>140</v>
      </c>
      <c r="L48" s="38">
        <v>792</v>
      </c>
      <c r="M48" s="132">
        <f t="shared" si="1"/>
        <v>496</v>
      </c>
      <c r="N48" s="78">
        <f t="shared" si="9"/>
        <v>491147</v>
      </c>
      <c r="O48" s="79">
        <f t="shared" si="9"/>
        <v>303773</v>
      </c>
      <c r="P48" s="79">
        <f t="shared" si="9"/>
        <v>821946</v>
      </c>
      <c r="Q48" s="80">
        <f t="shared" si="10"/>
        <v>2028459.62</v>
      </c>
      <c r="R48" s="80">
        <f t="shared" si="10"/>
        <v>1018759</v>
      </c>
      <c r="S48" s="80">
        <f t="shared" si="10"/>
        <v>3116510.368</v>
      </c>
      <c r="T48" s="84">
        <f>N48/'2016'!N48-1</f>
        <v>0.719895086284178</v>
      </c>
      <c r="U48" s="84">
        <f>O48/'2016'!O48-1</f>
        <v>0.384587686193003</v>
      </c>
      <c r="V48" s="84">
        <f>P48/'2016'!P48-1</f>
        <v>0.547655674827854</v>
      </c>
      <c r="W48" s="85">
        <f>Q48/'2016'!Q48-1</f>
        <v>-0.0352424735762468</v>
      </c>
      <c r="X48" s="85">
        <f>R48/'2016'!R48-1</f>
        <v>0.0298265458886655</v>
      </c>
      <c r="Y48" s="85">
        <f>S48/'2016'!S48-1</f>
        <v>-0.0242347264203107</v>
      </c>
      <c r="Z48" s="141"/>
      <c r="AA48" s="141"/>
      <c r="AB48" s="109"/>
      <c r="AC48" s="109"/>
      <c r="AD48" s="38">
        <f t="shared" si="4"/>
        <v>2097751.368</v>
      </c>
      <c r="AE48" s="38">
        <f t="shared" si="6"/>
        <v>14958</v>
      </c>
      <c r="AF48" s="38">
        <f t="shared" si="7"/>
        <v>31865</v>
      </c>
      <c r="AG48" s="38">
        <f t="shared" si="5"/>
        <v>22468.7479999997</v>
      </c>
    </row>
    <row r="49" spans="1:33">
      <c r="A49" s="106">
        <v>42780</v>
      </c>
      <c r="B49" s="21" t="s">
        <v>34</v>
      </c>
      <c r="C49" s="9">
        <v>54651</v>
      </c>
      <c r="D49" s="38">
        <f>18020+11111</f>
        <v>29131</v>
      </c>
      <c r="E49" s="38">
        <v>85623</v>
      </c>
      <c r="F49" s="13">
        <v>4369.5</v>
      </c>
      <c r="G49" s="38">
        <v>2650.2</v>
      </c>
      <c r="H49" s="25"/>
      <c r="I49" s="37"/>
      <c r="J49" s="9">
        <f t="shared" si="0"/>
        <v>56492</v>
      </c>
      <c r="K49" s="38">
        <v>528</v>
      </c>
      <c r="L49" s="38">
        <v>793</v>
      </c>
      <c r="M49" s="132">
        <f t="shared" si="1"/>
        <v>520</v>
      </c>
      <c r="N49" s="78">
        <f t="shared" si="9"/>
        <v>545798</v>
      </c>
      <c r="O49" s="79">
        <f t="shared" si="9"/>
        <v>332904</v>
      </c>
      <c r="P49" s="79">
        <f t="shared" si="9"/>
        <v>907569</v>
      </c>
      <c r="Q49" s="80">
        <f t="shared" si="10"/>
        <v>2083110.62</v>
      </c>
      <c r="R49" s="80">
        <f t="shared" si="10"/>
        <v>1047890</v>
      </c>
      <c r="S49" s="80">
        <f t="shared" si="10"/>
        <v>3202133.368</v>
      </c>
      <c r="T49" s="84">
        <f>N49/'2016'!N49-1</f>
        <v>0.788786124894305</v>
      </c>
      <c r="U49" s="84">
        <f>O49/'2016'!O49-1</f>
        <v>0.416745397441463</v>
      </c>
      <c r="V49" s="84">
        <f>P49/'2016'!P49-1</f>
        <v>0.597312495050028</v>
      </c>
      <c r="W49" s="85">
        <f>Q49/'2016'!Q49-1</f>
        <v>-0.0183790307113711</v>
      </c>
      <c r="X49" s="85">
        <f>R49/'2016'!R49-1</f>
        <v>0.0428478307383799</v>
      </c>
      <c r="Y49" s="85">
        <f>S49/'2016'!S49-1</f>
        <v>-0.00893672562865833</v>
      </c>
      <c r="Z49" s="141"/>
      <c r="AA49" s="141"/>
      <c r="AB49" s="109"/>
      <c r="AC49" s="109"/>
      <c r="AD49" s="38">
        <f t="shared" si="4"/>
        <v>2154243.368</v>
      </c>
      <c r="AE49" s="38">
        <f t="shared" si="6"/>
        <v>15486</v>
      </c>
      <c r="AF49" s="38">
        <f t="shared" si="7"/>
        <v>32658</v>
      </c>
      <c r="AG49" s="38">
        <f t="shared" si="5"/>
        <v>22988.7479999997</v>
      </c>
    </row>
    <row r="50" spans="1:33">
      <c r="A50" s="106">
        <v>42781</v>
      </c>
      <c r="B50" s="21" t="s">
        <v>35</v>
      </c>
      <c r="C50" s="9">
        <v>54487</v>
      </c>
      <c r="D50" s="38">
        <f>18550+11123</f>
        <v>29673</v>
      </c>
      <c r="E50" s="38">
        <v>85827</v>
      </c>
      <c r="F50" s="13">
        <v>4374.7</v>
      </c>
      <c r="G50" s="38">
        <v>2676.4</v>
      </c>
      <c r="H50" s="25"/>
      <c r="I50" s="37"/>
      <c r="J50" s="9">
        <f t="shared" si="0"/>
        <v>56154</v>
      </c>
      <c r="K50" s="38">
        <v>330</v>
      </c>
      <c r="L50" s="38">
        <v>793</v>
      </c>
      <c r="M50" s="132">
        <f t="shared" si="1"/>
        <v>544</v>
      </c>
      <c r="N50" s="78">
        <f t="shared" si="9"/>
        <v>600285</v>
      </c>
      <c r="O50" s="79">
        <f t="shared" si="9"/>
        <v>362577</v>
      </c>
      <c r="P50" s="79">
        <f t="shared" si="9"/>
        <v>993396</v>
      </c>
      <c r="Q50" s="80">
        <f t="shared" si="10"/>
        <v>2137597.62</v>
      </c>
      <c r="R50" s="80">
        <f t="shared" si="10"/>
        <v>1077563</v>
      </c>
      <c r="S50" s="80">
        <f t="shared" si="10"/>
        <v>3287960.368</v>
      </c>
      <c r="T50" s="84">
        <f>N50/'2016'!N50-1</f>
        <v>0.836053991062662</v>
      </c>
      <c r="U50" s="84">
        <f>O50/'2016'!O50-1</f>
        <v>0.424876798893352</v>
      </c>
      <c r="V50" s="84">
        <f>P50/'2016'!P50-1</f>
        <v>0.625400461410082</v>
      </c>
      <c r="W50" s="85">
        <f>Q50/'2016'!Q50-1</f>
        <v>-0.00295549210003665</v>
      </c>
      <c r="X50" s="85">
        <f>R50/'2016'!R50-1</f>
        <v>0.0519799007926243</v>
      </c>
      <c r="Y50" s="85">
        <f>S50/'2016'!S50-1</f>
        <v>0.00426615695268739</v>
      </c>
      <c r="Z50" s="141">
        <f>(Z51-Z44)/7*6+Z44</f>
        <v>14.3485714285714</v>
      </c>
      <c r="AA50" s="141">
        <f>Q50/10000-Z50</f>
        <v>199.411190571429</v>
      </c>
      <c r="AB50" s="109"/>
      <c r="AC50" s="109"/>
      <c r="AD50" s="38">
        <f t="shared" si="4"/>
        <v>2210397.368</v>
      </c>
      <c r="AE50" s="38">
        <f t="shared" si="6"/>
        <v>15816</v>
      </c>
      <c r="AF50" s="38">
        <f t="shared" si="7"/>
        <v>33451</v>
      </c>
      <c r="AG50" s="38">
        <f t="shared" si="5"/>
        <v>23532.7479999997</v>
      </c>
    </row>
    <row r="51" spans="1:33">
      <c r="A51" s="106">
        <v>42782</v>
      </c>
      <c r="B51" s="15" t="s">
        <v>36</v>
      </c>
      <c r="C51" s="33">
        <v>54106</v>
      </c>
      <c r="D51" s="34">
        <v>31174</v>
      </c>
      <c r="E51" s="34">
        <v>87059</v>
      </c>
      <c r="F51" s="124">
        <v>4528</v>
      </c>
      <c r="G51" s="34">
        <v>2665</v>
      </c>
      <c r="H51" s="20"/>
      <c r="I51" s="20"/>
      <c r="J51" s="33">
        <f t="shared" si="0"/>
        <v>55885</v>
      </c>
      <c r="K51" s="34">
        <v>444</v>
      </c>
      <c r="L51" s="34">
        <v>795</v>
      </c>
      <c r="M51" s="133">
        <f t="shared" si="1"/>
        <v>540</v>
      </c>
      <c r="N51" s="81">
        <f t="shared" si="9"/>
        <v>654391</v>
      </c>
      <c r="O51" s="82">
        <f t="shared" si="9"/>
        <v>393751</v>
      </c>
      <c r="P51" s="82">
        <f t="shared" si="9"/>
        <v>1080455</v>
      </c>
      <c r="Q51" s="81">
        <f t="shared" si="10"/>
        <v>2191703.62</v>
      </c>
      <c r="R51" s="81">
        <f t="shared" si="10"/>
        <v>1108737</v>
      </c>
      <c r="S51" s="81">
        <f t="shared" si="10"/>
        <v>3375019.368</v>
      </c>
      <c r="T51" s="86">
        <f>N51/'2016'!N51-1</f>
        <v>0.861302076074373</v>
      </c>
      <c r="U51" s="86">
        <f>O51/'2016'!O51-1</f>
        <v>0.425332667274807</v>
      </c>
      <c r="V51" s="86">
        <f>P51/'2016'!P51-1</f>
        <v>0.641437658472556</v>
      </c>
      <c r="W51" s="86">
        <f>Q51/'2016'!Q51-1</f>
        <v>0.0106686163403684</v>
      </c>
      <c r="X51" s="86">
        <f>R51/'2016'!R51-1</f>
        <v>0.0598675663817059</v>
      </c>
      <c r="Y51" s="86">
        <f>S51/'2016'!S51-1</f>
        <v>0.016247634189084</v>
      </c>
      <c r="Z51" s="143">
        <v>14.79</v>
      </c>
      <c r="AA51" s="143">
        <f>Q51/10000-Z51</f>
        <v>204.380362</v>
      </c>
      <c r="AB51" s="34">
        <v>4258</v>
      </c>
      <c r="AC51" s="34">
        <f>AA51*10000/AB51</f>
        <v>479.991456082668</v>
      </c>
      <c r="AD51" s="34">
        <f t="shared" si="4"/>
        <v>2266282.368</v>
      </c>
      <c r="AE51" s="34">
        <f t="shared" si="6"/>
        <v>16260</v>
      </c>
      <c r="AF51" s="34">
        <f t="shared" si="7"/>
        <v>34246</v>
      </c>
      <c r="AG51" s="34">
        <f t="shared" si="5"/>
        <v>24072.7479999997</v>
      </c>
    </row>
    <row r="52" spans="1:33">
      <c r="A52" s="106">
        <v>42783</v>
      </c>
      <c r="B52" s="21" t="s">
        <v>37</v>
      </c>
      <c r="C52" s="9">
        <v>57451</v>
      </c>
      <c r="D52" s="38">
        <f>19895+11042</f>
        <v>30937</v>
      </c>
      <c r="E52" s="38">
        <v>90222</v>
      </c>
      <c r="F52" s="13">
        <v>4594.4</v>
      </c>
      <c r="G52" s="38">
        <v>2710</v>
      </c>
      <c r="H52" s="25"/>
      <c r="I52" s="37"/>
      <c r="J52" s="9">
        <f t="shared" si="0"/>
        <v>59285</v>
      </c>
      <c r="K52" s="38">
        <v>764</v>
      </c>
      <c r="L52" s="38">
        <v>791</v>
      </c>
      <c r="M52" s="132">
        <f t="shared" si="1"/>
        <v>279</v>
      </c>
      <c r="N52" s="78">
        <f t="shared" si="9"/>
        <v>711842</v>
      </c>
      <c r="O52" s="79">
        <f t="shared" si="9"/>
        <v>424688</v>
      </c>
      <c r="P52" s="79">
        <f t="shared" si="9"/>
        <v>1170677</v>
      </c>
      <c r="Q52" s="80">
        <f t="shared" si="10"/>
        <v>2249154.62</v>
      </c>
      <c r="R52" s="80">
        <f t="shared" si="10"/>
        <v>1139674</v>
      </c>
      <c r="S52" s="80">
        <f t="shared" si="10"/>
        <v>3465241.368</v>
      </c>
      <c r="T52" s="84">
        <f>N52/'2016'!N52-1</f>
        <v>0.876285290295712</v>
      </c>
      <c r="U52" s="84">
        <f>O52/'2016'!O52-1</f>
        <v>0.430282292557742</v>
      </c>
      <c r="V52" s="84">
        <f>P52/'2016'!P52-1</f>
        <v>0.651352761947751</v>
      </c>
      <c r="W52" s="85">
        <f>Q52/'2016'!Q52-1</f>
        <v>0.0240280006192006</v>
      </c>
      <c r="X52" s="85">
        <f>R52/'2016'!R52-1</f>
        <v>0.0683278604927151</v>
      </c>
      <c r="Y52" s="85">
        <f>S52/'2016'!S52-1</f>
        <v>0.0277299806064697</v>
      </c>
      <c r="Z52" s="141"/>
      <c r="AA52" s="141"/>
      <c r="AB52" s="109"/>
      <c r="AC52" s="109"/>
      <c r="AD52" s="38">
        <f t="shared" si="4"/>
        <v>2325567.368</v>
      </c>
      <c r="AE52" s="38">
        <f t="shared" si="6"/>
        <v>17024</v>
      </c>
      <c r="AF52" s="38">
        <f t="shared" si="7"/>
        <v>35037</v>
      </c>
      <c r="AG52" s="38">
        <f t="shared" si="5"/>
        <v>24351.7479999997</v>
      </c>
    </row>
    <row r="53" spans="1:33">
      <c r="A53" s="106">
        <v>42784</v>
      </c>
      <c r="B53" s="21" t="s">
        <v>38</v>
      </c>
      <c r="C53" s="74">
        <v>58919</v>
      </c>
      <c r="D53" s="75">
        <f>19550+11075</f>
        <v>30625</v>
      </c>
      <c r="E53" s="75">
        <v>91243</v>
      </c>
      <c r="F53" s="125">
        <v>4767.6</v>
      </c>
      <c r="G53" s="75">
        <v>2840.3</v>
      </c>
      <c r="H53" s="25"/>
      <c r="I53" s="25"/>
      <c r="J53" s="74">
        <f t="shared" si="0"/>
        <v>60618</v>
      </c>
      <c r="K53" s="75">
        <v>550</v>
      </c>
      <c r="L53" s="75">
        <v>799</v>
      </c>
      <c r="M53" s="134">
        <f t="shared" si="1"/>
        <v>350</v>
      </c>
      <c r="N53" s="78">
        <f t="shared" ref="N53:P62" si="11">N52+C53</f>
        <v>770761</v>
      </c>
      <c r="O53" s="79">
        <f t="shared" si="11"/>
        <v>455313</v>
      </c>
      <c r="P53" s="79">
        <f t="shared" si="11"/>
        <v>1261920</v>
      </c>
      <c r="Q53" s="80">
        <f t="shared" si="10"/>
        <v>2308073.62</v>
      </c>
      <c r="R53" s="80">
        <f t="shared" si="10"/>
        <v>1170299</v>
      </c>
      <c r="S53" s="80">
        <f t="shared" si="10"/>
        <v>3556484.368</v>
      </c>
      <c r="T53" s="84">
        <f>N53/'2016'!N53-1</f>
        <v>0.881217141713488</v>
      </c>
      <c r="U53" s="84">
        <f>O53/'2016'!O53-1</f>
        <v>0.43295095123448</v>
      </c>
      <c r="V53" s="84">
        <f>P53/'2016'!P53-1</f>
        <v>0.656252091774258</v>
      </c>
      <c r="W53" s="85">
        <f>Q53/'2016'!Q53-1</f>
        <v>0.0365421643190276</v>
      </c>
      <c r="X53" s="85">
        <f>R53/'2016'!R53-1</f>
        <v>0.0760360867302561</v>
      </c>
      <c r="Y53" s="85">
        <f>S53/'2016'!S53-1</f>
        <v>0.0384696420395616</v>
      </c>
      <c r="Z53" s="144"/>
      <c r="AA53" s="144"/>
      <c r="AB53" s="109"/>
      <c r="AC53" s="109"/>
      <c r="AD53" s="38">
        <f t="shared" si="4"/>
        <v>2386185.368</v>
      </c>
      <c r="AE53" s="75">
        <f t="shared" si="6"/>
        <v>17574</v>
      </c>
      <c r="AF53" s="75">
        <f t="shared" si="7"/>
        <v>35836</v>
      </c>
      <c r="AG53" s="75">
        <f t="shared" si="5"/>
        <v>24701.7479999997</v>
      </c>
    </row>
    <row r="54" spans="1:33">
      <c r="A54" s="106">
        <v>42785</v>
      </c>
      <c r="B54" s="21" t="s">
        <v>1</v>
      </c>
      <c r="C54" s="9">
        <v>53162</v>
      </c>
      <c r="D54" s="38">
        <f>19307+11057</f>
        <v>30364</v>
      </c>
      <c r="E54" s="38">
        <v>85156</v>
      </c>
      <c r="F54" s="13">
        <v>4313.5</v>
      </c>
      <c r="G54" s="38">
        <v>2831.5</v>
      </c>
      <c r="H54" s="25"/>
      <c r="I54" s="37"/>
      <c r="J54" s="9">
        <f t="shared" si="0"/>
        <v>54792</v>
      </c>
      <c r="K54" s="38">
        <v>252</v>
      </c>
      <c r="L54" s="38">
        <v>786</v>
      </c>
      <c r="M54" s="132">
        <f t="shared" si="1"/>
        <v>592</v>
      </c>
      <c r="N54" s="78">
        <f t="shared" si="11"/>
        <v>823923</v>
      </c>
      <c r="O54" s="79">
        <f t="shared" si="11"/>
        <v>485677</v>
      </c>
      <c r="P54" s="79">
        <f t="shared" si="11"/>
        <v>1347076</v>
      </c>
      <c r="Q54" s="80">
        <f t="shared" si="10"/>
        <v>2361235.62</v>
      </c>
      <c r="R54" s="80">
        <f t="shared" si="10"/>
        <v>1200663</v>
      </c>
      <c r="S54" s="80">
        <f t="shared" si="10"/>
        <v>3641640.368</v>
      </c>
      <c r="T54" s="84">
        <f>N54/'2016'!N54-1</f>
        <v>0.855222805160884</v>
      </c>
      <c r="U54" s="84">
        <f>O54/'2016'!O54-1</f>
        <v>0.43231638084846</v>
      </c>
      <c r="V54" s="84">
        <f>P54/'2016'!P54-1</f>
        <v>0.642026685389834</v>
      </c>
      <c r="W54" s="85">
        <f>Q54/'2016'!Q54-1</f>
        <v>0.0442857793614704</v>
      </c>
      <c r="X54" s="85">
        <f>R54/'2016'!R54-1</f>
        <v>0.0827103671788065</v>
      </c>
      <c r="Y54" s="85">
        <f>S54/'2016'!S54-1</f>
        <v>0.0454879146944602</v>
      </c>
      <c r="Z54" s="141"/>
      <c r="AA54" s="141"/>
      <c r="AB54" s="109"/>
      <c r="AC54" s="109"/>
      <c r="AD54" s="38">
        <f t="shared" si="4"/>
        <v>2440977.368</v>
      </c>
      <c r="AE54" s="38">
        <f t="shared" si="6"/>
        <v>17826</v>
      </c>
      <c r="AF54" s="38">
        <f t="shared" si="7"/>
        <v>36622</v>
      </c>
      <c r="AG54" s="38">
        <f t="shared" si="5"/>
        <v>25293.7479999997</v>
      </c>
    </row>
    <row r="55" spans="1:33">
      <c r="A55" s="106">
        <v>42786</v>
      </c>
      <c r="B55" s="21" t="s">
        <v>39</v>
      </c>
      <c r="C55" s="9">
        <v>59098</v>
      </c>
      <c r="D55" s="38">
        <f>19289+11043</f>
        <v>30332</v>
      </c>
      <c r="E55" s="38">
        <v>91591</v>
      </c>
      <c r="F55" s="13">
        <v>4652.6</v>
      </c>
      <c r="G55" s="38">
        <v>2678.4</v>
      </c>
      <c r="H55" s="25"/>
      <c r="I55" s="37"/>
      <c r="J55" s="9">
        <f t="shared" si="0"/>
        <v>61259</v>
      </c>
      <c r="K55" s="38">
        <v>1046</v>
      </c>
      <c r="L55" s="38">
        <v>794</v>
      </c>
      <c r="M55" s="132">
        <f t="shared" si="1"/>
        <v>321</v>
      </c>
      <c r="N55" s="78">
        <f t="shared" si="11"/>
        <v>883021</v>
      </c>
      <c r="O55" s="79">
        <f t="shared" si="11"/>
        <v>516009</v>
      </c>
      <c r="P55" s="79">
        <f t="shared" si="11"/>
        <v>1438667</v>
      </c>
      <c r="Q55" s="80">
        <f t="shared" si="10"/>
        <v>2420333.62</v>
      </c>
      <c r="R55" s="80">
        <f t="shared" si="10"/>
        <v>1230995</v>
      </c>
      <c r="S55" s="80">
        <f t="shared" si="10"/>
        <v>3733231.368</v>
      </c>
      <c r="T55" s="84">
        <f>N55/'2016'!N55-1</f>
        <v>0.847378375098852</v>
      </c>
      <c r="U55" s="84">
        <f>O55/'2016'!O55-1</f>
        <v>0.426921332654912</v>
      </c>
      <c r="V55" s="84">
        <f>P55/'2016'!P55-1</f>
        <v>0.635891744623561</v>
      </c>
      <c r="W55" s="85">
        <f>Q55/'2016'!Q55-1</f>
        <v>0.0546221683267414</v>
      </c>
      <c r="X55" s="85">
        <f>R55/'2016'!R55-1</f>
        <v>0.0879502174583577</v>
      </c>
      <c r="Y55" s="85">
        <f>S55/'2016'!S55-1</f>
        <v>0.053911700489687</v>
      </c>
      <c r="Z55" s="141"/>
      <c r="AA55" s="141"/>
      <c r="AB55" s="109"/>
      <c r="AC55" s="109"/>
      <c r="AD55" s="38">
        <f t="shared" si="4"/>
        <v>2502236.368</v>
      </c>
      <c r="AE55" s="38">
        <f t="shared" si="6"/>
        <v>18872</v>
      </c>
      <c r="AF55" s="38">
        <f t="shared" si="7"/>
        <v>37416</v>
      </c>
      <c r="AG55" s="38">
        <f t="shared" si="5"/>
        <v>25614.7479999997</v>
      </c>
    </row>
    <row r="56" spans="1:33">
      <c r="A56" s="106">
        <v>42787</v>
      </c>
      <c r="B56" s="21" t="s">
        <v>34</v>
      </c>
      <c r="C56" s="9">
        <v>63796</v>
      </c>
      <c r="D56" s="38">
        <f>19537+11082</f>
        <v>30619</v>
      </c>
      <c r="E56" s="38">
        <v>96413</v>
      </c>
      <c r="F56" s="13">
        <v>5049</v>
      </c>
      <c r="G56" s="38">
        <v>2966</v>
      </c>
      <c r="H56" s="25"/>
      <c r="I56" s="37"/>
      <c r="J56" s="9">
        <f t="shared" si="0"/>
        <v>65794</v>
      </c>
      <c r="K56" s="38">
        <v>819</v>
      </c>
      <c r="L56" s="38">
        <v>793</v>
      </c>
      <c r="M56" s="132">
        <f t="shared" si="1"/>
        <v>386</v>
      </c>
      <c r="N56" s="78">
        <f t="shared" si="11"/>
        <v>946817</v>
      </c>
      <c r="O56" s="79">
        <f t="shared" si="11"/>
        <v>546628</v>
      </c>
      <c r="P56" s="79">
        <f t="shared" si="11"/>
        <v>1535080</v>
      </c>
      <c r="Q56" s="80">
        <f t="shared" si="10"/>
        <v>2484129.62</v>
      </c>
      <c r="R56" s="80">
        <f t="shared" si="10"/>
        <v>1261614</v>
      </c>
      <c r="S56" s="80">
        <f t="shared" si="10"/>
        <v>3829644.368</v>
      </c>
      <c r="T56" s="84">
        <f>N56/'2016'!N56-1</f>
        <v>0.842009832436145</v>
      </c>
      <c r="U56" s="84">
        <f>O56/'2016'!O56-1</f>
        <v>0.422943462630775</v>
      </c>
      <c r="V56" s="84">
        <f>P56/'2016'!P56-1</f>
        <v>0.631905871046821</v>
      </c>
      <c r="W56" s="85">
        <f>Q56/'2016'!Q56-1</f>
        <v>0.0656908439453558</v>
      </c>
      <c r="X56" s="85">
        <f>R56/'2016'!R56-1</f>
        <v>0.0932435594145631</v>
      </c>
      <c r="Y56" s="85">
        <f>S56/'2016'!S56-1</f>
        <v>0.0627598156231874</v>
      </c>
      <c r="Z56" s="141"/>
      <c r="AA56" s="141"/>
      <c r="AB56" s="109"/>
      <c r="AC56" s="109"/>
      <c r="AD56" s="38">
        <f t="shared" si="4"/>
        <v>2568030.368</v>
      </c>
      <c r="AE56" s="38">
        <f t="shared" si="6"/>
        <v>19691</v>
      </c>
      <c r="AF56" s="38">
        <f t="shared" si="7"/>
        <v>38209</v>
      </c>
      <c r="AG56" s="38">
        <f t="shared" si="5"/>
        <v>26000.7479999997</v>
      </c>
    </row>
    <row r="57" spans="1:33">
      <c r="A57" s="106">
        <v>42788</v>
      </c>
      <c r="B57" s="21" t="s">
        <v>35</v>
      </c>
      <c r="C57" s="9">
        <v>65540</v>
      </c>
      <c r="D57" s="38">
        <f>20663+11137</f>
        <v>31800</v>
      </c>
      <c r="E57" s="38">
        <v>99132</v>
      </c>
      <c r="F57" s="13">
        <v>5122.8</v>
      </c>
      <c r="G57" s="38">
        <v>2981.3</v>
      </c>
      <c r="H57" s="25"/>
      <c r="I57" s="37"/>
      <c r="J57" s="9">
        <f t="shared" si="0"/>
        <v>67332</v>
      </c>
      <c r="K57" s="38">
        <v>729</v>
      </c>
      <c r="L57" s="38">
        <v>811</v>
      </c>
      <c r="M57" s="132">
        <f t="shared" si="1"/>
        <v>252</v>
      </c>
      <c r="N57" s="78">
        <f t="shared" si="11"/>
        <v>1012357</v>
      </c>
      <c r="O57" s="79">
        <f t="shared" si="11"/>
        <v>578428</v>
      </c>
      <c r="P57" s="79">
        <f t="shared" si="11"/>
        <v>1634212</v>
      </c>
      <c r="Q57" s="80">
        <f t="shared" si="10"/>
        <v>2549669.62</v>
      </c>
      <c r="R57" s="80">
        <f t="shared" si="10"/>
        <v>1293414</v>
      </c>
      <c r="S57" s="80">
        <f t="shared" si="10"/>
        <v>3928776.368</v>
      </c>
      <c r="T57" s="84">
        <f>N57/'2016'!N57-1</f>
        <v>0.823632937751742</v>
      </c>
      <c r="U57" s="84">
        <f>O57/'2016'!O57-1</f>
        <v>0.423524924015898</v>
      </c>
      <c r="V57" s="84">
        <f>P57/'2016'!P57-1</f>
        <v>0.622520120015171</v>
      </c>
      <c r="W57" s="85">
        <f>Q57/'2016'!Q57-1</f>
        <v>0.0748471390395862</v>
      </c>
      <c r="X57" s="85">
        <f>R57/'2016'!R57-1</f>
        <v>0.0996623000326478</v>
      </c>
      <c r="Y57" s="85">
        <f>S57/'2016'!S57-1</f>
        <v>0.0705028129205518</v>
      </c>
      <c r="Z57" s="141">
        <f>(Z58-Z51)/7*6+Z51</f>
        <v>17.2071428571429</v>
      </c>
      <c r="AA57" s="141">
        <f>Q57/10000-Z57</f>
        <v>237.759819142857</v>
      </c>
      <c r="AB57" s="109"/>
      <c r="AC57" s="109"/>
      <c r="AD57" s="38">
        <f t="shared" si="4"/>
        <v>2635362.368</v>
      </c>
      <c r="AE57" s="38">
        <f t="shared" si="6"/>
        <v>20420</v>
      </c>
      <c r="AF57" s="38">
        <f t="shared" si="7"/>
        <v>39020</v>
      </c>
      <c r="AG57" s="38">
        <f t="shared" si="5"/>
        <v>26252.7479999997</v>
      </c>
    </row>
    <row r="58" spans="1:33">
      <c r="A58" s="106">
        <v>42789</v>
      </c>
      <c r="B58" s="15" t="s">
        <v>36</v>
      </c>
      <c r="C58" s="33">
        <v>72652</v>
      </c>
      <c r="D58" s="34">
        <f>18138+11000</f>
        <v>29138</v>
      </c>
      <c r="E58" s="34">
        <v>103563</v>
      </c>
      <c r="F58" s="124">
        <v>5436.1</v>
      </c>
      <c r="G58" s="34">
        <v>3065.7</v>
      </c>
      <c r="H58" s="20"/>
      <c r="I58" s="20"/>
      <c r="J58" s="33">
        <f t="shared" si="0"/>
        <v>74425</v>
      </c>
      <c r="K58" s="34">
        <v>891</v>
      </c>
      <c r="L58" s="34">
        <v>774</v>
      </c>
      <c r="M58" s="133">
        <f t="shared" si="1"/>
        <v>108</v>
      </c>
      <c r="N58" s="81">
        <f t="shared" si="11"/>
        <v>1085009</v>
      </c>
      <c r="O58" s="82">
        <f t="shared" si="11"/>
        <v>607566</v>
      </c>
      <c r="P58" s="82">
        <f t="shared" si="11"/>
        <v>1737775</v>
      </c>
      <c r="Q58" s="81">
        <f t="shared" si="10"/>
        <v>2622321.62</v>
      </c>
      <c r="R58" s="81">
        <f t="shared" si="10"/>
        <v>1322552</v>
      </c>
      <c r="S58" s="81">
        <f t="shared" si="10"/>
        <v>4032339.368</v>
      </c>
      <c r="T58" s="86">
        <f>N58/'2016'!N58-1</f>
        <v>0.815200716036371</v>
      </c>
      <c r="U58" s="86">
        <f>O58/'2016'!O58-1</f>
        <v>0.404614495434054</v>
      </c>
      <c r="V58" s="86">
        <f>P58/'2016'!P58-1</f>
        <v>0.610663080360991</v>
      </c>
      <c r="W58" s="86">
        <f>Q58/'2016'!Q58-1</f>
        <v>0.0859706732772165</v>
      </c>
      <c r="X58" s="86">
        <f>R58/'2016'!R58-1</f>
        <v>0.0999204096449871</v>
      </c>
      <c r="Y58" s="86">
        <f>S58/'2016'!S58-1</f>
        <v>0.0776636571949643</v>
      </c>
      <c r="Z58" s="143">
        <v>17.61</v>
      </c>
      <c r="AA58" s="143">
        <f>Q58/10000-Z58</f>
        <v>244.622162</v>
      </c>
      <c r="AB58" s="34">
        <v>4258</v>
      </c>
      <c r="AC58" s="34">
        <f>AA58*10000/AB58</f>
        <v>574.500145608267</v>
      </c>
      <c r="AD58" s="34">
        <f t="shared" si="4"/>
        <v>2709787.368</v>
      </c>
      <c r="AE58" s="34">
        <f t="shared" si="6"/>
        <v>21311</v>
      </c>
      <c r="AF58" s="34">
        <f t="shared" si="7"/>
        <v>39794</v>
      </c>
      <c r="AG58" s="34">
        <f t="shared" si="5"/>
        <v>26360.7479999997</v>
      </c>
    </row>
    <row r="59" spans="1:33">
      <c r="A59" s="106">
        <v>42790</v>
      </c>
      <c r="B59" s="21" t="s">
        <v>37</v>
      </c>
      <c r="C59" s="9">
        <v>72776</v>
      </c>
      <c r="D59" s="38">
        <f>18689+11040</f>
        <v>29729</v>
      </c>
      <c r="E59" s="38">
        <v>103846</v>
      </c>
      <c r="F59" s="13">
        <v>5376.1</v>
      </c>
      <c r="G59" s="38">
        <v>3195.5</v>
      </c>
      <c r="H59" s="25"/>
      <c r="I59" s="37"/>
      <c r="J59" s="9">
        <f t="shared" si="0"/>
        <v>74117</v>
      </c>
      <c r="K59" s="38">
        <v>263</v>
      </c>
      <c r="L59" s="38">
        <v>793</v>
      </c>
      <c r="M59" s="132">
        <f t="shared" si="1"/>
        <v>285</v>
      </c>
      <c r="N59" s="78">
        <f t="shared" si="11"/>
        <v>1157785</v>
      </c>
      <c r="O59" s="79">
        <f t="shared" si="11"/>
        <v>637295</v>
      </c>
      <c r="P59" s="79">
        <f t="shared" si="11"/>
        <v>1841621</v>
      </c>
      <c r="Q59" s="80">
        <f t="shared" si="10"/>
        <v>2695097.62</v>
      </c>
      <c r="R59" s="80">
        <f t="shared" si="10"/>
        <v>1352281</v>
      </c>
      <c r="S59" s="80">
        <f t="shared" si="10"/>
        <v>4136185.368</v>
      </c>
      <c r="T59" s="84">
        <f>N59/'2016'!N59-1</f>
        <v>0.802342234634436</v>
      </c>
      <c r="U59" s="84">
        <f>O59/'2016'!O59-1</f>
        <v>0.387366225759542</v>
      </c>
      <c r="V59" s="84">
        <f>P59/'2016'!P59-1</f>
        <v>0.596539425821061</v>
      </c>
      <c r="W59" s="85">
        <f>Q59/'2016'!Q59-1</f>
        <v>0.0958492279930341</v>
      </c>
      <c r="X59" s="85">
        <f>R59/'2016'!R59-1</f>
        <v>0.100119344653856</v>
      </c>
      <c r="Y59" s="85">
        <f>S59/'2016'!S59-1</f>
        <v>0.0838120089688237</v>
      </c>
      <c r="Z59" s="141"/>
      <c r="AA59" s="141"/>
      <c r="AB59" s="109"/>
      <c r="AC59" s="109"/>
      <c r="AD59" s="38">
        <f t="shared" si="4"/>
        <v>2783904.368</v>
      </c>
      <c r="AE59" s="38">
        <f t="shared" si="6"/>
        <v>21574</v>
      </c>
      <c r="AF59" s="38">
        <f t="shared" si="7"/>
        <v>40587</v>
      </c>
      <c r="AG59" s="38">
        <f t="shared" si="5"/>
        <v>26645.7479999997</v>
      </c>
    </row>
    <row r="60" spans="1:33">
      <c r="A60" s="106">
        <v>42791</v>
      </c>
      <c r="B60" s="21" t="s">
        <v>38</v>
      </c>
      <c r="C60" s="74">
        <v>70613</v>
      </c>
      <c r="D60" s="75">
        <f>18032+11055</f>
        <v>29087</v>
      </c>
      <c r="E60" s="75">
        <v>101249</v>
      </c>
      <c r="F60" s="125">
        <v>5094</v>
      </c>
      <c r="G60" s="75">
        <v>3245.3</v>
      </c>
      <c r="H60" s="25"/>
      <c r="I60" s="25"/>
      <c r="J60" s="74">
        <f t="shared" si="0"/>
        <v>72162</v>
      </c>
      <c r="K60" s="75">
        <v>392</v>
      </c>
      <c r="L60" s="75">
        <v>794</v>
      </c>
      <c r="M60" s="134">
        <f t="shared" si="1"/>
        <v>363</v>
      </c>
      <c r="N60" s="78">
        <f t="shared" si="11"/>
        <v>1228398</v>
      </c>
      <c r="O60" s="79">
        <f t="shared" si="11"/>
        <v>666382</v>
      </c>
      <c r="P60" s="79">
        <f t="shared" si="11"/>
        <v>1942870</v>
      </c>
      <c r="Q60" s="80">
        <f t="shared" si="10"/>
        <v>2765710.62</v>
      </c>
      <c r="R60" s="80">
        <f t="shared" si="10"/>
        <v>1381368</v>
      </c>
      <c r="S60" s="80">
        <f t="shared" si="10"/>
        <v>4237434.368</v>
      </c>
      <c r="T60" s="84">
        <f>N60/'2016'!N60-1</f>
        <v>0.781557284324475</v>
      </c>
      <c r="U60" s="84">
        <f>O60/'2016'!O60-1</f>
        <v>0.37170675476786</v>
      </c>
      <c r="V60" s="84">
        <f>P60/'2016'!P60-1</f>
        <v>0.579160834841074</v>
      </c>
      <c r="W60" s="85">
        <f>Q60/'2016'!Q60-1</f>
        <v>0.103415808264835</v>
      </c>
      <c r="X60" s="85">
        <f>R60/'2016'!R60-1</f>
        <v>0.100111335693841</v>
      </c>
      <c r="Y60" s="85">
        <f>S60/'2016'!S60-1</f>
        <v>0.0884358845466937</v>
      </c>
      <c r="Z60" s="144"/>
      <c r="AA60" s="144"/>
      <c r="AB60" s="109"/>
      <c r="AC60" s="109"/>
      <c r="AD60" s="38">
        <f t="shared" si="4"/>
        <v>2856066.368</v>
      </c>
      <c r="AE60" s="75">
        <f t="shared" si="6"/>
        <v>21966</v>
      </c>
      <c r="AF60" s="75">
        <f t="shared" si="7"/>
        <v>41381</v>
      </c>
      <c r="AG60" s="75">
        <f t="shared" si="5"/>
        <v>27008.7479999997</v>
      </c>
    </row>
    <row r="61" spans="1:33">
      <c r="A61" s="106">
        <v>42792</v>
      </c>
      <c r="B61" s="21" t="s">
        <v>1</v>
      </c>
      <c r="C61" s="9">
        <v>68776</v>
      </c>
      <c r="D61" s="38">
        <f>13724+11053</f>
        <v>24777</v>
      </c>
      <c r="E61" s="38">
        <v>94945</v>
      </c>
      <c r="F61" s="13">
        <v>4725.6</v>
      </c>
      <c r="G61" s="38">
        <v>3176</v>
      </c>
      <c r="H61" s="25"/>
      <c r="I61" s="37"/>
      <c r="J61" s="9">
        <f t="shared" si="0"/>
        <v>70168</v>
      </c>
      <c r="K61" s="38">
        <v>148</v>
      </c>
      <c r="L61" s="38">
        <v>792</v>
      </c>
      <c r="M61" s="132">
        <f t="shared" si="1"/>
        <v>452</v>
      </c>
      <c r="N61" s="78">
        <f t="shared" si="11"/>
        <v>1297174</v>
      </c>
      <c r="O61" s="79">
        <f t="shared" si="11"/>
        <v>691159</v>
      </c>
      <c r="P61" s="79">
        <f t="shared" si="11"/>
        <v>2037815</v>
      </c>
      <c r="Q61" s="80">
        <f t="shared" si="10"/>
        <v>2834486.62</v>
      </c>
      <c r="R61" s="80">
        <f t="shared" si="10"/>
        <v>1406145</v>
      </c>
      <c r="S61" s="80">
        <f t="shared" si="10"/>
        <v>4332379.368</v>
      </c>
      <c r="T61" s="84">
        <f>N61/'2016'!N61-1</f>
        <v>0.757069325169994</v>
      </c>
      <c r="U61" s="84">
        <f>O61/'2016'!O61-1</f>
        <v>0.349411257084732</v>
      </c>
      <c r="V61" s="84">
        <f>P61/'2016'!P61-1</f>
        <v>0.557261294417116</v>
      </c>
      <c r="W61" s="85">
        <f>Q61/'2016'!Q61-1</f>
        <v>0.109279135396092</v>
      </c>
      <c r="X61" s="85">
        <f>R61/'2016'!R61-1</f>
        <v>0.0967941967941968</v>
      </c>
      <c r="Y61" s="85">
        <f>S61/'2016'!S61-1</f>
        <v>0.0908914431441512</v>
      </c>
      <c r="Z61" s="141">
        <v>19.86</v>
      </c>
      <c r="AA61" s="141">
        <f>Q61/10000-Z61</f>
        <v>263.588662</v>
      </c>
      <c r="AB61" s="109"/>
      <c r="AC61" s="109"/>
      <c r="AD61" s="38">
        <f t="shared" si="4"/>
        <v>2926234.368</v>
      </c>
      <c r="AE61" s="38">
        <f t="shared" si="6"/>
        <v>22114</v>
      </c>
      <c r="AF61" s="38">
        <f t="shared" si="7"/>
        <v>42173</v>
      </c>
      <c r="AG61" s="38">
        <f t="shared" si="5"/>
        <v>27460.7479999997</v>
      </c>
    </row>
    <row r="62" spans="1:33">
      <c r="A62" s="106">
        <v>42793</v>
      </c>
      <c r="B62" s="21" t="s">
        <v>39</v>
      </c>
      <c r="C62" s="9">
        <v>72011</v>
      </c>
      <c r="D62" s="38">
        <f>13850+11043</f>
        <v>24893</v>
      </c>
      <c r="E62" s="38">
        <v>98621</v>
      </c>
      <c r="F62" s="13">
        <v>5075.8</v>
      </c>
      <c r="G62" s="38">
        <v>3057.4</v>
      </c>
      <c r="H62" s="25"/>
      <c r="I62" s="37"/>
      <c r="J62" s="9">
        <f t="shared" si="0"/>
        <v>73728</v>
      </c>
      <c r="K62" s="38">
        <v>493</v>
      </c>
      <c r="L62" s="38">
        <v>794</v>
      </c>
      <c r="M62" s="132">
        <f t="shared" si="1"/>
        <v>430</v>
      </c>
      <c r="N62" s="78">
        <f t="shared" si="11"/>
        <v>1369185</v>
      </c>
      <c r="O62" s="79">
        <f t="shared" si="11"/>
        <v>716052</v>
      </c>
      <c r="P62" s="79">
        <f t="shared" si="11"/>
        <v>2136436</v>
      </c>
      <c r="Q62" s="80">
        <f t="shared" si="10"/>
        <v>2906497.62</v>
      </c>
      <c r="R62" s="80">
        <f t="shared" si="10"/>
        <v>1431038</v>
      </c>
      <c r="S62" s="80">
        <f t="shared" si="10"/>
        <v>4431000.368</v>
      </c>
      <c r="T62" s="84">
        <f>N62/'2016'!N62-1</f>
        <v>0.743629417382999</v>
      </c>
      <c r="U62" s="84">
        <f>O62/'2016'!O62-1</f>
        <v>0.32792065693918</v>
      </c>
      <c r="V62" s="84">
        <f>P62/'2016'!P62-1</f>
        <v>0.542734632306907</v>
      </c>
      <c r="W62" s="85">
        <f>Q62/'2016'!Q62-1</f>
        <v>0.116921000014987</v>
      </c>
      <c r="X62" s="85">
        <f>R62/'2016'!R62-1</f>
        <v>0.0931589621758708</v>
      </c>
      <c r="Y62" s="85">
        <f>S62/'2016'!S62-1</f>
        <v>0.0947066621208303</v>
      </c>
      <c r="Z62" s="141"/>
      <c r="AA62" s="141"/>
      <c r="AB62" s="109"/>
      <c r="AC62" s="109"/>
      <c r="AD62" s="38">
        <f t="shared" si="4"/>
        <v>2999962.368</v>
      </c>
      <c r="AE62" s="38">
        <f t="shared" si="6"/>
        <v>22607</v>
      </c>
      <c r="AF62" s="38">
        <f t="shared" si="7"/>
        <v>42967</v>
      </c>
      <c r="AG62" s="38">
        <f t="shared" si="5"/>
        <v>27890.7479999997</v>
      </c>
    </row>
    <row r="63" s="1" customFormat="1" spans="1:33">
      <c r="A63" s="26">
        <v>42794</v>
      </c>
      <c r="B63" s="26" t="s">
        <v>34</v>
      </c>
      <c r="C63" s="43">
        <v>70804</v>
      </c>
      <c r="D63" s="44">
        <f>14293+11045</f>
        <v>25338</v>
      </c>
      <c r="E63" s="43">
        <v>97807</v>
      </c>
      <c r="F63" s="127">
        <v>4939.5</v>
      </c>
      <c r="G63" s="44">
        <v>3164.2</v>
      </c>
      <c r="H63" s="31"/>
      <c r="I63" s="31"/>
      <c r="J63" s="43">
        <f t="shared" si="0"/>
        <v>72469</v>
      </c>
      <c r="K63" s="44">
        <v>385</v>
      </c>
      <c r="L63" s="44">
        <v>792</v>
      </c>
      <c r="M63" s="135">
        <f t="shared" si="1"/>
        <v>488</v>
      </c>
      <c r="N63" s="136">
        <v>1440098.7</v>
      </c>
      <c r="O63" s="136">
        <v>760351</v>
      </c>
      <c r="P63" s="136">
        <v>2242333.52</v>
      </c>
      <c r="Q63" s="136">
        <v>2977411.32</v>
      </c>
      <c r="R63" s="136">
        <v>1475337</v>
      </c>
      <c r="S63" s="136">
        <v>4536897.888</v>
      </c>
      <c r="T63" s="93">
        <f>N63/'2016'!N64-1</f>
        <v>0.638548186513169</v>
      </c>
      <c r="U63" s="93">
        <f>O63/'2016'!O64-1</f>
        <v>0.281862765758369</v>
      </c>
      <c r="V63" s="93">
        <f>P63/'2016'!P64-1</f>
        <v>0.459036593467586</v>
      </c>
      <c r="W63" s="93">
        <f>Q63/'2016'!Q64-1</f>
        <v>0.104694924448118</v>
      </c>
      <c r="X63" s="93">
        <f>R63/'2016'!R64-1</f>
        <v>0.0824046344215557</v>
      </c>
      <c r="Y63" s="93">
        <f>S63/'2016'!S64-1</f>
        <v>0.0802955766650904</v>
      </c>
      <c r="Z63" s="146">
        <v>21.982846</v>
      </c>
      <c r="AA63" s="146">
        <f>Q63/10000-Z63</f>
        <v>275.758286</v>
      </c>
      <c r="AB63" s="44">
        <v>4258</v>
      </c>
      <c r="AC63" s="44">
        <f>AA63*10000/AB63</f>
        <v>647.62396899953</v>
      </c>
      <c r="AD63" s="44">
        <f t="shared" si="4"/>
        <v>3061560.888</v>
      </c>
      <c r="AE63" s="44">
        <f t="shared" si="6"/>
        <v>22992</v>
      </c>
      <c r="AF63" s="44">
        <f t="shared" si="7"/>
        <v>43759</v>
      </c>
      <c r="AG63" s="44">
        <f t="shared" si="5"/>
        <v>17398.5680000004</v>
      </c>
    </row>
    <row r="64" s="115" customFormat="1" spans="1:33">
      <c r="A64" s="21"/>
      <c r="B64" s="21"/>
      <c r="C64" s="70"/>
      <c r="D64" s="71"/>
      <c r="E64" s="71"/>
      <c r="F64" s="129"/>
      <c r="G64" s="73"/>
      <c r="H64" s="25"/>
      <c r="I64" s="25"/>
      <c r="J64" s="74"/>
      <c r="K64" s="75"/>
      <c r="L64" s="75"/>
      <c r="M64" s="134"/>
      <c r="N64" s="76"/>
      <c r="O64" s="77"/>
      <c r="P64" s="77"/>
      <c r="Q64" s="76"/>
      <c r="R64" s="76"/>
      <c r="S64" s="76"/>
      <c r="T64" s="83"/>
      <c r="U64" s="83"/>
      <c r="V64" s="83"/>
      <c r="W64" s="83"/>
      <c r="X64" s="83"/>
      <c r="Y64" s="83"/>
      <c r="Z64" s="144"/>
      <c r="AA64" s="144"/>
      <c r="AB64" s="110"/>
      <c r="AC64" s="109"/>
      <c r="AD64" s="38"/>
      <c r="AE64" s="38"/>
      <c r="AF64" s="38"/>
      <c r="AG64" s="38"/>
    </row>
    <row r="65" spans="1:33">
      <c r="A65" s="106">
        <v>42795</v>
      </c>
      <c r="B65" s="21" t="s">
        <v>35</v>
      </c>
      <c r="C65" s="9">
        <v>68024</v>
      </c>
      <c r="D65" s="38">
        <f>13748+11059</f>
        <v>24807</v>
      </c>
      <c r="E65" s="38">
        <v>94710</v>
      </c>
      <c r="F65" s="13">
        <v>4766.3</v>
      </c>
      <c r="G65" s="38">
        <v>3109.3</v>
      </c>
      <c r="H65" s="25"/>
      <c r="I65" s="37"/>
      <c r="J65" s="9">
        <f t="shared" si="0"/>
        <v>69903</v>
      </c>
      <c r="K65" s="38">
        <v>511</v>
      </c>
      <c r="L65" s="38">
        <v>793</v>
      </c>
      <c r="M65" s="132">
        <f t="shared" si="1"/>
        <v>575</v>
      </c>
      <c r="N65" s="78">
        <f>C65</f>
        <v>68024</v>
      </c>
      <c r="O65" s="79">
        <f>D65</f>
        <v>24807</v>
      </c>
      <c r="P65" s="79">
        <f>E65</f>
        <v>94710</v>
      </c>
      <c r="Q65" s="80">
        <f t="shared" ref="Q65:Q94" si="12">Q$63+N65</f>
        <v>3045435.32</v>
      </c>
      <c r="R65" s="80">
        <f t="shared" ref="R65:R95" si="13">R$63+O65</f>
        <v>1500144</v>
      </c>
      <c r="S65" s="80">
        <f t="shared" ref="S65:S95" si="14">S$63+P65</f>
        <v>4631607.888</v>
      </c>
      <c r="T65" s="84">
        <f>N65/'2016'!N65-1</f>
        <v>0.257491450226453</v>
      </c>
      <c r="U65" s="84">
        <f>O65/'2016'!O65-1</f>
        <v>-0.0587721960843831</v>
      </c>
      <c r="V65" s="84">
        <f>P65/'2016'!P65-1</f>
        <v>0.145764024146817</v>
      </c>
      <c r="W65" s="85">
        <f>Q65/'2016'!Q65-1</f>
        <v>0.107701304572861</v>
      </c>
      <c r="X65" s="85">
        <f>R65/'2016'!R65-1</f>
        <v>0.0797265531095299</v>
      </c>
      <c r="Y65" s="85">
        <f>S65/'2016'!S65-1</f>
        <v>0.0815592977956228</v>
      </c>
      <c r="Z65" s="141">
        <f>(Z66-Z59)/7*6+Z59</f>
        <v>19.4314285714286</v>
      </c>
      <c r="AA65" s="141">
        <f>Q65/10000-Z65</f>
        <v>285.112103428571</v>
      </c>
      <c r="AB65" s="109"/>
      <c r="AC65" s="109"/>
      <c r="AD65" s="38">
        <f t="shared" si="4"/>
        <v>3131463.888</v>
      </c>
      <c r="AE65" s="38">
        <f>AE63+K65</f>
        <v>23503</v>
      </c>
      <c r="AF65" s="38">
        <f>AF63+L65</f>
        <v>44552</v>
      </c>
      <c r="AG65" s="38">
        <f t="shared" si="5"/>
        <v>17973.5680000004</v>
      </c>
    </row>
    <row r="66" spans="1:33">
      <c r="A66" s="106">
        <v>42796</v>
      </c>
      <c r="B66" s="15" t="s">
        <v>36</v>
      </c>
      <c r="C66" s="33">
        <v>71581</v>
      </c>
      <c r="D66" s="34">
        <f>13767+11048</f>
        <v>24815</v>
      </c>
      <c r="E66" s="34">
        <v>98061</v>
      </c>
      <c r="F66" s="124">
        <v>4980</v>
      </c>
      <c r="G66" s="34">
        <v>3039.4</v>
      </c>
      <c r="H66" s="20"/>
      <c r="I66" s="20"/>
      <c r="J66" s="33">
        <f t="shared" si="0"/>
        <v>73246</v>
      </c>
      <c r="K66" s="34">
        <v>152</v>
      </c>
      <c r="L66" s="34">
        <v>794</v>
      </c>
      <c r="M66" s="133">
        <f t="shared" si="1"/>
        <v>719</v>
      </c>
      <c r="N66" s="81">
        <f t="shared" ref="N66:N94" si="15">N65+C66</f>
        <v>139605</v>
      </c>
      <c r="O66" s="82">
        <f t="shared" ref="O66:O95" si="16">D66+O65</f>
        <v>49622</v>
      </c>
      <c r="P66" s="82">
        <f t="shared" ref="P66:P95" si="17">P65+E66</f>
        <v>192771</v>
      </c>
      <c r="Q66" s="81">
        <f t="shared" si="12"/>
        <v>3117016.32</v>
      </c>
      <c r="R66" s="81">
        <f t="shared" si="13"/>
        <v>1524959</v>
      </c>
      <c r="S66" s="81">
        <f t="shared" si="14"/>
        <v>4729668.888</v>
      </c>
      <c r="T66" s="86">
        <f>N66/'2016'!N66-1</f>
        <v>0.270233383376552</v>
      </c>
      <c r="U66" s="86">
        <f>O66/'2016'!O66-1</f>
        <v>-0.0286955840901973</v>
      </c>
      <c r="V66" s="86">
        <f>P66/'2016'!P66-1</f>
        <v>0.159957397646039</v>
      </c>
      <c r="W66" s="86">
        <f>Q66/'2016'!Q66-1</f>
        <v>0.111180700849405</v>
      </c>
      <c r="X66" s="86">
        <f>R66/'2016'!R66-1</f>
        <v>0.0783908702742226</v>
      </c>
      <c r="Y66" s="86">
        <f>S66/'2016'!S66-1</f>
        <v>0.0833279250183814</v>
      </c>
      <c r="Z66" s="143">
        <v>22.67</v>
      </c>
      <c r="AA66" s="143">
        <f>Q66/10000-Z66</f>
        <v>289.031632</v>
      </c>
      <c r="AB66" s="34">
        <v>4258</v>
      </c>
      <c r="AC66" s="34">
        <f>AA66*10000/AB66</f>
        <v>678.796693283231</v>
      </c>
      <c r="AD66" s="34">
        <f t="shared" si="4"/>
        <v>3204709.888</v>
      </c>
      <c r="AE66" s="34">
        <f t="shared" si="6"/>
        <v>23655</v>
      </c>
      <c r="AF66" s="34">
        <f t="shared" si="7"/>
        <v>45346</v>
      </c>
      <c r="AG66" s="34">
        <f t="shared" si="5"/>
        <v>18692.5680000004</v>
      </c>
    </row>
    <row r="67" spans="1:33">
      <c r="A67" s="106">
        <v>42797</v>
      </c>
      <c r="B67" s="21" t="s">
        <v>37</v>
      </c>
      <c r="C67" s="9">
        <v>73636</v>
      </c>
      <c r="D67" s="38">
        <f>13569+11045</f>
        <v>24614</v>
      </c>
      <c r="E67" s="38">
        <v>99770</v>
      </c>
      <c r="F67" s="13">
        <v>5058.1</v>
      </c>
      <c r="G67" s="38">
        <v>3221.3</v>
      </c>
      <c r="H67" s="25"/>
      <c r="I67" s="37"/>
      <c r="J67" s="9">
        <f t="shared" si="0"/>
        <v>75156</v>
      </c>
      <c r="K67" s="38">
        <v>229</v>
      </c>
      <c r="L67" s="38">
        <v>792</v>
      </c>
      <c r="M67" s="132">
        <f t="shared" si="1"/>
        <v>499</v>
      </c>
      <c r="N67" s="78">
        <f t="shared" si="15"/>
        <v>213241</v>
      </c>
      <c r="O67" s="79">
        <f t="shared" si="16"/>
        <v>74236</v>
      </c>
      <c r="P67" s="79">
        <f t="shared" si="17"/>
        <v>292541</v>
      </c>
      <c r="Q67" s="80">
        <f t="shared" si="12"/>
        <v>3190652.32</v>
      </c>
      <c r="R67" s="80">
        <f t="shared" si="13"/>
        <v>1549573</v>
      </c>
      <c r="S67" s="80">
        <f t="shared" si="14"/>
        <v>4829438.888</v>
      </c>
      <c r="T67" s="84">
        <f>N67/'2016'!N67-1</f>
        <v>0.290820712115159</v>
      </c>
      <c r="U67" s="84">
        <f>O67/'2016'!O67-1</f>
        <v>-0.0250833924303312</v>
      </c>
      <c r="V67" s="84">
        <f>P67/'2016'!P67-1</f>
        <v>0.173364939555106</v>
      </c>
      <c r="W67" s="85">
        <f>Q67/'2016'!Q67-1</f>
        <v>0.115444212622429</v>
      </c>
      <c r="X67" s="85">
        <f>R67/'2016'!R67-1</f>
        <v>0.0767174554116139</v>
      </c>
      <c r="Y67" s="85">
        <f>S67/'2016'!S67-1</f>
        <v>0.0855111009215554</v>
      </c>
      <c r="Z67" s="141"/>
      <c r="AA67" s="141"/>
      <c r="AB67" s="109"/>
      <c r="AC67" s="109"/>
      <c r="AD67" s="38">
        <f t="shared" si="4"/>
        <v>3279865.888</v>
      </c>
      <c r="AE67" s="38">
        <f t="shared" si="6"/>
        <v>23884</v>
      </c>
      <c r="AF67" s="38">
        <f t="shared" si="7"/>
        <v>46138</v>
      </c>
      <c r="AG67" s="38">
        <f t="shared" si="5"/>
        <v>19191.5680000004</v>
      </c>
    </row>
    <row r="68" spans="1:33">
      <c r="A68" s="106">
        <v>42798</v>
      </c>
      <c r="B68" s="21" t="s">
        <v>38</v>
      </c>
      <c r="C68" s="74">
        <v>72222</v>
      </c>
      <c r="D68" s="75">
        <f>12771+11043</f>
        <v>23814</v>
      </c>
      <c r="E68" s="75">
        <v>97407</v>
      </c>
      <c r="F68" s="125">
        <v>4911.2</v>
      </c>
      <c r="G68" s="75">
        <v>3202.2</v>
      </c>
      <c r="H68" s="25"/>
      <c r="I68" s="25"/>
      <c r="J68" s="74">
        <f t="shared" si="0"/>
        <v>73593</v>
      </c>
      <c r="K68" s="75">
        <v>233</v>
      </c>
      <c r="L68" s="75">
        <v>739</v>
      </c>
      <c r="M68" s="134">
        <f t="shared" si="1"/>
        <v>399</v>
      </c>
      <c r="N68" s="78">
        <f t="shared" si="15"/>
        <v>285463</v>
      </c>
      <c r="O68" s="79">
        <f t="shared" si="16"/>
        <v>98050</v>
      </c>
      <c r="P68" s="79">
        <f t="shared" si="17"/>
        <v>389948</v>
      </c>
      <c r="Q68" s="80">
        <f t="shared" si="12"/>
        <v>3262874.32</v>
      </c>
      <c r="R68" s="80">
        <f t="shared" si="13"/>
        <v>1573387</v>
      </c>
      <c r="S68" s="80">
        <f t="shared" si="14"/>
        <v>4926845.888</v>
      </c>
      <c r="T68" s="84">
        <f>N68/'2016'!N68-1</f>
        <v>0.285053186939827</v>
      </c>
      <c r="U68" s="84">
        <f>O68/'2016'!O68-1</f>
        <v>-0.016046322592299</v>
      </c>
      <c r="V68" s="84">
        <f>P68/'2016'!P68-1</f>
        <v>0.173880976678798</v>
      </c>
      <c r="W68" s="85">
        <f>Q68/'2016'!Q68-1</f>
        <v>0.118428148592485</v>
      </c>
      <c r="X68" s="85">
        <f>R68/'2016'!R68-1</f>
        <v>0.0756973391756293</v>
      </c>
      <c r="Y68" s="85">
        <f>S68/'2016'!S68-1</f>
        <v>0.0871554071841001</v>
      </c>
      <c r="Z68" s="144"/>
      <c r="AA68" s="144"/>
      <c r="AB68" s="109"/>
      <c r="AC68" s="109"/>
      <c r="AD68" s="38">
        <f t="shared" si="4"/>
        <v>3353458.888</v>
      </c>
      <c r="AE68" s="75">
        <f t="shared" si="6"/>
        <v>24117</v>
      </c>
      <c r="AF68" s="75">
        <f t="shared" si="7"/>
        <v>46877</v>
      </c>
      <c r="AG68" s="75">
        <f t="shared" si="5"/>
        <v>19590.5680000004</v>
      </c>
    </row>
    <row r="69" spans="1:33">
      <c r="A69" s="106">
        <v>42799</v>
      </c>
      <c r="B69" s="21" t="s">
        <v>1</v>
      </c>
      <c r="C69" s="9">
        <v>69373</v>
      </c>
      <c r="D69" s="38">
        <f>12790+11021</f>
        <v>23811</v>
      </c>
      <c r="E69" s="38">
        <v>94224</v>
      </c>
      <c r="F69" s="13">
        <v>4801.4</v>
      </c>
      <c r="G69" s="38">
        <v>3100.1</v>
      </c>
      <c r="H69" s="25"/>
      <c r="I69" s="37"/>
      <c r="J69" s="9">
        <f t="shared" ref="J69:J132" si="18">E69-D69</f>
        <v>70413</v>
      </c>
      <c r="K69" s="38">
        <v>103</v>
      </c>
      <c r="L69" s="38">
        <v>792</v>
      </c>
      <c r="M69" s="132">
        <f t="shared" si="1"/>
        <v>145</v>
      </c>
      <c r="N69" s="78">
        <f t="shared" si="15"/>
        <v>354836</v>
      </c>
      <c r="O69" s="79">
        <f t="shared" si="16"/>
        <v>121861</v>
      </c>
      <c r="P69" s="79">
        <f t="shared" si="17"/>
        <v>484172</v>
      </c>
      <c r="Q69" s="80">
        <f t="shared" si="12"/>
        <v>3332247.32</v>
      </c>
      <c r="R69" s="80">
        <f t="shared" si="13"/>
        <v>1597198</v>
      </c>
      <c r="S69" s="80">
        <f t="shared" si="14"/>
        <v>5021069.888</v>
      </c>
      <c r="T69" s="84">
        <f>N69/'2016'!N69-1</f>
        <v>0.268721395881007</v>
      </c>
      <c r="U69" s="84">
        <f>O69/'2016'!O69-1</f>
        <v>-0.00627089619179644</v>
      </c>
      <c r="V69" s="84">
        <f>P69/'2016'!P69-1</f>
        <v>0.166182134366788</v>
      </c>
      <c r="W69" s="85">
        <f>Q69/'2016'!Q69-1</f>
        <v>0.120115512582885</v>
      </c>
      <c r="X69" s="85">
        <f>R69/'2016'!R69-1</f>
        <v>0.075085080718986</v>
      </c>
      <c r="Y69" s="85">
        <f>S69/'2016'!S69-1</f>
        <v>0.0880223833490905</v>
      </c>
      <c r="Z69" s="141"/>
      <c r="AA69" s="141"/>
      <c r="AB69" s="109"/>
      <c r="AC69" s="109"/>
      <c r="AD69" s="38">
        <f t="shared" si="4"/>
        <v>3423871.888</v>
      </c>
      <c r="AE69" s="38">
        <f t="shared" si="6"/>
        <v>24220</v>
      </c>
      <c r="AF69" s="38">
        <f t="shared" si="7"/>
        <v>47669</v>
      </c>
      <c r="AG69" s="38">
        <f t="shared" si="5"/>
        <v>19735.5680000004</v>
      </c>
    </row>
    <row r="70" spans="1:33">
      <c r="A70" s="106">
        <v>42800</v>
      </c>
      <c r="B70" s="21" t="s">
        <v>39</v>
      </c>
      <c r="C70" s="9">
        <v>71580</v>
      </c>
      <c r="D70" s="38">
        <f>11062+12810</f>
        <v>23872</v>
      </c>
      <c r="E70" s="38">
        <v>97399</v>
      </c>
      <c r="F70" s="13">
        <v>5032</v>
      </c>
      <c r="G70" s="38">
        <v>2954</v>
      </c>
      <c r="H70" s="25"/>
      <c r="I70" s="37"/>
      <c r="J70" s="9">
        <f t="shared" si="18"/>
        <v>73527</v>
      </c>
      <c r="K70" s="38">
        <v>693</v>
      </c>
      <c r="L70" s="38">
        <v>792</v>
      </c>
      <c r="M70" s="132">
        <f t="shared" ref="M70:M133" si="19">J70-K70-L70-C70</f>
        <v>462</v>
      </c>
      <c r="N70" s="78">
        <f t="shared" si="15"/>
        <v>426416</v>
      </c>
      <c r="O70" s="79">
        <f t="shared" si="16"/>
        <v>145733</v>
      </c>
      <c r="P70" s="79">
        <f t="shared" si="17"/>
        <v>581571</v>
      </c>
      <c r="Q70" s="80">
        <f t="shared" si="12"/>
        <v>3403827.32</v>
      </c>
      <c r="R70" s="80">
        <f t="shared" si="13"/>
        <v>1621070</v>
      </c>
      <c r="S70" s="80">
        <f t="shared" si="14"/>
        <v>5118468.888</v>
      </c>
      <c r="T70" s="84">
        <f>N70/'2016'!N70-1</f>
        <v>0.274146318142159</v>
      </c>
      <c r="U70" s="84">
        <f>O70/'2016'!O70-1</f>
        <v>0.00257983736705247</v>
      </c>
      <c r="V70" s="84">
        <f>P70/'2016'!P70-1</f>
        <v>0.173066139540513</v>
      </c>
      <c r="W70" s="85">
        <f>Q70/'2016'!Q70-1</f>
        <v>0.123411687902777</v>
      </c>
      <c r="X70" s="85">
        <f>R70/'2016'!R70-1</f>
        <v>0.0747121407394442</v>
      </c>
      <c r="Y70" s="85">
        <f>S70/'2016'!S70-1</f>
        <v>0.0900907703880267</v>
      </c>
      <c r="Z70" s="141"/>
      <c r="AA70" s="141"/>
      <c r="AB70" s="109"/>
      <c r="AC70" s="109"/>
      <c r="AD70" s="38">
        <f t="shared" ref="AD70:AD133" si="20">S70-R70</f>
        <v>3497398.888</v>
      </c>
      <c r="AE70" s="38">
        <f t="shared" si="6"/>
        <v>24913</v>
      </c>
      <c r="AF70" s="38">
        <f t="shared" si="7"/>
        <v>48461</v>
      </c>
      <c r="AG70" s="38">
        <f t="shared" ref="AG70:AG133" si="21">AD70-Q70-AE70-AF70</f>
        <v>20197.5680000004</v>
      </c>
    </row>
    <row r="71" spans="1:33">
      <c r="A71" s="106">
        <v>42801</v>
      </c>
      <c r="B71" s="21" t="s">
        <v>34</v>
      </c>
      <c r="C71" s="9">
        <v>70465</v>
      </c>
      <c r="D71" s="38">
        <f>15366+11034</f>
        <v>26400</v>
      </c>
      <c r="E71" s="38">
        <v>99376</v>
      </c>
      <c r="F71" s="13">
        <v>5011.9</v>
      </c>
      <c r="G71" s="38">
        <v>3218.5</v>
      </c>
      <c r="H71" s="25"/>
      <c r="I71" s="37"/>
      <c r="J71" s="9">
        <f t="shared" si="18"/>
        <v>72976</v>
      </c>
      <c r="K71" s="38">
        <v>1311</v>
      </c>
      <c r="L71" s="38">
        <v>795</v>
      </c>
      <c r="M71" s="132">
        <f t="shared" si="19"/>
        <v>405</v>
      </c>
      <c r="N71" s="78">
        <f t="shared" si="15"/>
        <v>496881</v>
      </c>
      <c r="O71" s="79">
        <f t="shared" si="16"/>
        <v>172133</v>
      </c>
      <c r="P71" s="79">
        <f t="shared" si="17"/>
        <v>680947</v>
      </c>
      <c r="Q71" s="80">
        <f t="shared" si="12"/>
        <v>3474292.32</v>
      </c>
      <c r="R71" s="80">
        <f t="shared" si="13"/>
        <v>1647470</v>
      </c>
      <c r="S71" s="80">
        <f t="shared" si="14"/>
        <v>5217844.888</v>
      </c>
      <c r="T71" s="84">
        <f>N71/'2016'!N71-1</f>
        <v>0.255977432490843</v>
      </c>
      <c r="U71" s="84">
        <f>O71/'2016'!O71-1</f>
        <v>0.0285931113607572</v>
      </c>
      <c r="V71" s="84">
        <f>P71/'2016'!P71-1</f>
        <v>0.171967320047709</v>
      </c>
      <c r="W71" s="85">
        <f>Q71/'2016'!Q71-1</f>
        <v>0.124058330936471</v>
      </c>
      <c r="X71" s="85">
        <f>R71/'2016'!R71-1</f>
        <v>0.0765202572456523</v>
      </c>
      <c r="Y71" s="85">
        <f>S71/'2016'!S71-1</f>
        <v>0.0914370034080705</v>
      </c>
      <c r="Z71" s="141"/>
      <c r="AA71" s="141"/>
      <c r="AB71" s="109"/>
      <c r="AC71" s="109"/>
      <c r="AD71" s="38">
        <f t="shared" si="20"/>
        <v>3570374.888</v>
      </c>
      <c r="AE71" s="38">
        <f t="shared" ref="AE71:AE134" si="22">AE70+K71</f>
        <v>26224</v>
      </c>
      <c r="AF71" s="38">
        <f t="shared" ref="AF71:AF134" si="23">AF70+L71</f>
        <v>49256</v>
      </c>
      <c r="AG71" s="38">
        <f t="shared" si="21"/>
        <v>20602.5680000004</v>
      </c>
    </row>
    <row r="72" spans="1:33">
      <c r="A72" s="106">
        <v>42802</v>
      </c>
      <c r="B72" s="21" t="s">
        <v>35</v>
      </c>
      <c r="C72" s="9">
        <v>68645</v>
      </c>
      <c r="D72" s="38">
        <f>16398+11067</f>
        <v>27465</v>
      </c>
      <c r="E72" s="38">
        <v>98666</v>
      </c>
      <c r="F72" s="13">
        <v>4981.4</v>
      </c>
      <c r="G72" s="38">
        <v>3204.8</v>
      </c>
      <c r="H72" s="25"/>
      <c r="I72" s="37"/>
      <c r="J72" s="9">
        <f t="shared" si="18"/>
        <v>71201</v>
      </c>
      <c r="K72" s="38">
        <v>1343</v>
      </c>
      <c r="L72" s="38">
        <v>792</v>
      </c>
      <c r="M72" s="132">
        <f t="shared" si="19"/>
        <v>421</v>
      </c>
      <c r="N72" s="78">
        <f t="shared" si="15"/>
        <v>565526</v>
      </c>
      <c r="O72" s="79">
        <f t="shared" si="16"/>
        <v>199598</v>
      </c>
      <c r="P72" s="79">
        <f t="shared" si="17"/>
        <v>779613</v>
      </c>
      <c r="Q72" s="80">
        <f t="shared" si="12"/>
        <v>3542937.32</v>
      </c>
      <c r="R72" s="80">
        <f t="shared" si="13"/>
        <v>1674935</v>
      </c>
      <c r="S72" s="80">
        <f t="shared" si="14"/>
        <v>5316510.888</v>
      </c>
      <c r="T72" s="84">
        <f>N72/'2016'!N72-1</f>
        <v>0.234360573869428</v>
      </c>
      <c r="U72" s="84">
        <f>O72/'2016'!O72-1</f>
        <v>0.054216644747614</v>
      </c>
      <c r="V72" s="84">
        <f>P72/'2016'!P72-1</f>
        <v>0.166351994255109</v>
      </c>
      <c r="W72" s="85">
        <f>Q72/'2016'!Q72-1</f>
        <v>0.12353393985578</v>
      </c>
      <c r="X72" s="85">
        <f>R72/'2016'!R72-1</f>
        <v>0.0789666769950867</v>
      </c>
      <c r="Y72" s="85">
        <f>S72/'2016'!S72-1</f>
        <v>0.0921116459761937</v>
      </c>
      <c r="Z72" s="141">
        <f>(Z73-Z66)/7*6+Z66</f>
        <v>25.7214285714286</v>
      </c>
      <c r="AA72" s="141">
        <f>Q72/10000-Z72</f>
        <v>328.572303428571</v>
      </c>
      <c r="AB72" s="109"/>
      <c r="AC72" s="109"/>
      <c r="AD72" s="38">
        <f t="shared" si="20"/>
        <v>3641575.888</v>
      </c>
      <c r="AE72" s="38">
        <f t="shared" si="22"/>
        <v>27567</v>
      </c>
      <c r="AF72" s="38">
        <f t="shared" si="23"/>
        <v>50048</v>
      </c>
      <c r="AG72" s="38">
        <f t="shared" si="21"/>
        <v>21023.5680000004</v>
      </c>
    </row>
    <row r="73" spans="1:33">
      <c r="A73" s="106">
        <v>42803</v>
      </c>
      <c r="B73" s="15" t="s">
        <v>36</v>
      </c>
      <c r="C73" s="33">
        <v>68113</v>
      </c>
      <c r="D73" s="34">
        <f>17036+11062</f>
        <v>28098</v>
      </c>
      <c r="E73" s="34">
        <v>98219</v>
      </c>
      <c r="F73" s="124">
        <v>4949.8</v>
      </c>
      <c r="G73" s="34">
        <v>3233.6</v>
      </c>
      <c r="H73" s="20"/>
      <c r="I73" s="20"/>
      <c r="J73" s="33">
        <f t="shared" si="18"/>
        <v>70121</v>
      </c>
      <c r="K73" s="34">
        <v>707</v>
      </c>
      <c r="L73" s="34">
        <v>793</v>
      </c>
      <c r="M73" s="133">
        <f t="shared" si="19"/>
        <v>508</v>
      </c>
      <c r="N73" s="81">
        <f t="shared" si="15"/>
        <v>633639</v>
      </c>
      <c r="O73" s="82">
        <f t="shared" si="16"/>
        <v>227696</v>
      </c>
      <c r="P73" s="82">
        <f t="shared" si="17"/>
        <v>877832</v>
      </c>
      <c r="Q73" s="81">
        <f t="shared" si="12"/>
        <v>3611050.32</v>
      </c>
      <c r="R73" s="81">
        <f t="shared" si="13"/>
        <v>1703033</v>
      </c>
      <c r="S73" s="81">
        <f t="shared" si="14"/>
        <v>5414729.888</v>
      </c>
      <c r="T73" s="86">
        <f>N73/'2016'!N73-1</f>
        <v>0.210195498716538</v>
      </c>
      <c r="U73" s="86">
        <f>O73/'2016'!O73-1</f>
        <v>0.0796601168348381</v>
      </c>
      <c r="V73" s="86">
        <f>P73/'2016'!P73-1</f>
        <v>0.1567467847354</v>
      </c>
      <c r="W73" s="86">
        <f>Q73/'2016'!Q73-1</f>
        <v>0.121856010498264</v>
      </c>
      <c r="X73" s="86">
        <f>R73/'2016'!R73-1</f>
        <v>0.0820368838449876</v>
      </c>
      <c r="Y73" s="86">
        <f>S73/'2016'!S73-1</f>
        <v>0.0919960036800993</v>
      </c>
      <c r="Z73" s="143">
        <v>26.23</v>
      </c>
      <c r="AA73" s="143">
        <f>Q73/10000-Z73</f>
        <v>334.875032</v>
      </c>
      <c r="AB73" s="34">
        <v>4258</v>
      </c>
      <c r="AC73" s="34">
        <f>AA73*10000/AB73</f>
        <v>786.460854861437</v>
      </c>
      <c r="AD73" s="34">
        <f t="shared" si="20"/>
        <v>3711696.888</v>
      </c>
      <c r="AE73" s="34">
        <f t="shared" si="22"/>
        <v>28274</v>
      </c>
      <c r="AF73" s="34">
        <f t="shared" si="23"/>
        <v>50841</v>
      </c>
      <c r="AG73" s="34">
        <f t="shared" si="21"/>
        <v>21531.5680000004</v>
      </c>
    </row>
    <row r="74" spans="1:33">
      <c r="A74" s="106">
        <v>42804</v>
      </c>
      <c r="B74" s="21" t="s">
        <v>37</v>
      </c>
      <c r="C74" s="9">
        <v>67850</v>
      </c>
      <c r="D74" s="38">
        <f>18103+11048</f>
        <v>29151</v>
      </c>
      <c r="E74" s="38">
        <v>98979</v>
      </c>
      <c r="F74" s="13">
        <v>5068.8</v>
      </c>
      <c r="G74" s="38">
        <v>3170.4</v>
      </c>
      <c r="H74" s="25"/>
      <c r="I74" s="37"/>
      <c r="J74" s="9">
        <f t="shared" si="18"/>
        <v>69828</v>
      </c>
      <c r="K74" s="38">
        <v>907</v>
      </c>
      <c r="L74" s="38">
        <v>793</v>
      </c>
      <c r="M74" s="132">
        <f t="shared" si="19"/>
        <v>278</v>
      </c>
      <c r="N74" s="78">
        <f t="shared" si="15"/>
        <v>701489</v>
      </c>
      <c r="O74" s="79">
        <f t="shared" si="16"/>
        <v>256847</v>
      </c>
      <c r="P74" s="79">
        <f t="shared" si="17"/>
        <v>976811</v>
      </c>
      <c r="Q74" s="80">
        <f t="shared" si="12"/>
        <v>3678900.32</v>
      </c>
      <c r="R74" s="80">
        <f t="shared" si="13"/>
        <v>1732184</v>
      </c>
      <c r="S74" s="80">
        <f t="shared" si="14"/>
        <v>5513708.888</v>
      </c>
      <c r="T74" s="84">
        <f>N74/'2016'!N74-1</f>
        <v>0.180840623574426</v>
      </c>
      <c r="U74" s="84">
        <f>O74/'2016'!O74-1</f>
        <v>0.104381027729167</v>
      </c>
      <c r="V74" s="84">
        <f>P74/'2016'!P74-1</f>
        <v>0.143857689218021</v>
      </c>
      <c r="W74" s="85">
        <f>Q74/'2016'!Q74-1</f>
        <v>0.118447131344031</v>
      </c>
      <c r="X74" s="85">
        <f>R74/'2016'!R74-1</f>
        <v>0.0856078852386173</v>
      </c>
      <c r="Y74" s="85">
        <f>S74/'2016'!S74-1</f>
        <v>0.0910362676911947</v>
      </c>
      <c r="Z74" s="141"/>
      <c r="AA74" s="141"/>
      <c r="AB74" s="109"/>
      <c r="AC74" s="109"/>
      <c r="AD74" s="38">
        <f t="shared" si="20"/>
        <v>3781524.888</v>
      </c>
      <c r="AE74" s="38">
        <f t="shared" si="22"/>
        <v>29181</v>
      </c>
      <c r="AF74" s="38">
        <f t="shared" si="23"/>
        <v>51634</v>
      </c>
      <c r="AG74" s="38">
        <f t="shared" si="21"/>
        <v>21809.5680000004</v>
      </c>
    </row>
    <row r="75" spans="1:33">
      <c r="A75" s="106">
        <v>42805</v>
      </c>
      <c r="B75" s="21" t="s">
        <v>38</v>
      </c>
      <c r="C75" s="74">
        <v>66492</v>
      </c>
      <c r="D75" s="75">
        <f>17456+11086</f>
        <v>28542</v>
      </c>
      <c r="E75" s="75">
        <v>97099</v>
      </c>
      <c r="F75" s="125">
        <v>4944.7</v>
      </c>
      <c r="G75" s="75">
        <v>3143.1</v>
      </c>
      <c r="H75" s="25"/>
      <c r="I75" s="25"/>
      <c r="J75" s="74">
        <f t="shared" si="18"/>
        <v>68557</v>
      </c>
      <c r="K75" s="75">
        <v>963</v>
      </c>
      <c r="L75" s="75">
        <v>794</v>
      </c>
      <c r="M75" s="134">
        <f t="shared" si="19"/>
        <v>308</v>
      </c>
      <c r="N75" s="78">
        <f t="shared" si="15"/>
        <v>767981</v>
      </c>
      <c r="O75" s="79">
        <f t="shared" si="16"/>
        <v>285389</v>
      </c>
      <c r="P75" s="79">
        <f t="shared" si="17"/>
        <v>1073910</v>
      </c>
      <c r="Q75" s="80">
        <f t="shared" si="12"/>
        <v>3745392.32</v>
      </c>
      <c r="R75" s="80">
        <f t="shared" si="13"/>
        <v>1760726</v>
      </c>
      <c r="S75" s="80">
        <f t="shared" si="14"/>
        <v>5610807.888</v>
      </c>
      <c r="T75" s="84">
        <f>N75/'2016'!N75-1</f>
        <v>0.156517771359213</v>
      </c>
      <c r="U75" s="84">
        <f>O75/'2016'!O75-1</f>
        <v>0.122032632199725</v>
      </c>
      <c r="V75" s="84">
        <f>P75/'2016'!P75-1</f>
        <v>0.132811675900102</v>
      </c>
      <c r="W75" s="85">
        <f>Q75/'2016'!Q75-1</f>
        <v>0.114939010740397</v>
      </c>
      <c r="X75" s="85">
        <f>R75/'2016'!R75-1</f>
        <v>0.0886365997101464</v>
      </c>
      <c r="Y75" s="85">
        <f>S75/'2016'!S75-1</f>
        <v>0.0899670042034422</v>
      </c>
      <c r="Z75" s="144"/>
      <c r="AA75" s="144"/>
      <c r="AB75" s="109"/>
      <c r="AC75" s="109"/>
      <c r="AD75" s="38">
        <f t="shared" si="20"/>
        <v>3850081.888</v>
      </c>
      <c r="AE75" s="75">
        <f t="shared" si="22"/>
        <v>30144</v>
      </c>
      <c r="AF75" s="75">
        <f t="shared" si="23"/>
        <v>52428</v>
      </c>
      <c r="AG75" s="75">
        <f t="shared" si="21"/>
        <v>22117.5680000004</v>
      </c>
    </row>
    <row r="76" spans="1:33">
      <c r="A76" s="106">
        <v>42806</v>
      </c>
      <c r="B76" s="21" t="s">
        <v>1</v>
      </c>
      <c r="C76" s="9">
        <v>62494</v>
      </c>
      <c r="D76" s="38">
        <f>17442+11128</f>
        <v>28570</v>
      </c>
      <c r="E76" s="38">
        <v>93166</v>
      </c>
      <c r="F76" s="13">
        <v>4654.2</v>
      </c>
      <c r="G76" s="38">
        <v>3129.3</v>
      </c>
      <c r="H76" s="25"/>
      <c r="I76" s="37"/>
      <c r="J76" s="9">
        <f t="shared" si="18"/>
        <v>64596</v>
      </c>
      <c r="K76" s="38">
        <v>1111</v>
      </c>
      <c r="L76" s="38">
        <v>793</v>
      </c>
      <c r="M76" s="132">
        <f t="shared" si="19"/>
        <v>198</v>
      </c>
      <c r="N76" s="78">
        <f t="shared" si="15"/>
        <v>830475</v>
      </c>
      <c r="O76" s="79">
        <f t="shared" si="16"/>
        <v>313959</v>
      </c>
      <c r="P76" s="79">
        <f t="shared" si="17"/>
        <v>1167076</v>
      </c>
      <c r="Q76" s="80">
        <f t="shared" si="12"/>
        <v>3807886.32</v>
      </c>
      <c r="R76" s="80">
        <f t="shared" si="13"/>
        <v>1789296</v>
      </c>
      <c r="S76" s="80">
        <f t="shared" si="14"/>
        <v>5703973.888</v>
      </c>
      <c r="T76" s="84">
        <f>N76/'2016'!N76-1</f>
        <v>0.134483743130395</v>
      </c>
      <c r="U76" s="84">
        <f>O76/'2016'!O76-1</f>
        <v>0.137429580653926</v>
      </c>
      <c r="V76" s="84">
        <f>P76/'2016'!P76-1</f>
        <v>0.122443169796223</v>
      </c>
      <c r="W76" s="85">
        <f>Q76/'2016'!Q76-1</f>
        <v>0.111057517325049</v>
      </c>
      <c r="X76" s="85">
        <f>R76/'2016'!R76-1</f>
        <v>0.0916711764120892</v>
      </c>
      <c r="Y76" s="85">
        <f>S76/'2016'!S76-1</f>
        <v>0.0886597338726269</v>
      </c>
      <c r="Z76" s="141"/>
      <c r="AA76" s="141"/>
      <c r="AB76" s="109"/>
      <c r="AC76" s="109"/>
      <c r="AD76" s="38">
        <f t="shared" si="20"/>
        <v>3914677.888</v>
      </c>
      <c r="AE76" s="38">
        <f t="shared" si="22"/>
        <v>31255</v>
      </c>
      <c r="AF76" s="38">
        <f t="shared" si="23"/>
        <v>53221</v>
      </c>
      <c r="AG76" s="38">
        <f t="shared" si="21"/>
        <v>22315.5680000004</v>
      </c>
    </row>
    <row r="77" spans="1:33">
      <c r="A77" s="106">
        <v>42807</v>
      </c>
      <c r="B77" s="21" t="s">
        <v>39</v>
      </c>
      <c r="C77" s="9">
        <v>67433</v>
      </c>
      <c r="D77" s="38">
        <f>17616+11110</f>
        <v>28726</v>
      </c>
      <c r="E77" s="38">
        <v>98185</v>
      </c>
      <c r="F77" s="13">
        <v>5107.7</v>
      </c>
      <c r="G77" s="38">
        <v>2966.9</v>
      </c>
      <c r="H77" s="25"/>
      <c r="I77" s="37"/>
      <c r="J77" s="9">
        <f t="shared" si="18"/>
        <v>69459</v>
      </c>
      <c r="K77" s="38">
        <v>1082</v>
      </c>
      <c r="L77" s="38">
        <v>793</v>
      </c>
      <c r="M77" s="132">
        <f t="shared" si="19"/>
        <v>151</v>
      </c>
      <c r="N77" s="78">
        <f t="shared" si="15"/>
        <v>897908</v>
      </c>
      <c r="O77" s="79">
        <f t="shared" si="16"/>
        <v>342685</v>
      </c>
      <c r="P77" s="79">
        <f t="shared" si="17"/>
        <v>1265261</v>
      </c>
      <c r="Q77" s="80">
        <f t="shared" si="12"/>
        <v>3875319.32</v>
      </c>
      <c r="R77" s="80">
        <f t="shared" si="13"/>
        <v>1818022</v>
      </c>
      <c r="S77" s="80">
        <f t="shared" si="14"/>
        <v>5802158.888</v>
      </c>
      <c r="T77" s="84">
        <f>N77/'2016'!N77-1</f>
        <v>0.125688896912438</v>
      </c>
      <c r="U77" s="84">
        <f>O77/'2016'!O77-1</f>
        <v>0.155572416118698</v>
      </c>
      <c r="V77" s="84">
        <f>P77/'2016'!P77-1</f>
        <v>0.121825511876928</v>
      </c>
      <c r="W77" s="85">
        <f>Q77/'2016'!Q77-1</f>
        <v>0.109489207492028</v>
      </c>
      <c r="X77" s="85">
        <f>R77/'2016'!R77-1</f>
        <v>0.0954790644312256</v>
      </c>
      <c r="Y77" s="85">
        <f>S77/'2016'!S77-1</f>
        <v>0.0890876087110357</v>
      </c>
      <c r="Z77" s="141"/>
      <c r="AA77" s="141"/>
      <c r="AB77" s="109"/>
      <c r="AC77" s="109"/>
      <c r="AD77" s="38">
        <f t="shared" si="20"/>
        <v>3984136.888</v>
      </c>
      <c r="AE77" s="38">
        <f t="shared" si="22"/>
        <v>32337</v>
      </c>
      <c r="AF77" s="38">
        <f t="shared" si="23"/>
        <v>54014</v>
      </c>
      <c r="AG77" s="38">
        <f t="shared" si="21"/>
        <v>22466.5680000004</v>
      </c>
    </row>
    <row r="78" spans="1:33">
      <c r="A78" s="106">
        <v>42808</v>
      </c>
      <c r="B78" s="21" t="s">
        <v>34</v>
      </c>
      <c r="C78" s="9">
        <v>64449</v>
      </c>
      <c r="D78" s="38">
        <f>18244+11215</f>
        <v>29459</v>
      </c>
      <c r="E78" s="38">
        <v>95795</v>
      </c>
      <c r="F78" s="13">
        <v>4847.9</v>
      </c>
      <c r="G78" s="38">
        <v>3088.6</v>
      </c>
      <c r="H78" s="25"/>
      <c r="I78" s="37"/>
      <c r="J78" s="9">
        <f t="shared" si="18"/>
        <v>66336</v>
      </c>
      <c r="K78" s="38">
        <v>510</v>
      </c>
      <c r="L78" s="38">
        <v>793</v>
      </c>
      <c r="M78" s="132">
        <f t="shared" si="19"/>
        <v>584</v>
      </c>
      <c r="N78" s="78">
        <f t="shared" si="15"/>
        <v>962357</v>
      </c>
      <c r="O78" s="79">
        <f t="shared" si="16"/>
        <v>372144</v>
      </c>
      <c r="P78" s="79">
        <f t="shared" si="17"/>
        <v>1361056</v>
      </c>
      <c r="Q78" s="80">
        <f t="shared" si="12"/>
        <v>3939768.32</v>
      </c>
      <c r="R78" s="80">
        <f t="shared" si="13"/>
        <v>1847481</v>
      </c>
      <c r="S78" s="80">
        <f t="shared" si="14"/>
        <v>5897953.888</v>
      </c>
      <c r="T78" s="84">
        <f>N78/'2016'!N78-1</f>
        <v>0.113590366966638</v>
      </c>
      <c r="U78" s="84">
        <f>O78/'2016'!O78-1</f>
        <v>0.17009857095694</v>
      </c>
      <c r="V78" s="84">
        <f>P78/'2016'!P78-1</f>
        <v>0.11776816914479</v>
      </c>
      <c r="W78" s="85">
        <f>Q78/'2016'!Q78-1</f>
        <v>0.106854648234112</v>
      </c>
      <c r="X78" s="85">
        <f>R78/'2016'!R78-1</f>
        <v>0.0989956949858513</v>
      </c>
      <c r="Y78" s="85">
        <f>S78/'2016'!S78-1</f>
        <v>0.0887182924008605</v>
      </c>
      <c r="Z78" s="141"/>
      <c r="AA78" s="141"/>
      <c r="AB78" s="109"/>
      <c r="AC78" s="109"/>
      <c r="AD78" s="38">
        <f t="shared" si="20"/>
        <v>4050472.888</v>
      </c>
      <c r="AE78" s="38">
        <f t="shared" si="22"/>
        <v>32847</v>
      </c>
      <c r="AF78" s="38">
        <f t="shared" si="23"/>
        <v>54807</v>
      </c>
      <c r="AG78" s="38">
        <f t="shared" si="21"/>
        <v>23050.5680000004</v>
      </c>
    </row>
    <row r="79" spans="1:33">
      <c r="A79" s="106">
        <v>42809</v>
      </c>
      <c r="B79" s="21" t="s">
        <v>35</v>
      </c>
      <c r="C79" s="9">
        <v>65885</v>
      </c>
      <c r="D79" s="38">
        <f>17931+11182</f>
        <v>29113</v>
      </c>
      <c r="E79" s="38">
        <v>96963</v>
      </c>
      <c r="F79" s="13">
        <v>4838.3</v>
      </c>
      <c r="G79" s="38">
        <v>3110.4</v>
      </c>
      <c r="H79" s="25"/>
      <c r="I79" s="37"/>
      <c r="J79" s="9">
        <f t="shared" si="18"/>
        <v>67850</v>
      </c>
      <c r="K79" s="38">
        <v>702</v>
      </c>
      <c r="L79" s="38">
        <v>794</v>
      </c>
      <c r="M79" s="132">
        <f t="shared" si="19"/>
        <v>469</v>
      </c>
      <c r="N79" s="78">
        <f t="shared" si="15"/>
        <v>1028242</v>
      </c>
      <c r="O79" s="79">
        <f t="shared" si="16"/>
        <v>401257</v>
      </c>
      <c r="P79" s="79">
        <f t="shared" si="17"/>
        <v>1458019</v>
      </c>
      <c r="Q79" s="80">
        <f t="shared" si="12"/>
        <v>4005653.32</v>
      </c>
      <c r="R79" s="80">
        <f t="shared" si="13"/>
        <v>1876594</v>
      </c>
      <c r="S79" s="80">
        <f t="shared" si="14"/>
        <v>5994916.888</v>
      </c>
      <c r="T79" s="84">
        <f>N79/'2016'!N79-1</f>
        <v>0.104686291362269</v>
      </c>
      <c r="U79" s="84">
        <f>O79/'2016'!O79-1</f>
        <v>0.177604625227446</v>
      </c>
      <c r="V79" s="84">
        <f>P79/'2016'!P79-1</f>
        <v>0.113798469272778</v>
      </c>
      <c r="W79" s="85">
        <f>Q79/'2016'!Q79-1</f>
        <v>0.104692708341952</v>
      </c>
      <c r="X79" s="85">
        <f>R79/'2016'!R79-1</f>
        <v>0.101443984415627</v>
      </c>
      <c r="Y79" s="85">
        <f>S79/'2016'!S79-1</f>
        <v>0.0882569345800568</v>
      </c>
      <c r="Z79" s="141">
        <f>(Z80-Z73)/7*6+Z73</f>
        <v>28.6728571428571</v>
      </c>
      <c r="AA79" s="141">
        <f>Q79/10000-Z79</f>
        <v>371.892474857143</v>
      </c>
      <c r="AB79" s="109"/>
      <c r="AC79" s="109"/>
      <c r="AD79" s="38">
        <f t="shared" si="20"/>
        <v>4118322.888</v>
      </c>
      <c r="AE79" s="38">
        <f t="shared" si="22"/>
        <v>33549</v>
      </c>
      <c r="AF79" s="38">
        <f t="shared" si="23"/>
        <v>55601</v>
      </c>
      <c r="AG79" s="38">
        <f t="shared" si="21"/>
        <v>23519.5680000004</v>
      </c>
    </row>
    <row r="80" spans="1:33">
      <c r="A80" s="106">
        <v>42810</v>
      </c>
      <c r="B80" s="15" t="s">
        <v>36</v>
      </c>
      <c r="C80" s="33">
        <v>67718</v>
      </c>
      <c r="D80" s="34">
        <f>18710+11127</f>
        <v>29837</v>
      </c>
      <c r="E80" s="34">
        <v>99537</v>
      </c>
      <c r="F80" s="124">
        <v>5065</v>
      </c>
      <c r="G80" s="34">
        <v>3141</v>
      </c>
      <c r="H80" s="20"/>
      <c r="I80" s="20"/>
      <c r="J80" s="63">
        <f t="shared" si="18"/>
        <v>69700</v>
      </c>
      <c r="K80" s="34">
        <v>1009</v>
      </c>
      <c r="L80" s="34">
        <v>792</v>
      </c>
      <c r="M80" s="133">
        <f t="shared" si="19"/>
        <v>181</v>
      </c>
      <c r="N80" s="81">
        <f t="shared" si="15"/>
        <v>1095960</v>
      </c>
      <c r="O80" s="82">
        <f t="shared" si="16"/>
        <v>431094</v>
      </c>
      <c r="P80" s="82">
        <f t="shared" si="17"/>
        <v>1557556</v>
      </c>
      <c r="Q80" s="81">
        <f t="shared" si="12"/>
        <v>4073371.32</v>
      </c>
      <c r="R80" s="81">
        <f t="shared" si="13"/>
        <v>1906431</v>
      </c>
      <c r="S80" s="81">
        <f t="shared" si="14"/>
        <v>6094453.888</v>
      </c>
      <c r="T80" s="86">
        <f>N80/'2016'!N80-1</f>
        <v>0.101867109574429</v>
      </c>
      <c r="U80" s="86">
        <f>O80/'2016'!O80-1</f>
        <v>0.182556838132022</v>
      </c>
      <c r="V80" s="86">
        <f>P80/'2016'!P80-1</f>
        <v>0.113431540540676</v>
      </c>
      <c r="W80" s="86">
        <f>Q80/'2016'!Q80-1</f>
        <v>0.103932661097008</v>
      </c>
      <c r="X80" s="86">
        <f>R80/'2016'!R80-1</f>
        <v>0.103538396885322</v>
      </c>
      <c r="Y80" s="86">
        <f>S80/'2016'!S80-1</f>
        <v>0.0885750620561248</v>
      </c>
      <c r="Z80" s="143">
        <v>29.08</v>
      </c>
      <c r="AA80" s="143">
        <f>Q80/10000-Z80</f>
        <v>378.257132</v>
      </c>
      <c r="AB80" s="34">
        <v>4258</v>
      </c>
      <c r="AC80" s="34">
        <f>AA80*10000/AB80</f>
        <v>888.344603100047</v>
      </c>
      <c r="AD80" s="34">
        <f t="shared" si="20"/>
        <v>4188022.888</v>
      </c>
      <c r="AE80" s="34">
        <f t="shared" si="22"/>
        <v>34558</v>
      </c>
      <c r="AF80" s="34">
        <f t="shared" si="23"/>
        <v>56393</v>
      </c>
      <c r="AG80" s="34">
        <f t="shared" si="21"/>
        <v>23700.5680000004</v>
      </c>
    </row>
    <row r="81" spans="1:33">
      <c r="A81" s="106">
        <v>42811</v>
      </c>
      <c r="B81" s="21" t="s">
        <v>37</v>
      </c>
      <c r="C81" s="9">
        <v>67750</v>
      </c>
      <c r="D81" s="38">
        <f>18296+11225</f>
        <v>29521</v>
      </c>
      <c r="E81" s="38">
        <v>100002</v>
      </c>
      <c r="F81" s="13">
        <v>5020.4</v>
      </c>
      <c r="G81" s="38">
        <v>3218.5</v>
      </c>
      <c r="H81" s="25"/>
      <c r="I81" s="37"/>
      <c r="J81" s="38">
        <f t="shared" si="18"/>
        <v>70481</v>
      </c>
      <c r="K81" s="38">
        <v>1650</v>
      </c>
      <c r="L81" s="38">
        <v>794</v>
      </c>
      <c r="M81" s="132">
        <f t="shared" si="19"/>
        <v>287</v>
      </c>
      <c r="N81" s="78">
        <f t="shared" si="15"/>
        <v>1163710</v>
      </c>
      <c r="O81" s="79">
        <f t="shared" si="16"/>
        <v>460615</v>
      </c>
      <c r="P81" s="79">
        <f t="shared" si="17"/>
        <v>1657558</v>
      </c>
      <c r="Q81" s="80">
        <f t="shared" si="12"/>
        <v>4141121.32</v>
      </c>
      <c r="R81" s="80">
        <f t="shared" si="13"/>
        <v>1935952</v>
      </c>
      <c r="S81" s="80">
        <f t="shared" si="14"/>
        <v>6194455.888</v>
      </c>
      <c r="T81" s="84">
        <f>N81/'2016'!N81-1</f>
        <v>0.0987009627358806</v>
      </c>
      <c r="U81" s="84">
        <f>O81/'2016'!O81-1</f>
        <v>0.186189047551601</v>
      </c>
      <c r="V81" s="84">
        <f>P81/'2016'!P81-1</f>
        <v>0.113170750052718</v>
      </c>
      <c r="W81" s="85">
        <f>Q81/'2016'!Q81-1</f>
        <v>0.103003944968082</v>
      </c>
      <c r="X81" s="85">
        <f>R81/'2016'!R81-1</f>
        <v>0.105416274346455</v>
      </c>
      <c r="Y81" s="85">
        <f>S81/'2016'!S81-1</f>
        <v>0.0889007601704705</v>
      </c>
      <c r="Z81" s="141"/>
      <c r="AA81" s="141"/>
      <c r="AB81" s="109"/>
      <c r="AC81" s="109"/>
      <c r="AD81" s="38">
        <f t="shared" si="20"/>
        <v>4258503.888</v>
      </c>
      <c r="AE81" s="38">
        <f>AE80+K82</f>
        <v>36684</v>
      </c>
      <c r="AF81" s="38">
        <f t="shared" si="23"/>
        <v>57187</v>
      </c>
      <c r="AG81" s="38">
        <f t="shared" si="21"/>
        <v>23511.5680000004</v>
      </c>
    </row>
    <row r="82" spans="1:33">
      <c r="A82" s="106">
        <v>42812</v>
      </c>
      <c r="B82" s="21" t="s">
        <v>38</v>
      </c>
      <c r="C82" s="74">
        <v>66481</v>
      </c>
      <c r="D82" s="75">
        <f>18335+10975</f>
        <v>29310</v>
      </c>
      <c r="E82" s="75">
        <v>98853</v>
      </c>
      <c r="F82" s="125">
        <v>5051.2</v>
      </c>
      <c r="G82" s="38">
        <v>3195.2</v>
      </c>
      <c r="H82" s="25"/>
      <c r="I82" s="25"/>
      <c r="J82" s="74">
        <f t="shared" si="18"/>
        <v>69543</v>
      </c>
      <c r="K82" s="38">
        <v>2126</v>
      </c>
      <c r="L82" s="75">
        <v>792</v>
      </c>
      <c r="M82" s="132">
        <f t="shared" ref="M82:M85" si="24">J82-K82-L82-C82</f>
        <v>144</v>
      </c>
      <c r="N82" s="78">
        <f t="shared" si="15"/>
        <v>1230191</v>
      </c>
      <c r="O82" s="79">
        <f t="shared" si="16"/>
        <v>489925</v>
      </c>
      <c r="P82" s="79">
        <f t="shared" si="17"/>
        <v>1756411</v>
      </c>
      <c r="Q82" s="80">
        <f t="shared" si="12"/>
        <v>4207602.32</v>
      </c>
      <c r="R82" s="80">
        <f t="shared" si="13"/>
        <v>1965262</v>
      </c>
      <c r="S82" s="80">
        <f t="shared" si="14"/>
        <v>6293308.888</v>
      </c>
      <c r="T82" s="84">
        <f>N82/'2016'!N82-1</f>
        <v>0.0942296796183777</v>
      </c>
      <c r="U82" s="84">
        <f>O82/'2016'!O82-1</f>
        <v>0.19053983451393</v>
      </c>
      <c r="V82" s="84">
        <f>P82/'2016'!P82-1</f>
        <v>0.11222483467759</v>
      </c>
      <c r="W82" s="85">
        <f>Q82/'2016'!Q82-1</f>
        <v>0.101614515247728</v>
      </c>
      <c r="X82" s="85">
        <f>R82/'2016'!R82-1</f>
        <v>0.107481235908264</v>
      </c>
      <c r="Y82" s="85">
        <f>S82/'2016'!S82-1</f>
        <v>0.0890208599641211</v>
      </c>
      <c r="Z82" s="144"/>
      <c r="AA82" s="144"/>
      <c r="AB82" s="109"/>
      <c r="AC82" s="109"/>
      <c r="AD82" s="38">
        <f t="shared" si="20"/>
        <v>4328046.888</v>
      </c>
      <c r="AE82" s="75">
        <f>AE81+K83</f>
        <v>38634</v>
      </c>
      <c r="AF82" s="75">
        <f t="shared" si="23"/>
        <v>57979</v>
      </c>
      <c r="AG82" s="75">
        <f t="shared" si="21"/>
        <v>23831.568</v>
      </c>
    </row>
    <row r="83" spans="1:33">
      <c r="A83" s="106">
        <v>42813</v>
      </c>
      <c r="B83" s="21" t="s">
        <v>1</v>
      </c>
      <c r="C83" s="9">
        <v>64915</v>
      </c>
      <c r="D83" s="38">
        <f>15341+10704</f>
        <v>26045</v>
      </c>
      <c r="E83" s="38">
        <v>93871</v>
      </c>
      <c r="F83" s="13">
        <v>4736.2</v>
      </c>
      <c r="G83" s="75">
        <v>3112.2</v>
      </c>
      <c r="H83" s="25"/>
      <c r="I83" s="37"/>
      <c r="J83" s="9">
        <f t="shared" si="18"/>
        <v>67826</v>
      </c>
      <c r="K83" s="75">
        <v>1950</v>
      </c>
      <c r="L83" s="38">
        <v>793</v>
      </c>
      <c r="M83" s="132">
        <f t="shared" si="24"/>
        <v>168</v>
      </c>
      <c r="N83" s="78">
        <f t="shared" si="15"/>
        <v>1295106</v>
      </c>
      <c r="O83" s="79">
        <f t="shared" si="16"/>
        <v>515970</v>
      </c>
      <c r="P83" s="79">
        <f t="shared" si="17"/>
        <v>1850282</v>
      </c>
      <c r="Q83" s="80">
        <f t="shared" si="12"/>
        <v>4272517.32</v>
      </c>
      <c r="R83" s="80">
        <f t="shared" si="13"/>
        <v>1991307</v>
      </c>
      <c r="S83" s="80">
        <f t="shared" si="14"/>
        <v>6387179.888</v>
      </c>
      <c r="T83" s="84">
        <f>N83/'2016'!N83-1</f>
        <v>0.0894889327079029</v>
      </c>
      <c r="U83" s="84">
        <f>O83/'2016'!O83-1</f>
        <v>0.187798117829058</v>
      </c>
      <c r="V83" s="84">
        <f>P83/'2016'!P83-1</f>
        <v>0.109276454309572</v>
      </c>
      <c r="W83" s="85">
        <f>Q83/'2016'!Q83-1</f>
        <v>0.100040968474975</v>
      </c>
      <c r="X83" s="85">
        <f>R83/'2016'!R83-1</f>
        <v>0.107875776812191</v>
      </c>
      <c r="Y83" s="85">
        <f>S83/'2016'!S83-1</f>
        <v>0.088533969585987</v>
      </c>
      <c r="Z83" s="141"/>
      <c r="AA83" s="141"/>
      <c r="AB83" s="109"/>
      <c r="AC83" s="109"/>
      <c r="AD83" s="38">
        <f t="shared" si="20"/>
        <v>4395872.888</v>
      </c>
      <c r="AE83" s="38">
        <f>AE82+K84</f>
        <v>39985</v>
      </c>
      <c r="AF83" s="38">
        <f t="shared" si="23"/>
        <v>58772</v>
      </c>
      <c r="AG83" s="38">
        <f t="shared" si="21"/>
        <v>24598.568</v>
      </c>
    </row>
    <row r="84" spans="1:33">
      <c r="A84" s="106">
        <v>42814</v>
      </c>
      <c r="B84" s="21" t="s">
        <v>39</v>
      </c>
      <c r="C84" s="9">
        <v>66254</v>
      </c>
      <c r="D84" s="38">
        <f>16799+10946</f>
        <v>27745</v>
      </c>
      <c r="E84" s="38">
        <v>96433</v>
      </c>
      <c r="F84" s="13">
        <v>5031.1</v>
      </c>
      <c r="G84" s="38">
        <v>2966.5</v>
      </c>
      <c r="H84" s="25"/>
      <c r="I84" s="37"/>
      <c r="J84" s="9">
        <f t="shared" si="18"/>
        <v>68688</v>
      </c>
      <c r="K84" s="38">
        <v>1351</v>
      </c>
      <c r="L84" s="38">
        <v>794</v>
      </c>
      <c r="M84" s="132">
        <f t="shared" si="24"/>
        <v>289</v>
      </c>
      <c r="N84" s="78">
        <f t="shared" si="15"/>
        <v>1361360</v>
      </c>
      <c r="O84" s="79">
        <f t="shared" si="16"/>
        <v>543715</v>
      </c>
      <c r="P84" s="79">
        <f t="shared" si="17"/>
        <v>1946715</v>
      </c>
      <c r="Q84" s="80">
        <f t="shared" si="12"/>
        <v>4338771.32</v>
      </c>
      <c r="R84" s="80">
        <f t="shared" si="13"/>
        <v>2019052</v>
      </c>
      <c r="S84" s="80">
        <f t="shared" si="14"/>
        <v>6483612.888</v>
      </c>
      <c r="T84" s="84">
        <f>N84/'2016'!N84-1</f>
        <v>0.0933389016496138</v>
      </c>
      <c r="U84" s="84">
        <f>O84/'2016'!O84-1</f>
        <v>0.182549556093975</v>
      </c>
      <c r="V84" s="84">
        <f>P84/'2016'!P84-1</f>
        <v>0.111200854842337</v>
      </c>
      <c r="W84" s="85">
        <f>Q84/'2016'!Q84-1</f>
        <v>0.101106473649456</v>
      </c>
      <c r="X84" s="85">
        <f>R84/'2016'!R84-1</f>
        <v>0.107665130568356</v>
      </c>
      <c r="Y84" s="85">
        <f>S84/'2016'!S84-1</f>
        <v>0.0893928218101265</v>
      </c>
      <c r="Z84" s="141"/>
      <c r="AA84" s="141"/>
      <c r="AB84" s="109"/>
      <c r="AC84" s="109"/>
      <c r="AD84" s="38">
        <f t="shared" si="20"/>
        <v>4464560.888</v>
      </c>
      <c r="AE84" s="38">
        <f>AE83+K85</f>
        <v>41692</v>
      </c>
      <c r="AF84" s="38">
        <f t="shared" si="23"/>
        <v>59566</v>
      </c>
      <c r="AG84" s="38">
        <f t="shared" si="21"/>
        <v>24531.568</v>
      </c>
    </row>
    <row r="85" spans="1:33">
      <c r="A85" s="106">
        <v>42815</v>
      </c>
      <c r="B85" s="21" t="s">
        <v>34</v>
      </c>
      <c r="C85" s="9">
        <v>64227</v>
      </c>
      <c r="D85" s="38">
        <f>16650+11349</f>
        <v>27999</v>
      </c>
      <c r="E85" s="38">
        <v>95256</v>
      </c>
      <c r="F85" s="13">
        <v>4845.5</v>
      </c>
      <c r="G85" s="38">
        <v>3027.3</v>
      </c>
      <c r="H85" s="25"/>
      <c r="I85" s="37"/>
      <c r="J85" s="9">
        <f t="shared" si="18"/>
        <v>67257</v>
      </c>
      <c r="K85" s="38">
        <v>1707</v>
      </c>
      <c r="L85" s="38">
        <v>793</v>
      </c>
      <c r="M85" s="132">
        <f t="shared" si="24"/>
        <v>530</v>
      </c>
      <c r="N85" s="78">
        <f t="shared" si="15"/>
        <v>1425587</v>
      </c>
      <c r="O85" s="79">
        <f t="shared" si="16"/>
        <v>571714</v>
      </c>
      <c r="P85" s="79">
        <f t="shared" si="17"/>
        <v>2041971</v>
      </c>
      <c r="Q85" s="80">
        <f t="shared" si="12"/>
        <v>4402998.32</v>
      </c>
      <c r="R85" s="80">
        <f t="shared" si="13"/>
        <v>2047051</v>
      </c>
      <c r="S85" s="80">
        <f t="shared" si="14"/>
        <v>6578868.888</v>
      </c>
      <c r="T85" s="84">
        <f>N85/'2016'!N85-1</f>
        <v>0.0899416490563845</v>
      </c>
      <c r="U85" s="84">
        <f>O85/'2016'!O85-1</f>
        <v>0.178288854035494</v>
      </c>
      <c r="V85" s="84">
        <f>P85/'2016'!P85-1</f>
        <v>0.108938759860843</v>
      </c>
      <c r="W85" s="85">
        <f>Q85/'2016'!Q85-1</f>
        <v>0.0998746297320483</v>
      </c>
      <c r="X85" s="85">
        <f>R85/'2016'!R85-1</f>
        <v>0.107576729023793</v>
      </c>
      <c r="Y85" s="85">
        <f>S85/'2016'!S85-1</f>
        <v>0.0890263040104247</v>
      </c>
      <c r="Z85" s="141"/>
      <c r="AA85" s="141"/>
      <c r="AB85" s="109"/>
      <c r="AC85" s="109"/>
      <c r="AD85" s="38">
        <f t="shared" si="20"/>
        <v>4531817.888</v>
      </c>
      <c r="AE85" s="38">
        <f>AE84+K86</f>
        <v>43611</v>
      </c>
      <c r="AF85" s="38">
        <f t="shared" si="23"/>
        <v>60359</v>
      </c>
      <c r="AG85" s="38">
        <f t="shared" si="21"/>
        <v>24849.568</v>
      </c>
    </row>
    <row r="86" spans="1:33">
      <c r="A86" s="106">
        <v>42816</v>
      </c>
      <c r="B86" s="21" t="s">
        <v>35</v>
      </c>
      <c r="C86" s="9">
        <v>67381</v>
      </c>
      <c r="D86" s="38">
        <f>17125+11258</f>
        <v>28383</v>
      </c>
      <c r="E86" s="38">
        <f>98773</f>
        <v>98773</v>
      </c>
      <c r="F86" s="13">
        <v>5090.4</v>
      </c>
      <c r="G86" s="38">
        <v>3082.3</v>
      </c>
      <c r="H86" s="25"/>
      <c r="I86" s="37"/>
      <c r="J86" s="9">
        <f t="shared" si="18"/>
        <v>70390</v>
      </c>
      <c r="K86" s="38">
        <v>1919</v>
      </c>
      <c r="L86" s="38">
        <v>794</v>
      </c>
      <c r="M86" s="132">
        <f t="shared" si="19"/>
        <v>296</v>
      </c>
      <c r="N86" s="78">
        <f t="shared" si="15"/>
        <v>1492968</v>
      </c>
      <c r="O86" s="79">
        <f t="shared" si="16"/>
        <v>600097</v>
      </c>
      <c r="P86" s="79">
        <f t="shared" si="17"/>
        <v>2140744</v>
      </c>
      <c r="Q86" s="80">
        <f t="shared" si="12"/>
        <v>4470379.32</v>
      </c>
      <c r="R86" s="80">
        <f t="shared" si="13"/>
        <v>2075434</v>
      </c>
      <c r="S86" s="80">
        <f t="shared" si="14"/>
        <v>6677641.888</v>
      </c>
      <c r="T86" s="84">
        <f>N86/'2016'!N86-1</f>
        <v>0.0873615004599353</v>
      </c>
      <c r="U86" s="84">
        <f>O86/'2016'!O86-1</f>
        <v>0.173591038342845</v>
      </c>
      <c r="V86" s="84">
        <f>P86/'2016'!P86-1</f>
        <v>0.107173907084537</v>
      </c>
      <c r="W86" s="85">
        <f>Q86/'2016'!Q86-1</f>
        <v>0.0988449636735966</v>
      </c>
      <c r="X86" s="85">
        <f>R86/'2016'!R86-1</f>
        <v>0.107280809581125</v>
      </c>
      <c r="Y86" s="85">
        <f>S86/'2016'!S86-1</f>
        <v>0.0887690963432974</v>
      </c>
      <c r="Z86" s="141">
        <f>(Z87-Z80)/7*6+Z80</f>
        <v>32.0028571428571</v>
      </c>
      <c r="AA86" s="141">
        <f>Q86/10000-Z86</f>
        <v>415.035074857143</v>
      </c>
      <c r="AB86" s="109"/>
      <c r="AC86" s="109"/>
      <c r="AD86" s="38">
        <f t="shared" si="20"/>
        <v>4602207.888</v>
      </c>
      <c r="AE86" s="38">
        <f t="shared" si="22"/>
        <v>45530</v>
      </c>
      <c r="AF86" s="38">
        <f t="shared" si="23"/>
        <v>61153</v>
      </c>
      <c r="AG86" s="38">
        <f t="shared" si="21"/>
        <v>25145.568</v>
      </c>
    </row>
    <row r="87" spans="1:33">
      <c r="A87" s="106">
        <v>42817</v>
      </c>
      <c r="B87" s="15" t="s">
        <v>36</v>
      </c>
      <c r="C87" s="33">
        <v>67338</v>
      </c>
      <c r="D87" s="34">
        <v>27490</v>
      </c>
      <c r="E87" s="34">
        <v>97647</v>
      </c>
      <c r="F87" s="124">
        <v>4992</v>
      </c>
      <c r="G87" s="34">
        <v>3093</v>
      </c>
      <c r="H87" s="20"/>
      <c r="I87" s="20"/>
      <c r="J87" s="33">
        <f t="shared" si="18"/>
        <v>70157</v>
      </c>
      <c r="K87" s="34">
        <v>1738</v>
      </c>
      <c r="L87" s="34">
        <v>792</v>
      </c>
      <c r="M87" s="133">
        <f t="shared" si="19"/>
        <v>289</v>
      </c>
      <c r="N87" s="81">
        <f t="shared" si="15"/>
        <v>1560306</v>
      </c>
      <c r="O87" s="82">
        <f t="shared" si="16"/>
        <v>627587</v>
      </c>
      <c r="P87" s="82">
        <f t="shared" si="17"/>
        <v>2238391</v>
      </c>
      <c r="Q87" s="81">
        <f t="shared" si="12"/>
        <v>4537717.32</v>
      </c>
      <c r="R87" s="81">
        <f t="shared" si="13"/>
        <v>2102924</v>
      </c>
      <c r="S87" s="81">
        <f t="shared" si="14"/>
        <v>6775288.888</v>
      </c>
      <c r="T87" s="86">
        <f>N87/'2016'!N87-1</f>
        <v>0.0854959569727003</v>
      </c>
      <c r="U87" s="86">
        <f>O87/'2016'!O87-1</f>
        <v>0.166455711495105</v>
      </c>
      <c r="V87" s="86">
        <f>P87/'2016'!P87-1</f>
        <v>0.10491066249987</v>
      </c>
      <c r="W87" s="86">
        <f>Q87/'2016'!Q87-1</f>
        <v>0.0980171594622044</v>
      </c>
      <c r="X87" s="86">
        <f>R87/'2016'!R87-1</f>
        <v>0.106192534955738</v>
      </c>
      <c r="Y87" s="86">
        <f>S87/'2016'!S87-1</f>
        <v>0.0883055889618554</v>
      </c>
      <c r="Z87" s="143">
        <v>32.49</v>
      </c>
      <c r="AA87" s="143">
        <f>Q87/10000-Z87</f>
        <v>421.281732</v>
      </c>
      <c r="AB87" s="34">
        <v>4258</v>
      </c>
      <c r="AC87" s="34">
        <f>AA87*10000/AB87</f>
        <v>989.388755284171</v>
      </c>
      <c r="AD87" s="34">
        <f t="shared" si="20"/>
        <v>4672364.888</v>
      </c>
      <c r="AE87" s="34">
        <f t="shared" si="22"/>
        <v>47268</v>
      </c>
      <c r="AF87" s="34">
        <f t="shared" si="23"/>
        <v>61945</v>
      </c>
      <c r="AG87" s="34">
        <f t="shared" si="21"/>
        <v>25434.568</v>
      </c>
    </row>
    <row r="88" spans="1:33">
      <c r="A88" s="106">
        <v>42818</v>
      </c>
      <c r="B88" s="21" t="s">
        <v>37</v>
      </c>
      <c r="C88" s="9">
        <v>70000</v>
      </c>
      <c r="D88" s="38">
        <f>16962+11117</f>
        <v>28079</v>
      </c>
      <c r="E88" s="38">
        <v>99708</v>
      </c>
      <c r="F88" s="13">
        <v>5131.5</v>
      </c>
      <c r="G88" s="38">
        <v>3114.1</v>
      </c>
      <c r="H88" s="25"/>
      <c r="I88" s="37"/>
      <c r="J88" s="9">
        <f t="shared" si="18"/>
        <v>71629</v>
      </c>
      <c r="K88" s="38">
        <v>704</v>
      </c>
      <c r="L88" s="38">
        <v>793</v>
      </c>
      <c r="M88" s="132">
        <f t="shared" si="19"/>
        <v>132</v>
      </c>
      <c r="N88" s="78">
        <f t="shared" si="15"/>
        <v>1630306</v>
      </c>
      <c r="O88" s="79">
        <f t="shared" si="16"/>
        <v>655666</v>
      </c>
      <c r="P88" s="79">
        <f t="shared" si="17"/>
        <v>2338099</v>
      </c>
      <c r="Q88" s="80">
        <f t="shared" si="12"/>
        <v>4607717.32</v>
      </c>
      <c r="R88" s="80">
        <f t="shared" si="13"/>
        <v>2131003</v>
      </c>
      <c r="S88" s="80">
        <f t="shared" si="14"/>
        <v>6874996.888</v>
      </c>
      <c r="T88" s="84">
        <f>N88/'2016'!N88-1</f>
        <v>0.085668469781129</v>
      </c>
      <c r="U88" s="84">
        <f>O88/'2016'!O88-1</f>
        <v>0.159135226491246</v>
      </c>
      <c r="V88" s="84">
        <f>P88/'2016'!P88-1</f>
        <v>0.103303636312158</v>
      </c>
      <c r="W88" s="85">
        <f>Q88/'2016'!Q88-1</f>
        <v>0.0978872047072896</v>
      </c>
      <c r="X88" s="85">
        <f>R88/'2016'!R88-1</f>
        <v>0.104908618326939</v>
      </c>
      <c r="Y88" s="85">
        <f>S88/'2016'!S88-1</f>
        <v>0.0880118742900224</v>
      </c>
      <c r="Z88" s="141"/>
      <c r="AA88" s="141"/>
      <c r="AB88" s="109"/>
      <c r="AC88" s="109"/>
      <c r="AD88" s="38">
        <f t="shared" si="20"/>
        <v>4743993.888</v>
      </c>
      <c r="AE88" s="38">
        <f t="shared" si="22"/>
        <v>47972</v>
      </c>
      <c r="AF88" s="38">
        <f t="shared" si="23"/>
        <v>62738</v>
      </c>
      <c r="AG88" s="38">
        <f t="shared" si="21"/>
        <v>25566.568</v>
      </c>
    </row>
    <row r="89" spans="1:33">
      <c r="A89" s="106">
        <v>42819</v>
      </c>
      <c r="B89" s="21" t="s">
        <v>38</v>
      </c>
      <c r="C89" s="74">
        <v>66039</v>
      </c>
      <c r="D89" s="75">
        <f>15544+11390</f>
        <v>26934</v>
      </c>
      <c r="E89" s="75">
        <v>94631</v>
      </c>
      <c r="F89" s="125">
        <v>4780.2</v>
      </c>
      <c r="G89" s="75">
        <v>3089.5</v>
      </c>
      <c r="H89" s="25"/>
      <c r="I89" s="25"/>
      <c r="J89" s="74">
        <f t="shared" si="18"/>
        <v>67697</v>
      </c>
      <c r="K89" s="75">
        <v>385</v>
      </c>
      <c r="L89" s="75">
        <v>793</v>
      </c>
      <c r="M89" s="134">
        <f t="shared" si="19"/>
        <v>480</v>
      </c>
      <c r="N89" s="78">
        <f t="shared" si="15"/>
        <v>1696345</v>
      </c>
      <c r="O89" s="79">
        <f t="shared" si="16"/>
        <v>682600</v>
      </c>
      <c r="P89" s="79">
        <f t="shared" si="17"/>
        <v>2432730</v>
      </c>
      <c r="Q89" s="80">
        <f t="shared" si="12"/>
        <v>4673756.32</v>
      </c>
      <c r="R89" s="80">
        <f t="shared" si="13"/>
        <v>2157937</v>
      </c>
      <c r="S89" s="80">
        <f t="shared" si="14"/>
        <v>6969627.888</v>
      </c>
      <c r="T89" s="84">
        <f>N89/'2016'!N89-1</f>
        <v>0.0848838495822832</v>
      </c>
      <c r="U89" s="84">
        <f>O89/'2016'!O89-1</f>
        <v>0.148247769865982</v>
      </c>
      <c r="V89" s="84">
        <f>P89/'2016'!P89-1</f>
        <v>0.100101837414668</v>
      </c>
      <c r="W89" s="85">
        <f>Q89/'2016'!Q89-1</f>
        <v>0.0974213761310851</v>
      </c>
      <c r="X89" s="85">
        <f>R89/'2016'!R89-1</f>
        <v>0.102400575431075</v>
      </c>
      <c r="Y89" s="85">
        <f>S89/'2016'!S89-1</f>
        <v>0.087127364160317</v>
      </c>
      <c r="Z89" s="144"/>
      <c r="AA89" s="144"/>
      <c r="AB89" s="109"/>
      <c r="AC89" s="109"/>
      <c r="AD89" s="38">
        <f t="shared" si="20"/>
        <v>4811690.888</v>
      </c>
      <c r="AE89" s="75">
        <f t="shared" si="22"/>
        <v>48357</v>
      </c>
      <c r="AF89" s="75">
        <f t="shared" si="23"/>
        <v>63531</v>
      </c>
      <c r="AG89" s="75">
        <f t="shared" si="21"/>
        <v>26046.568</v>
      </c>
    </row>
    <row r="90" spans="1:33">
      <c r="A90" s="106">
        <v>42820</v>
      </c>
      <c r="B90" s="21" t="s">
        <v>1</v>
      </c>
      <c r="C90" s="9">
        <v>59682</v>
      </c>
      <c r="D90" s="38">
        <f>15633+11256</f>
        <v>26889</v>
      </c>
      <c r="E90" s="38">
        <v>88530</v>
      </c>
      <c r="F90" s="13">
        <v>4358.2</v>
      </c>
      <c r="G90" s="38">
        <v>3046.3</v>
      </c>
      <c r="H90" s="25"/>
      <c r="I90" s="37"/>
      <c r="J90" s="9">
        <f t="shared" si="18"/>
        <v>61641</v>
      </c>
      <c r="K90" s="38">
        <v>448</v>
      </c>
      <c r="L90" s="38">
        <v>793</v>
      </c>
      <c r="M90" s="132">
        <f t="shared" si="19"/>
        <v>718</v>
      </c>
      <c r="N90" s="78">
        <f t="shared" si="15"/>
        <v>1756027</v>
      </c>
      <c r="O90" s="79">
        <f t="shared" si="16"/>
        <v>709489</v>
      </c>
      <c r="P90" s="79">
        <f t="shared" si="17"/>
        <v>2521260</v>
      </c>
      <c r="Q90" s="80">
        <f t="shared" si="12"/>
        <v>4733438.32</v>
      </c>
      <c r="R90" s="80">
        <f t="shared" si="13"/>
        <v>2184826</v>
      </c>
      <c r="S90" s="80">
        <f t="shared" si="14"/>
        <v>7058157.888</v>
      </c>
      <c r="T90" s="84">
        <f>N90/'2016'!N90-1</f>
        <v>0.0815991160095766</v>
      </c>
      <c r="U90" s="84">
        <f>O90/'2016'!O90-1</f>
        <v>0.137484668969995</v>
      </c>
      <c r="V90" s="84">
        <f>P90/'2016'!P90-1</f>
        <v>0.0952775857897066</v>
      </c>
      <c r="W90" s="85">
        <f>Q90/'2016'!Q90-1</f>
        <v>0.0960125831803003</v>
      </c>
      <c r="X90" s="85">
        <f>R90/'2016'!R90-1</f>
        <v>0.0996968420332069</v>
      </c>
      <c r="Y90" s="85">
        <f>S90/'2016'!S90-1</f>
        <v>0.0856000463884456</v>
      </c>
      <c r="Z90" s="141"/>
      <c r="AA90" s="141"/>
      <c r="AB90" s="109"/>
      <c r="AC90" s="109"/>
      <c r="AD90" s="38">
        <f t="shared" si="20"/>
        <v>4873331.888</v>
      </c>
      <c r="AE90" s="38">
        <f t="shared" si="22"/>
        <v>48805</v>
      </c>
      <c r="AF90" s="38">
        <f t="shared" si="23"/>
        <v>64324</v>
      </c>
      <c r="AG90" s="38">
        <f t="shared" si="21"/>
        <v>26764.568</v>
      </c>
    </row>
    <row r="91" spans="1:33">
      <c r="A91" s="106">
        <v>42821</v>
      </c>
      <c r="B91" s="21" t="s">
        <v>39</v>
      </c>
      <c r="C91" s="9">
        <v>61157</v>
      </c>
      <c r="D91" s="38">
        <f>17092+11483</f>
        <v>28575</v>
      </c>
      <c r="E91" s="38">
        <v>92515</v>
      </c>
      <c r="F91" s="13">
        <v>4662</v>
      </c>
      <c r="G91" s="38">
        <v>2961.9</v>
      </c>
      <c r="H91" s="25"/>
      <c r="I91" s="37"/>
      <c r="J91" s="9">
        <f t="shared" si="18"/>
        <v>63940</v>
      </c>
      <c r="K91" s="38">
        <v>1333</v>
      </c>
      <c r="L91" s="38">
        <v>793</v>
      </c>
      <c r="M91" s="132">
        <f t="shared" si="19"/>
        <v>657</v>
      </c>
      <c r="N91" s="78">
        <f t="shared" si="15"/>
        <v>1817184</v>
      </c>
      <c r="O91" s="79">
        <f t="shared" si="16"/>
        <v>738064</v>
      </c>
      <c r="P91" s="79">
        <f t="shared" si="17"/>
        <v>2613775</v>
      </c>
      <c r="Q91" s="80">
        <f t="shared" si="12"/>
        <v>4794595.32</v>
      </c>
      <c r="R91" s="80">
        <f t="shared" si="13"/>
        <v>2213401</v>
      </c>
      <c r="S91" s="80">
        <f t="shared" si="14"/>
        <v>7150672.888</v>
      </c>
      <c r="T91" s="84">
        <f>N91/'2016'!N91-1</f>
        <v>0.0823871098782691</v>
      </c>
      <c r="U91" s="84">
        <f>O91/'2016'!O91-1</f>
        <v>0.130552130323895</v>
      </c>
      <c r="V91" s="84">
        <f>P91/'2016'!P91-1</f>
        <v>0.0946744570864495</v>
      </c>
      <c r="W91" s="85">
        <f>Q91/'2016'!Q91-1</f>
        <v>0.0961327413335906</v>
      </c>
      <c r="X91" s="85">
        <f>R91/'2016'!R91-1</f>
        <v>0.0979972249960686</v>
      </c>
      <c r="Y91" s="85">
        <f>S91/'2016'!S91-1</f>
        <v>0.0855074540019654</v>
      </c>
      <c r="Z91" s="141"/>
      <c r="AA91" s="141"/>
      <c r="AB91" s="109"/>
      <c r="AC91" s="109"/>
      <c r="AD91" s="38">
        <f t="shared" si="20"/>
        <v>4937271.888</v>
      </c>
      <c r="AE91" s="38">
        <f t="shared" si="22"/>
        <v>50138</v>
      </c>
      <c r="AF91" s="38">
        <f t="shared" si="23"/>
        <v>65117</v>
      </c>
      <c r="AG91" s="38">
        <f t="shared" si="21"/>
        <v>27421.568</v>
      </c>
    </row>
    <row r="92" spans="1:33">
      <c r="A92" s="106">
        <v>42822</v>
      </c>
      <c r="B92" s="21" t="s">
        <v>34</v>
      </c>
      <c r="C92" s="9">
        <v>64771</v>
      </c>
      <c r="D92" s="38">
        <f>15829+11175</f>
        <v>27004</v>
      </c>
      <c r="E92" s="38">
        <v>94385</v>
      </c>
      <c r="F92" s="13">
        <v>4783.5</v>
      </c>
      <c r="G92" s="38">
        <v>3051.4</v>
      </c>
      <c r="H92" s="25"/>
      <c r="I92" s="37"/>
      <c r="J92" s="9">
        <f t="shared" si="18"/>
        <v>67381</v>
      </c>
      <c r="K92" s="38">
        <v>1353</v>
      </c>
      <c r="L92" s="38">
        <v>793</v>
      </c>
      <c r="M92" s="132">
        <f t="shared" si="19"/>
        <v>464</v>
      </c>
      <c r="N92" s="78">
        <f t="shared" si="15"/>
        <v>1881955</v>
      </c>
      <c r="O92" s="79">
        <f t="shared" si="16"/>
        <v>765068</v>
      </c>
      <c r="P92" s="79">
        <f t="shared" si="17"/>
        <v>2708160</v>
      </c>
      <c r="Q92" s="80">
        <f t="shared" si="12"/>
        <v>4859366.32</v>
      </c>
      <c r="R92" s="80">
        <f t="shared" si="13"/>
        <v>2240405</v>
      </c>
      <c r="S92" s="80">
        <f t="shared" si="14"/>
        <v>7245057.888</v>
      </c>
      <c r="T92" s="84">
        <f>N92/'2016'!N92-1</f>
        <v>0.0830791029220239</v>
      </c>
      <c r="U92" s="84">
        <f>O92/'2016'!O92-1</f>
        <v>0.121175884404584</v>
      </c>
      <c r="V92" s="84">
        <f>P92/'2016'!P92-1</f>
        <v>0.0932559218230944</v>
      </c>
      <c r="W92" s="85">
        <f>Q92/'2016'!Q92-1</f>
        <v>0.0962218771705938</v>
      </c>
      <c r="X92" s="85">
        <f>R92/'2016'!R92-1</f>
        <v>0.0953393911600577</v>
      </c>
      <c r="Y92" s="85">
        <f>S92/'2016'!S92-1</f>
        <v>0.0851039539254614</v>
      </c>
      <c r="Z92" s="141"/>
      <c r="AA92" s="141"/>
      <c r="AB92" s="109"/>
      <c r="AC92" s="109"/>
      <c r="AD92" s="38">
        <f t="shared" si="20"/>
        <v>5004652.888</v>
      </c>
      <c r="AE92" s="38">
        <f t="shared" si="22"/>
        <v>51491</v>
      </c>
      <c r="AF92" s="38">
        <f t="shared" si="23"/>
        <v>65910</v>
      </c>
      <c r="AG92" s="38">
        <f t="shared" si="21"/>
        <v>27885.568</v>
      </c>
    </row>
    <row r="93" spans="1:33">
      <c r="A93" s="106">
        <v>42823</v>
      </c>
      <c r="B93" s="21" t="s">
        <v>35</v>
      </c>
      <c r="C93" s="9">
        <v>61097</v>
      </c>
      <c r="D93" s="38">
        <f>18044+11378</f>
        <v>29422</v>
      </c>
      <c r="E93" s="38">
        <v>93638</v>
      </c>
      <c r="F93" s="13">
        <v>4714.9</v>
      </c>
      <c r="G93" s="38">
        <v>3079.4</v>
      </c>
      <c r="H93" s="25"/>
      <c r="I93" s="37"/>
      <c r="J93" s="9">
        <f t="shared" si="18"/>
        <v>64216</v>
      </c>
      <c r="K93" s="38">
        <v>1970</v>
      </c>
      <c r="L93" s="38">
        <v>793</v>
      </c>
      <c r="M93" s="132">
        <f t="shared" si="19"/>
        <v>356</v>
      </c>
      <c r="N93" s="78">
        <f t="shared" si="15"/>
        <v>1943052</v>
      </c>
      <c r="O93" s="79">
        <f t="shared" si="16"/>
        <v>794490</v>
      </c>
      <c r="P93" s="79">
        <f t="shared" si="17"/>
        <v>2801798</v>
      </c>
      <c r="Q93" s="80">
        <f t="shared" si="12"/>
        <v>4920463.32</v>
      </c>
      <c r="R93" s="80">
        <f t="shared" si="13"/>
        <v>2269827</v>
      </c>
      <c r="S93" s="80">
        <f t="shared" si="14"/>
        <v>7338695.888</v>
      </c>
      <c r="T93" s="84">
        <f>N93/'2016'!N93-1</f>
        <v>0.0806019620492515</v>
      </c>
      <c r="U93" s="84">
        <f>O93/'2016'!O93-1</f>
        <v>0.117770452502248</v>
      </c>
      <c r="V93" s="84">
        <f>P93/'2016'!P93-1</f>
        <v>0.0908618741595046</v>
      </c>
      <c r="W93" s="85">
        <f>Q93/'2016'!Q93-1</f>
        <v>0.0950535657773681</v>
      </c>
      <c r="X93" s="85">
        <f>R93/'2016'!R93-1</f>
        <v>0.0945260365155929</v>
      </c>
      <c r="Y93" s="85">
        <f>S93/'2016'!S93-1</f>
        <v>0.0843053757416401</v>
      </c>
      <c r="Z93" s="141">
        <f>(Z94-Z87)/7*6+Z87</f>
        <v>35.9614285714286</v>
      </c>
      <c r="AA93" s="141">
        <f>Q93/10000-Z93</f>
        <v>456.084903428571</v>
      </c>
      <c r="AB93" s="109"/>
      <c r="AC93" s="109"/>
      <c r="AD93" s="38">
        <f t="shared" si="20"/>
        <v>5068868.888</v>
      </c>
      <c r="AE93" s="38">
        <f t="shared" si="22"/>
        <v>53461</v>
      </c>
      <c r="AF93" s="38">
        <f t="shared" si="23"/>
        <v>66703</v>
      </c>
      <c r="AG93" s="38">
        <f t="shared" si="21"/>
        <v>28241.568</v>
      </c>
    </row>
    <row r="94" spans="1:33">
      <c r="A94" s="106">
        <v>42824</v>
      </c>
      <c r="B94" s="15" t="s">
        <v>36</v>
      </c>
      <c r="C94" s="33">
        <v>63153</v>
      </c>
      <c r="D94" s="34">
        <v>29530</v>
      </c>
      <c r="E94" s="34">
        <v>96326</v>
      </c>
      <c r="F94" s="124">
        <v>4911</v>
      </c>
      <c r="G94" s="34">
        <v>3102</v>
      </c>
      <c r="H94" s="20"/>
      <c r="I94" s="20"/>
      <c r="J94" s="33">
        <f t="shared" si="18"/>
        <v>66796</v>
      </c>
      <c r="K94" s="34">
        <v>2399</v>
      </c>
      <c r="L94" s="34">
        <v>795</v>
      </c>
      <c r="M94" s="133">
        <f t="shared" si="19"/>
        <v>449</v>
      </c>
      <c r="N94" s="81">
        <f t="shared" si="15"/>
        <v>2006205</v>
      </c>
      <c r="O94" s="82">
        <f t="shared" si="16"/>
        <v>824020</v>
      </c>
      <c r="P94" s="82">
        <f t="shared" si="17"/>
        <v>2898124</v>
      </c>
      <c r="Q94" s="81">
        <f t="shared" si="12"/>
        <v>4983616.32</v>
      </c>
      <c r="R94" s="81">
        <f t="shared" si="13"/>
        <v>2299357</v>
      </c>
      <c r="S94" s="81">
        <f t="shared" si="14"/>
        <v>7435021.888</v>
      </c>
      <c r="T94" s="86">
        <f>N94/'2016'!N94-1</f>
        <v>0.0790614093167379</v>
      </c>
      <c r="U94" s="86">
        <f>O94/'2016'!O94-1</f>
        <v>0.115394507086103</v>
      </c>
      <c r="V94" s="86">
        <f>P94/'2016'!P94-1</f>
        <v>0.0894559982737861</v>
      </c>
      <c r="W94" s="86">
        <f>Q94/'2016'!Q94-1</f>
        <v>0.0942308297802126</v>
      </c>
      <c r="X94" s="86">
        <f>R94/'2016'!R94-1</f>
        <v>0.0940004415288316</v>
      </c>
      <c r="Y94" s="86">
        <f>S94/'2016'!S94-1</f>
        <v>0.0838478698989875</v>
      </c>
      <c r="Z94" s="143">
        <v>36.54</v>
      </c>
      <c r="AA94" s="143">
        <f>Q94/10000-Z94</f>
        <v>461.821632</v>
      </c>
      <c r="AB94" s="34">
        <v>4258</v>
      </c>
      <c r="AC94" s="34">
        <f>AA94*10000/AB94</f>
        <v>1084.59753875059</v>
      </c>
      <c r="AD94" s="34">
        <f t="shared" si="20"/>
        <v>5135664.888</v>
      </c>
      <c r="AE94" s="34">
        <f t="shared" si="22"/>
        <v>55860</v>
      </c>
      <c r="AF94" s="34">
        <f t="shared" si="23"/>
        <v>67498</v>
      </c>
      <c r="AG94" s="34">
        <f t="shared" si="21"/>
        <v>28690.568</v>
      </c>
    </row>
    <row r="95" s="1" customFormat="1" spans="1:33">
      <c r="A95" s="26">
        <v>42825</v>
      </c>
      <c r="B95" s="26" t="s">
        <v>37</v>
      </c>
      <c r="C95" s="43">
        <v>63588</v>
      </c>
      <c r="D95" s="44">
        <f>17630+10466</f>
        <v>28096</v>
      </c>
      <c r="E95" s="44">
        <v>95080</v>
      </c>
      <c r="F95" s="127">
        <v>4831.6</v>
      </c>
      <c r="G95" s="44">
        <v>3071.1</v>
      </c>
      <c r="H95" s="31"/>
      <c r="I95" s="31"/>
      <c r="J95" s="43">
        <f t="shared" si="18"/>
        <v>66984</v>
      </c>
      <c r="K95" s="44">
        <v>2128</v>
      </c>
      <c r="L95" s="44">
        <v>791</v>
      </c>
      <c r="M95" s="135">
        <f t="shared" si="19"/>
        <v>477</v>
      </c>
      <c r="N95" s="91">
        <v>2070544.29</v>
      </c>
      <c r="O95" s="92">
        <f t="shared" si="16"/>
        <v>852116</v>
      </c>
      <c r="P95" s="92">
        <f t="shared" si="17"/>
        <v>2993204</v>
      </c>
      <c r="Q95" s="91">
        <v>5047955.61</v>
      </c>
      <c r="R95" s="91">
        <f t="shared" si="13"/>
        <v>2327453</v>
      </c>
      <c r="S95" s="91">
        <f t="shared" si="14"/>
        <v>7530101.888</v>
      </c>
      <c r="T95" s="93">
        <f>N95/'2016'!N95-1</f>
        <v>0.0786483712784041</v>
      </c>
      <c r="U95" s="93">
        <f>O95/'2016'!O95-1</f>
        <v>0.112703331257092</v>
      </c>
      <c r="V95" s="93">
        <f>P95/'2016'!P95-1</f>
        <v>0.088456420891557</v>
      </c>
      <c r="W95" s="93">
        <f>Q95/'2016'!Q95-1</f>
        <v>0.0938606121556114</v>
      </c>
      <c r="X95" s="93">
        <f>R95/'2016'!R95-1</f>
        <v>0.0932516709121542</v>
      </c>
      <c r="Y95" s="93">
        <f>S95/'2016'!S95-1</f>
        <v>0.0835990208311539</v>
      </c>
      <c r="Z95" s="146">
        <v>37.353347</v>
      </c>
      <c r="AA95" s="146">
        <f>Q95/10000-Z95</f>
        <v>467.442214</v>
      </c>
      <c r="AB95" s="44">
        <v>4258.08</v>
      </c>
      <c r="AC95" s="44">
        <f>AA95*10000/AB95</f>
        <v>1097.77696520498</v>
      </c>
      <c r="AD95" s="44">
        <f t="shared" si="20"/>
        <v>5202648.888</v>
      </c>
      <c r="AE95" s="44">
        <f t="shared" si="22"/>
        <v>57988</v>
      </c>
      <c r="AF95" s="44">
        <f t="shared" si="23"/>
        <v>68289</v>
      </c>
      <c r="AG95" s="44">
        <f t="shared" si="21"/>
        <v>28416.2779999999</v>
      </c>
    </row>
    <row r="96" spans="1:33">
      <c r="A96" s="106">
        <v>42826</v>
      </c>
      <c r="B96" s="21" t="s">
        <v>38</v>
      </c>
      <c r="C96" s="74">
        <v>59582</v>
      </c>
      <c r="D96" s="75">
        <f>18968+10568</f>
        <v>29536</v>
      </c>
      <c r="E96" s="75">
        <v>92663</v>
      </c>
      <c r="F96" s="125">
        <v>4583</v>
      </c>
      <c r="G96" s="75">
        <v>3078.9</v>
      </c>
      <c r="H96" s="25"/>
      <c r="I96" s="25"/>
      <c r="J96" s="74">
        <f t="shared" si="18"/>
        <v>63127</v>
      </c>
      <c r="K96" s="75">
        <v>2165</v>
      </c>
      <c r="L96" s="75">
        <v>794</v>
      </c>
      <c r="M96" s="134">
        <f t="shared" si="19"/>
        <v>586</v>
      </c>
      <c r="N96" s="78">
        <f>C96</f>
        <v>59582</v>
      </c>
      <c r="O96" s="79">
        <f>D96</f>
        <v>29536</v>
      </c>
      <c r="P96" s="79">
        <f>E96</f>
        <v>92663</v>
      </c>
      <c r="Q96" s="80">
        <f>N96+Q$95</f>
        <v>5107537.61</v>
      </c>
      <c r="R96" s="80">
        <f>O96+R$95</f>
        <v>2356989</v>
      </c>
      <c r="S96" s="80">
        <f>P96+S$95</f>
        <v>7622764.888</v>
      </c>
      <c r="T96" s="84">
        <f>N96/'2016'!N96-1</f>
        <v>0.0180084745762712</v>
      </c>
      <c r="U96" s="84">
        <f>O96/'2016'!O96-1</f>
        <v>0.0705716046250318</v>
      </c>
      <c r="V96" s="84">
        <f>P96/'2016'!P96-1</f>
        <v>0.0512087488230155</v>
      </c>
      <c r="W96" s="85">
        <f>Q96/'2016'!Q96-1</f>
        <v>0.0929106537408511</v>
      </c>
      <c r="X96" s="85">
        <f>R96/'2016'!R96-1</f>
        <v>0.0929615175588774</v>
      </c>
      <c r="Y96" s="85">
        <f>S96/'2016'!S96-1</f>
        <v>0.0831933017568651</v>
      </c>
      <c r="Z96" s="144"/>
      <c r="AA96" s="144"/>
      <c r="AB96" s="109"/>
      <c r="AC96" s="109"/>
      <c r="AD96" s="38">
        <f t="shared" si="20"/>
        <v>5265775.888</v>
      </c>
      <c r="AE96" s="75">
        <f t="shared" si="22"/>
        <v>60153</v>
      </c>
      <c r="AF96" s="75">
        <f t="shared" si="23"/>
        <v>69083</v>
      </c>
      <c r="AG96" s="75">
        <f t="shared" si="21"/>
        <v>29002.2779999999</v>
      </c>
    </row>
    <row r="97" spans="1:33">
      <c r="A97" s="106">
        <v>42827</v>
      </c>
      <c r="B97" s="21" t="s">
        <v>1</v>
      </c>
      <c r="C97" s="9">
        <v>58465</v>
      </c>
      <c r="D97" s="38">
        <f>17488+10102</f>
        <v>27590</v>
      </c>
      <c r="E97" s="38">
        <v>89134</v>
      </c>
      <c r="F97" s="13">
        <v>4368.2</v>
      </c>
      <c r="G97" s="38">
        <v>3054</v>
      </c>
      <c r="H97" s="25"/>
      <c r="I97" s="37"/>
      <c r="J97" s="9">
        <f t="shared" si="18"/>
        <v>61544</v>
      </c>
      <c r="K97" s="38">
        <v>1660</v>
      </c>
      <c r="L97" s="38">
        <v>760</v>
      </c>
      <c r="M97" s="132">
        <f t="shared" si="19"/>
        <v>659</v>
      </c>
      <c r="N97" s="78">
        <f t="shared" ref="N97:P112" si="25">N96+C97</f>
        <v>118047</v>
      </c>
      <c r="O97" s="79">
        <f t="shared" si="25"/>
        <v>57126</v>
      </c>
      <c r="P97" s="79">
        <f t="shared" si="25"/>
        <v>181797</v>
      </c>
      <c r="Q97" s="80">
        <f t="shared" ref="Q97:S125" si="26">N97+Q$95</f>
        <v>5166002.61</v>
      </c>
      <c r="R97" s="80">
        <f t="shared" si="26"/>
        <v>2384579</v>
      </c>
      <c r="S97" s="80">
        <f t="shared" si="26"/>
        <v>7711898.888</v>
      </c>
      <c r="T97" s="84">
        <f>N97/'2016'!N97-1</f>
        <v>-0.00680655583226764</v>
      </c>
      <c r="U97" s="84">
        <f>O97/'2016'!O97-1</f>
        <v>0.0934670673583065</v>
      </c>
      <c r="V97" s="84">
        <f>P97/'2016'!P97-1</f>
        <v>0.0385195425411586</v>
      </c>
      <c r="W97" s="85">
        <f>Q97/'2016'!Q97-1</f>
        <v>0.0913329930753415</v>
      </c>
      <c r="X97" s="85">
        <f>R97/'2016'!R97-1</f>
        <v>0.0932568300499272</v>
      </c>
      <c r="Y97" s="85">
        <f>S97/'2016'!S97-1</f>
        <v>0.0824913415699391</v>
      </c>
      <c r="Z97" s="141"/>
      <c r="AA97" s="141"/>
      <c r="AB97" s="109"/>
      <c r="AC97" s="109"/>
      <c r="AD97" s="38">
        <f t="shared" si="20"/>
        <v>5327319.888</v>
      </c>
      <c r="AE97" s="38">
        <f t="shared" si="22"/>
        <v>61813</v>
      </c>
      <c r="AF97" s="38">
        <f t="shared" si="23"/>
        <v>69843</v>
      </c>
      <c r="AG97" s="38">
        <f t="shared" si="21"/>
        <v>29661.2779999999</v>
      </c>
    </row>
    <row r="98" spans="1:33">
      <c r="A98" s="106">
        <v>42828</v>
      </c>
      <c r="B98" s="21" t="s">
        <v>39</v>
      </c>
      <c r="C98" s="9">
        <v>54396</v>
      </c>
      <c r="D98" s="38">
        <f>15276+10367</f>
        <v>25643</v>
      </c>
      <c r="E98" s="38">
        <v>83414</v>
      </c>
      <c r="F98" s="13">
        <v>4079.1</v>
      </c>
      <c r="G98" s="38">
        <v>2964.7</v>
      </c>
      <c r="H98" s="25"/>
      <c r="I98" s="37"/>
      <c r="J98" s="9">
        <f t="shared" si="18"/>
        <v>57771</v>
      </c>
      <c r="K98" s="38">
        <v>1968</v>
      </c>
      <c r="L98" s="38">
        <v>793</v>
      </c>
      <c r="M98" s="132">
        <f t="shared" si="19"/>
        <v>614</v>
      </c>
      <c r="N98" s="78">
        <f t="shared" si="25"/>
        <v>172443</v>
      </c>
      <c r="O98" s="79">
        <f t="shared" si="25"/>
        <v>82769</v>
      </c>
      <c r="P98" s="79">
        <f t="shared" si="25"/>
        <v>265211</v>
      </c>
      <c r="Q98" s="80">
        <f t="shared" si="26"/>
        <v>5220398.61</v>
      </c>
      <c r="R98" s="80">
        <f t="shared" si="26"/>
        <v>2410222</v>
      </c>
      <c r="S98" s="80">
        <f t="shared" si="26"/>
        <v>7795312.888</v>
      </c>
      <c r="T98" s="84">
        <f>N98/'2016'!N98-1</f>
        <v>-0.0113857214110039</v>
      </c>
      <c r="U98" s="84">
        <f>O98/'2016'!O98-1</f>
        <v>0.110859090848086</v>
      </c>
      <c r="V98" s="84">
        <f>P98/'2016'!P98-1</f>
        <v>0.0407328778680773</v>
      </c>
      <c r="W98" s="85">
        <f>Q98/'2016'!Q98-1</f>
        <v>0.0900274302623634</v>
      </c>
      <c r="X98" s="85">
        <f>R98/'2016'!R98-1</f>
        <v>0.0938470643122833</v>
      </c>
      <c r="Y98" s="85">
        <f>S98/'2016'!S98-1</f>
        <v>0.0820826913974062</v>
      </c>
      <c r="Z98" s="141"/>
      <c r="AA98" s="141"/>
      <c r="AB98" s="109"/>
      <c r="AC98" s="109"/>
      <c r="AD98" s="38">
        <f t="shared" si="20"/>
        <v>5385090.888</v>
      </c>
      <c r="AE98" s="38">
        <f t="shared" si="22"/>
        <v>63781</v>
      </c>
      <c r="AF98" s="38">
        <f t="shared" si="23"/>
        <v>70636</v>
      </c>
      <c r="AG98" s="38">
        <f t="shared" si="21"/>
        <v>30275.2779999999</v>
      </c>
    </row>
    <row r="99" spans="1:33">
      <c r="A99" s="106">
        <v>42829</v>
      </c>
      <c r="B99" s="21" t="s">
        <v>34</v>
      </c>
      <c r="C99" s="9">
        <v>45424</v>
      </c>
      <c r="D99" s="38">
        <f>12897+9994</f>
        <v>22891</v>
      </c>
      <c r="E99" s="38">
        <v>70051</v>
      </c>
      <c r="F99" s="13">
        <v>3145.6</v>
      </c>
      <c r="G99" s="38">
        <v>2685.3</v>
      </c>
      <c r="H99" s="25"/>
      <c r="I99" s="37"/>
      <c r="J99" s="9">
        <f t="shared" si="18"/>
        <v>47160</v>
      </c>
      <c r="K99" s="38">
        <v>278</v>
      </c>
      <c r="L99" s="38">
        <v>794</v>
      </c>
      <c r="M99" s="132">
        <f t="shared" si="19"/>
        <v>664</v>
      </c>
      <c r="N99" s="78">
        <f t="shared" si="25"/>
        <v>217867</v>
      </c>
      <c r="O99" s="79">
        <f t="shared" si="25"/>
        <v>105660</v>
      </c>
      <c r="P99" s="79">
        <f t="shared" si="25"/>
        <v>335262</v>
      </c>
      <c r="Q99" s="80">
        <f t="shared" si="26"/>
        <v>5265822.61</v>
      </c>
      <c r="R99" s="80">
        <f t="shared" si="26"/>
        <v>2433113</v>
      </c>
      <c r="S99" s="80">
        <f t="shared" si="26"/>
        <v>7865363.888</v>
      </c>
      <c r="T99" s="84">
        <f>N99/'2016'!N99-1</f>
        <v>0.00045461224789678</v>
      </c>
      <c r="U99" s="84">
        <f>O99/'2016'!O99-1</f>
        <v>0.0928724361560183</v>
      </c>
      <c r="V99" s="84">
        <f>P99/'2016'!P99-1</f>
        <v>0.040101012607962</v>
      </c>
      <c r="W99" s="85">
        <f>Q99/'2016'!Q99-1</f>
        <v>0.0896515025633333</v>
      </c>
      <c r="X99" s="85">
        <f>R99/'2016'!R99-1</f>
        <v>0.0932351968540732</v>
      </c>
      <c r="Y99" s="85">
        <f>S99/'2016'!S99-1</f>
        <v>0.0816708101979029</v>
      </c>
      <c r="Z99" s="141"/>
      <c r="AA99" s="141"/>
      <c r="AB99" s="109"/>
      <c r="AC99" s="109"/>
      <c r="AD99" s="38">
        <f t="shared" si="20"/>
        <v>5432250.888</v>
      </c>
      <c r="AE99" s="38">
        <f t="shared" si="22"/>
        <v>64059</v>
      </c>
      <c r="AF99" s="38">
        <f t="shared" si="23"/>
        <v>71430</v>
      </c>
      <c r="AG99" s="38">
        <f t="shared" si="21"/>
        <v>30939.2779999999</v>
      </c>
    </row>
    <row r="100" spans="1:33">
      <c r="A100" s="106">
        <v>42830</v>
      </c>
      <c r="B100" s="21" t="s">
        <v>35</v>
      </c>
      <c r="C100" s="9">
        <v>58163</v>
      </c>
      <c r="D100" s="38">
        <f>14777+10585</f>
        <v>25362</v>
      </c>
      <c r="E100" s="38">
        <v>86610</v>
      </c>
      <c r="F100" s="13">
        <v>4502</v>
      </c>
      <c r="G100" s="38">
        <v>2473.4</v>
      </c>
      <c r="H100" s="25"/>
      <c r="I100" s="37"/>
      <c r="J100" s="9">
        <f t="shared" si="18"/>
        <v>61248</v>
      </c>
      <c r="K100" s="38">
        <v>1873</v>
      </c>
      <c r="L100" s="38">
        <v>792</v>
      </c>
      <c r="M100" s="132">
        <f t="shared" si="19"/>
        <v>420</v>
      </c>
      <c r="N100" s="78">
        <f t="shared" si="25"/>
        <v>276030</v>
      </c>
      <c r="O100" s="79">
        <f t="shared" si="25"/>
        <v>131022</v>
      </c>
      <c r="P100" s="79">
        <f t="shared" si="25"/>
        <v>421872</v>
      </c>
      <c r="Q100" s="80">
        <f t="shared" si="26"/>
        <v>5323985.61</v>
      </c>
      <c r="R100" s="80">
        <f t="shared" si="26"/>
        <v>2458475</v>
      </c>
      <c r="S100" s="80">
        <f t="shared" si="26"/>
        <v>7951973.888</v>
      </c>
      <c r="T100" s="84">
        <f>N100/'2016'!N100-1</f>
        <v>0.0127088484990792</v>
      </c>
      <c r="U100" s="84">
        <f>O100/'2016'!O100-1</f>
        <v>0.0710274414916663</v>
      </c>
      <c r="V100" s="84">
        <f>P100/'2016'!P100-1</f>
        <v>0.0428179458657767</v>
      </c>
      <c r="W100" s="85">
        <f>Q100/'2016'!Q100-1</f>
        <v>0.0893348246593826</v>
      </c>
      <c r="X100" s="85">
        <f>R100/'2016'!R100-1</f>
        <v>0.0920440109094462</v>
      </c>
      <c r="Y100" s="85">
        <f>S100/'2016'!S100-1</f>
        <v>0.0813555292982087</v>
      </c>
      <c r="Z100" s="141">
        <f>(Z101-Z94)/7*6+Z94</f>
        <v>38.0571428571429</v>
      </c>
      <c r="AA100" s="141">
        <f>Q100/10000-Z100</f>
        <v>494.341418142857</v>
      </c>
      <c r="AB100" s="109"/>
      <c r="AC100" s="109"/>
      <c r="AD100" s="38">
        <f t="shared" si="20"/>
        <v>5493498.888</v>
      </c>
      <c r="AE100" s="38">
        <f t="shared" si="22"/>
        <v>65932</v>
      </c>
      <c r="AF100" s="38">
        <f t="shared" si="23"/>
        <v>72222</v>
      </c>
      <c r="AG100" s="38">
        <f t="shared" si="21"/>
        <v>31359.2779999999</v>
      </c>
    </row>
    <row r="101" spans="1:33">
      <c r="A101" s="106">
        <v>42831</v>
      </c>
      <c r="B101" s="15" t="s">
        <v>36</v>
      </c>
      <c r="C101" s="33">
        <v>63140</v>
      </c>
      <c r="D101" s="34">
        <f>16056+10555</f>
        <v>26611</v>
      </c>
      <c r="E101" s="34">
        <v>92860</v>
      </c>
      <c r="F101" s="124">
        <v>4629.2</v>
      </c>
      <c r="G101" s="34">
        <v>3012.4</v>
      </c>
      <c r="H101" s="20"/>
      <c r="I101" s="20"/>
      <c r="J101" s="33">
        <f t="shared" si="18"/>
        <v>66249</v>
      </c>
      <c r="K101" s="34">
        <v>1917</v>
      </c>
      <c r="L101" s="34">
        <v>793</v>
      </c>
      <c r="M101" s="133">
        <f t="shared" si="19"/>
        <v>399</v>
      </c>
      <c r="N101" s="81">
        <f t="shared" si="25"/>
        <v>339170</v>
      </c>
      <c r="O101" s="82">
        <f t="shared" si="25"/>
        <v>157633</v>
      </c>
      <c r="P101" s="82">
        <f t="shared" si="25"/>
        <v>514732</v>
      </c>
      <c r="Q101" s="81">
        <f t="shared" si="26"/>
        <v>5387125.61</v>
      </c>
      <c r="R101" s="81">
        <f t="shared" si="26"/>
        <v>2485086</v>
      </c>
      <c r="S101" s="81">
        <f t="shared" si="26"/>
        <v>8044833.888</v>
      </c>
      <c r="T101" s="86">
        <f>N101/'2016'!N101-1</f>
        <v>0.0246332503564783</v>
      </c>
      <c r="U101" s="86">
        <f>O101/'2016'!O101-1</f>
        <v>0.0575137528512009</v>
      </c>
      <c r="V101" s="86">
        <f>P101/'2016'!P101-1</f>
        <v>0.0475680714101094</v>
      </c>
      <c r="W101" s="86">
        <f>Q101/'2016'!Q101-1</f>
        <v>0.0892273358751416</v>
      </c>
      <c r="X101" s="86">
        <f>R101/'2016'!R101-1</f>
        <v>0.09091316148863</v>
      </c>
      <c r="Y101" s="86">
        <f>S101/'2016'!S101-1</f>
        <v>0.0812195989580295</v>
      </c>
      <c r="Z101" s="143">
        <v>38.31</v>
      </c>
      <c r="AA101" s="143">
        <f>Q101/10000-Z101</f>
        <v>500.402561</v>
      </c>
      <c r="AB101" s="34">
        <v>4258.08</v>
      </c>
      <c r="AC101" s="34">
        <f>AA101*10000/AB101</f>
        <v>1175.18355925675</v>
      </c>
      <c r="AD101" s="34">
        <f t="shared" si="20"/>
        <v>5559747.888</v>
      </c>
      <c r="AE101" s="34">
        <f t="shared" si="22"/>
        <v>67849</v>
      </c>
      <c r="AF101" s="34">
        <f t="shared" si="23"/>
        <v>73015</v>
      </c>
      <c r="AG101" s="34">
        <f t="shared" si="21"/>
        <v>31758.2779999999</v>
      </c>
    </row>
    <row r="102" spans="1:33">
      <c r="A102" s="106">
        <v>42832</v>
      </c>
      <c r="B102" s="21" t="s">
        <v>37</v>
      </c>
      <c r="C102" s="9">
        <v>65269</v>
      </c>
      <c r="D102" s="38">
        <f>14884+10635</f>
        <v>25519</v>
      </c>
      <c r="E102" s="38">
        <v>93829</v>
      </c>
      <c r="F102" s="13">
        <v>4755.2</v>
      </c>
      <c r="G102" s="38">
        <v>3068.4</v>
      </c>
      <c r="H102" s="25"/>
      <c r="I102" s="37"/>
      <c r="J102" s="9">
        <f t="shared" si="18"/>
        <v>68310</v>
      </c>
      <c r="K102" s="38">
        <v>1941</v>
      </c>
      <c r="L102" s="38">
        <v>793</v>
      </c>
      <c r="M102" s="132">
        <f t="shared" si="19"/>
        <v>307</v>
      </c>
      <c r="N102" s="78">
        <f t="shared" si="25"/>
        <v>404439</v>
      </c>
      <c r="O102" s="79">
        <f t="shared" si="25"/>
        <v>183152</v>
      </c>
      <c r="P102" s="79">
        <f t="shared" si="25"/>
        <v>608561</v>
      </c>
      <c r="Q102" s="80">
        <f t="shared" si="26"/>
        <v>5452394.61</v>
      </c>
      <c r="R102" s="80">
        <f t="shared" si="26"/>
        <v>2510605</v>
      </c>
      <c r="S102" s="80">
        <f t="shared" si="26"/>
        <v>8138662.888</v>
      </c>
      <c r="T102" s="84">
        <f>N102/'2016'!N102-1</f>
        <v>0.0389811567954992</v>
      </c>
      <c r="U102" s="84">
        <f>O102/'2016'!O102-1</f>
        <v>0.0389480730177099</v>
      </c>
      <c r="V102" s="84">
        <f>P102/'2016'!P102-1</f>
        <v>0.050890101901083</v>
      </c>
      <c r="W102" s="85">
        <f>Q102/'2016'!Q102-1</f>
        <v>0.0895915586346481</v>
      </c>
      <c r="X102" s="85">
        <f>R102/'2016'!R102-1</f>
        <v>0.0890989249149645</v>
      </c>
      <c r="Y102" s="85">
        <f>S102/'2016'!S102-1</f>
        <v>0.0810829725367781</v>
      </c>
      <c r="Z102" s="141"/>
      <c r="AA102" s="141"/>
      <c r="AB102" s="109"/>
      <c r="AC102" s="109"/>
      <c r="AD102" s="38">
        <f t="shared" si="20"/>
        <v>5628057.888</v>
      </c>
      <c r="AE102" s="38">
        <f t="shared" si="22"/>
        <v>69790</v>
      </c>
      <c r="AF102" s="38">
        <f t="shared" si="23"/>
        <v>73808</v>
      </c>
      <c r="AG102" s="38">
        <f t="shared" si="21"/>
        <v>32065.2779999999</v>
      </c>
    </row>
    <row r="103" spans="1:33">
      <c r="A103" s="106">
        <v>42833</v>
      </c>
      <c r="B103" s="21" t="s">
        <v>38</v>
      </c>
      <c r="C103" s="74">
        <v>63315</v>
      </c>
      <c r="D103" s="75">
        <f>15382+10679</f>
        <v>26061</v>
      </c>
      <c r="E103" s="75">
        <v>92555</v>
      </c>
      <c r="F103" s="125">
        <v>4653.3</v>
      </c>
      <c r="G103" s="75">
        <v>3097.2</v>
      </c>
      <c r="H103" s="25"/>
      <c r="I103" s="25"/>
      <c r="J103" s="74">
        <f t="shared" si="18"/>
        <v>66494</v>
      </c>
      <c r="K103" s="75">
        <v>1802</v>
      </c>
      <c r="L103" s="75">
        <v>793</v>
      </c>
      <c r="M103" s="134">
        <f t="shared" si="19"/>
        <v>584</v>
      </c>
      <c r="N103" s="78">
        <f t="shared" si="25"/>
        <v>467754</v>
      </c>
      <c r="O103" s="79">
        <f t="shared" si="25"/>
        <v>209213</v>
      </c>
      <c r="P103" s="79">
        <f t="shared" si="25"/>
        <v>701116</v>
      </c>
      <c r="Q103" s="80">
        <f t="shared" si="26"/>
        <v>5515709.61</v>
      </c>
      <c r="R103" s="80">
        <f t="shared" si="26"/>
        <v>2536666</v>
      </c>
      <c r="S103" s="80">
        <f t="shared" si="26"/>
        <v>8231217.888</v>
      </c>
      <c r="T103" s="84">
        <f>N103/'2016'!N103-1</f>
        <v>0.0494275592688733</v>
      </c>
      <c r="U103" s="84">
        <f>O103/'2016'!O103-1</f>
        <v>0.0272609876215868</v>
      </c>
      <c r="V103" s="84">
        <f>P103/'2016'!P103-1</f>
        <v>0.0539674331345006</v>
      </c>
      <c r="W103" s="85">
        <f>Q103/'2016'!Q103-1</f>
        <v>0.0899470233355004</v>
      </c>
      <c r="X103" s="85">
        <f>R103/'2016'!R103-1</f>
        <v>0.0874899467887171</v>
      </c>
      <c r="Y103" s="85">
        <f>S103/'2016'!S103-1</f>
        <v>0.0810103111548881</v>
      </c>
      <c r="Z103" s="144"/>
      <c r="AA103" s="144"/>
      <c r="AB103" s="109"/>
      <c r="AC103" s="109"/>
      <c r="AD103" s="38">
        <f t="shared" si="20"/>
        <v>5694551.888</v>
      </c>
      <c r="AE103" s="75">
        <f t="shared" si="22"/>
        <v>71592</v>
      </c>
      <c r="AF103" s="75">
        <f t="shared" si="23"/>
        <v>74601</v>
      </c>
      <c r="AG103" s="75">
        <f t="shared" si="21"/>
        <v>32649.2779999999</v>
      </c>
    </row>
    <row r="104" spans="1:33">
      <c r="A104" s="106">
        <v>42834</v>
      </c>
      <c r="B104" s="21" t="s">
        <v>1</v>
      </c>
      <c r="C104" s="9">
        <v>60686</v>
      </c>
      <c r="D104" s="38">
        <f>15067+10387</f>
        <v>25454</v>
      </c>
      <c r="E104" s="38">
        <v>88955</v>
      </c>
      <c r="F104" s="13">
        <v>4526.6</v>
      </c>
      <c r="G104" s="38">
        <v>3030.8</v>
      </c>
      <c r="H104" s="25"/>
      <c r="I104" s="37"/>
      <c r="J104" s="9">
        <f t="shared" si="18"/>
        <v>63501</v>
      </c>
      <c r="K104" s="38">
        <v>1820</v>
      </c>
      <c r="L104" s="38">
        <v>793</v>
      </c>
      <c r="M104" s="132">
        <f t="shared" si="19"/>
        <v>202</v>
      </c>
      <c r="N104" s="78">
        <f t="shared" si="25"/>
        <v>528440</v>
      </c>
      <c r="O104" s="79">
        <f t="shared" si="25"/>
        <v>234667</v>
      </c>
      <c r="P104" s="79">
        <f t="shared" si="25"/>
        <v>790071</v>
      </c>
      <c r="Q104" s="80">
        <f t="shared" si="26"/>
        <v>5576395.61</v>
      </c>
      <c r="R104" s="80">
        <f t="shared" si="26"/>
        <v>2562120</v>
      </c>
      <c r="S104" s="80">
        <f t="shared" si="26"/>
        <v>8320172.888</v>
      </c>
      <c r="T104" s="84">
        <f>N104/'2016'!N104-1</f>
        <v>0.0562673649283416</v>
      </c>
      <c r="U104" s="84">
        <f>O104/'2016'!O104-1</f>
        <v>0.0151449607641263</v>
      </c>
      <c r="V104" s="84">
        <f>P104/'2016'!P104-1</f>
        <v>0.0540351242315573</v>
      </c>
      <c r="W104" s="85">
        <f>Q104/'2016'!Q104-1</f>
        <v>0.0901837462710875</v>
      </c>
      <c r="X104" s="85">
        <f>R104/'2016'!R104-1</f>
        <v>0.0856012877458643</v>
      </c>
      <c r="Y104" s="85">
        <f>S104/'2016'!S104-1</f>
        <v>0.080720603289349</v>
      </c>
      <c r="Z104" s="141"/>
      <c r="AA104" s="141"/>
      <c r="AB104" s="109"/>
      <c r="AC104" s="109"/>
      <c r="AD104" s="38">
        <f t="shared" si="20"/>
        <v>5758052.888</v>
      </c>
      <c r="AE104" s="38">
        <f t="shared" si="22"/>
        <v>73412</v>
      </c>
      <c r="AF104" s="38">
        <f t="shared" si="23"/>
        <v>75394</v>
      </c>
      <c r="AG104" s="38">
        <f t="shared" si="21"/>
        <v>32851.2779999999</v>
      </c>
    </row>
    <row r="105" spans="1:33">
      <c r="A105" s="106">
        <v>42835</v>
      </c>
      <c r="B105" s="21" t="s">
        <v>39</v>
      </c>
      <c r="C105" s="9">
        <v>64728</v>
      </c>
      <c r="D105" s="38">
        <f>14736+10423</f>
        <v>25159</v>
      </c>
      <c r="E105" s="38">
        <v>92706</v>
      </c>
      <c r="F105" s="13">
        <v>4784.9</v>
      </c>
      <c r="G105" s="38">
        <v>2890.6</v>
      </c>
      <c r="H105" s="25"/>
      <c r="I105" s="37"/>
      <c r="J105" s="9">
        <f t="shared" si="18"/>
        <v>67547</v>
      </c>
      <c r="K105" s="38">
        <v>1774</v>
      </c>
      <c r="L105" s="38">
        <v>793</v>
      </c>
      <c r="M105" s="132">
        <f t="shared" si="19"/>
        <v>252</v>
      </c>
      <c r="N105" s="78">
        <f t="shared" si="25"/>
        <v>593168</v>
      </c>
      <c r="O105" s="79">
        <f t="shared" si="25"/>
        <v>259826</v>
      </c>
      <c r="P105" s="79">
        <f t="shared" si="25"/>
        <v>882777</v>
      </c>
      <c r="Q105" s="80">
        <f t="shared" si="26"/>
        <v>5641123.61</v>
      </c>
      <c r="R105" s="80">
        <f t="shared" si="26"/>
        <v>2587279</v>
      </c>
      <c r="S105" s="80">
        <f t="shared" si="26"/>
        <v>8412878.888</v>
      </c>
      <c r="T105" s="84">
        <f>N105/'2016'!N105-1</f>
        <v>0.0743558860020104</v>
      </c>
      <c r="U105" s="84">
        <f>O105/'2016'!O105-1</f>
        <v>0.00702677772050242</v>
      </c>
      <c r="V105" s="84">
        <f>P105/'2016'!P105-1</f>
        <v>0.0637841238012835</v>
      </c>
      <c r="W105" s="85">
        <f>Q105/'2016'!Q105-1</f>
        <v>0.0917764212426664</v>
      </c>
      <c r="X105" s="85">
        <f>R105/'2016'!R105-1</f>
        <v>0.0839313095427618</v>
      </c>
      <c r="Y105" s="85">
        <f>S105/'2016'!S105-1</f>
        <v>0.0814852141115734</v>
      </c>
      <c r="Z105" s="141"/>
      <c r="AA105" s="141"/>
      <c r="AB105" s="109"/>
      <c r="AC105" s="109"/>
      <c r="AD105" s="38">
        <f t="shared" si="20"/>
        <v>5825599.888</v>
      </c>
      <c r="AE105" s="38">
        <f t="shared" si="22"/>
        <v>75186</v>
      </c>
      <c r="AF105" s="38">
        <f t="shared" si="23"/>
        <v>76187</v>
      </c>
      <c r="AG105" s="38">
        <f t="shared" si="21"/>
        <v>33103.2779999999</v>
      </c>
    </row>
    <row r="106" spans="1:33">
      <c r="A106" s="106">
        <v>42836</v>
      </c>
      <c r="B106" s="21" t="s">
        <v>34</v>
      </c>
      <c r="C106" s="9">
        <v>66121</v>
      </c>
      <c r="D106" s="38">
        <f>14345+10435</f>
        <v>24780</v>
      </c>
      <c r="E106" s="38">
        <v>93963</v>
      </c>
      <c r="F106" s="13">
        <v>4823.7</v>
      </c>
      <c r="G106" s="38">
        <v>2968.2</v>
      </c>
      <c r="H106" s="25"/>
      <c r="I106" s="37"/>
      <c r="J106" s="9">
        <f t="shared" si="18"/>
        <v>69183</v>
      </c>
      <c r="K106" s="38">
        <v>1874</v>
      </c>
      <c r="L106" s="38">
        <v>794</v>
      </c>
      <c r="M106" s="132">
        <f t="shared" si="19"/>
        <v>394</v>
      </c>
      <c r="N106" s="78">
        <f t="shared" si="25"/>
        <v>659289</v>
      </c>
      <c r="O106" s="79">
        <f t="shared" si="25"/>
        <v>284606</v>
      </c>
      <c r="P106" s="79">
        <f t="shared" si="25"/>
        <v>976740</v>
      </c>
      <c r="Q106" s="80">
        <f t="shared" si="26"/>
        <v>5707244.61</v>
      </c>
      <c r="R106" s="80">
        <f t="shared" si="26"/>
        <v>2612059</v>
      </c>
      <c r="S106" s="80">
        <f t="shared" si="26"/>
        <v>8506841.888</v>
      </c>
      <c r="T106" s="84">
        <f>N106/'2016'!N106-1</f>
        <v>0.0845495581451969</v>
      </c>
      <c r="U106" s="84">
        <f>O106/'2016'!O106-1</f>
        <v>0.00243382702569428</v>
      </c>
      <c r="V106" s="84">
        <f>P106/'2016'!P106-1</f>
        <v>0.0686129278598202</v>
      </c>
      <c r="W106" s="85">
        <f>Q106/'2016'!Q106-1</f>
        <v>0.0927768592446168</v>
      </c>
      <c r="X106" s="85">
        <f>R106/'2016'!R106-1</f>
        <v>0.0825652902262146</v>
      </c>
      <c r="Y106" s="85">
        <f>S106/'2016'!S106-1</f>
        <v>0.081857019515629</v>
      </c>
      <c r="Z106" s="141"/>
      <c r="AA106" s="141"/>
      <c r="AB106" s="109"/>
      <c r="AC106" s="109"/>
      <c r="AD106" s="38">
        <f t="shared" si="20"/>
        <v>5894782.888</v>
      </c>
      <c r="AE106" s="38">
        <f t="shared" si="22"/>
        <v>77060</v>
      </c>
      <c r="AF106" s="38">
        <f t="shared" si="23"/>
        <v>76981</v>
      </c>
      <c r="AG106" s="38">
        <f t="shared" si="21"/>
        <v>33497.2779999999</v>
      </c>
    </row>
    <row r="107" spans="1:33">
      <c r="A107" s="106">
        <v>42837</v>
      </c>
      <c r="B107" s="21" t="s">
        <v>35</v>
      </c>
      <c r="C107" s="9">
        <v>64207</v>
      </c>
      <c r="D107" s="38">
        <f>14357+10632</f>
        <v>24989</v>
      </c>
      <c r="E107" s="38">
        <v>92152</v>
      </c>
      <c r="F107" s="13">
        <v>4584.8</v>
      </c>
      <c r="G107" s="38">
        <v>3054.1</v>
      </c>
      <c r="H107" s="25"/>
      <c r="I107" s="37"/>
      <c r="J107" s="9">
        <f t="shared" si="18"/>
        <v>67163</v>
      </c>
      <c r="K107" s="38">
        <v>1554</v>
      </c>
      <c r="L107" s="38">
        <v>792</v>
      </c>
      <c r="M107" s="132">
        <f t="shared" si="19"/>
        <v>610</v>
      </c>
      <c r="N107" s="78">
        <f t="shared" si="25"/>
        <v>723496</v>
      </c>
      <c r="O107" s="79">
        <f t="shared" si="25"/>
        <v>309595</v>
      </c>
      <c r="P107" s="79">
        <f t="shared" si="25"/>
        <v>1068892</v>
      </c>
      <c r="Q107" s="80">
        <f t="shared" si="26"/>
        <v>5771451.61</v>
      </c>
      <c r="R107" s="80">
        <f t="shared" si="26"/>
        <v>2637048</v>
      </c>
      <c r="S107" s="80">
        <f t="shared" si="26"/>
        <v>8598993.888</v>
      </c>
      <c r="T107" s="84">
        <f>N107/'2016'!N107-1</f>
        <v>0.091046732044378</v>
      </c>
      <c r="U107" s="84">
        <f>O107/'2016'!O107-1</f>
        <v>-0.00547064227845984</v>
      </c>
      <c r="V107" s="84">
        <f>P107/'2016'!P107-1</f>
        <v>0.0698270288231915</v>
      </c>
      <c r="W107" s="85">
        <f>Q107/'2016'!Q107-1</f>
        <v>0.0935070751249354</v>
      </c>
      <c r="X107" s="85">
        <f>R107/'2016'!R107-1</f>
        <v>0.0806577262342612</v>
      </c>
      <c r="Y107" s="85">
        <f>S107/'2016'!S107-1</f>
        <v>0.0818678353883888</v>
      </c>
      <c r="Z107" s="141">
        <f>(Z108-Z101)/7*6+Z101</f>
        <v>41.2071428571429</v>
      </c>
      <c r="AA107" s="141">
        <f>Q107/10000-Z107</f>
        <v>535.938018142857</v>
      </c>
      <c r="AB107" s="109"/>
      <c r="AC107" s="109"/>
      <c r="AD107" s="38">
        <f t="shared" si="20"/>
        <v>5961945.888</v>
      </c>
      <c r="AE107" s="38">
        <f t="shared" si="22"/>
        <v>78614</v>
      </c>
      <c r="AF107" s="38">
        <f t="shared" si="23"/>
        <v>77773</v>
      </c>
      <c r="AG107" s="38">
        <f t="shared" si="21"/>
        <v>34107.2779999999</v>
      </c>
    </row>
    <row r="108" spans="1:33">
      <c r="A108" s="106">
        <v>42838</v>
      </c>
      <c r="B108" s="15" t="s">
        <v>36</v>
      </c>
      <c r="C108" s="33">
        <v>62484</v>
      </c>
      <c r="D108" s="34">
        <f>14586+10761</f>
        <v>25347</v>
      </c>
      <c r="E108" s="34">
        <v>91575</v>
      </c>
      <c r="F108" s="124">
        <v>4543.7</v>
      </c>
      <c r="G108" s="34">
        <v>3067.9</v>
      </c>
      <c r="H108" s="20"/>
      <c r="I108" s="20"/>
      <c r="J108" s="33">
        <f t="shared" si="18"/>
        <v>66228</v>
      </c>
      <c r="K108" s="34">
        <v>2116</v>
      </c>
      <c r="L108" s="34">
        <v>793</v>
      </c>
      <c r="M108" s="133">
        <f t="shared" si="19"/>
        <v>835</v>
      </c>
      <c r="N108" s="81">
        <f t="shared" si="25"/>
        <v>785980</v>
      </c>
      <c r="O108" s="82">
        <f t="shared" si="25"/>
        <v>334942</v>
      </c>
      <c r="P108" s="82">
        <f t="shared" si="25"/>
        <v>1160467</v>
      </c>
      <c r="Q108" s="81">
        <f t="shared" si="26"/>
        <v>5833935.61</v>
      </c>
      <c r="R108" s="81">
        <f t="shared" si="26"/>
        <v>2662395</v>
      </c>
      <c r="S108" s="81">
        <f t="shared" si="26"/>
        <v>8690568.888</v>
      </c>
      <c r="T108" s="86">
        <f>N108/'2016'!N108-1</f>
        <v>0.0944342563854066</v>
      </c>
      <c r="U108" s="86">
        <f>O108/'2016'!O108-1</f>
        <v>-0.0104584586477272</v>
      </c>
      <c r="V108" s="86">
        <f>P108/'2016'!P108-1</f>
        <v>0.0704792987123442</v>
      </c>
      <c r="W108" s="86">
        <f>Q108/'2016'!Q108-1</f>
        <v>0.0939378616185209</v>
      </c>
      <c r="X108" s="86">
        <f>R108/'2016'!R108-1</f>
        <v>0.0790245962465079</v>
      </c>
      <c r="Y108" s="86">
        <f>S108/'2016'!S108-1</f>
        <v>0.0818285474993721</v>
      </c>
      <c r="Z108" s="143">
        <v>41.69</v>
      </c>
      <c r="AA108" s="143">
        <f>Q108/10000-Z108</f>
        <v>541.703561</v>
      </c>
      <c r="AB108" s="34">
        <v>4258.08</v>
      </c>
      <c r="AC108" s="34">
        <f>AA108*10000/AB108</f>
        <v>1272.17797927705</v>
      </c>
      <c r="AD108" s="34">
        <f t="shared" si="20"/>
        <v>6028173.888</v>
      </c>
      <c r="AE108" s="34">
        <f t="shared" si="22"/>
        <v>80730</v>
      </c>
      <c r="AF108" s="34">
        <f t="shared" si="23"/>
        <v>78566</v>
      </c>
      <c r="AG108" s="34">
        <f t="shared" si="21"/>
        <v>34942.2779999999</v>
      </c>
    </row>
    <row r="109" spans="1:33">
      <c r="A109" s="106">
        <v>42839</v>
      </c>
      <c r="B109" s="21" t="s">
        <v>37</v>
      </c>
      <c r="C109" s="9">
        <v>62933</v>
      </c>
      <c r="D109" s="38">
        <f>14783+10863</f>
        <v>25646</v>
      </c>
      <c r="E109" s="38">
        <v>91923</v>
      </c>
      <c r="F109" s="13">
        <v>4557.7</v>
      </c>
      <c r="G109" s="38">
        <v>3067.3</v>
      </c>
      <c r="H109" s="25"/>
      <c r="I109" s="37"/>
      <c r="J109" s="9">
        <f t="shared" si="18"/>
        <v>66277</v>
      </c>
      <c r="K109" s="38">
        <v>1709</v>
      </c>
      <c r="L109" s="38">
        <v>793</v>
      </c>
      <c r="M109" s="132">
        <f t="shared" si="19"/>
        <v>842</v>
      </c>
      <c r="N109" s="78">
        <f t="shared" si="25"/>
        <v>848913</v>
      </c>
      <c r="O109" s="79">
        <f t="shared" si="25"/>
        <v>360588</v>
      </c>
      <c r="P109" s="79">
        <f t="shared" si="25"/>
        <v>1252390</v>
      </c>
      <c r="Q109" s="80">
        <f t="shared" si="26"/>
        <v>5896868.61</v>
      </c>
      <c r="R109" s="80">
        <f t="shared" si="26"/>
        <v>2688041</v>
      </c>
      <c r="S109" s="80">
        <f t="shared" si="26"/>
        <v>8782491.888</v>
      </c>
      <c r="T109" s="84">
        <f>N109/'2016'!N109-1</f>
        <v>0.095399881287259</v>
      </c>
      <c r="U109" s="84">
        <f>O109/'2016'!O109-1</f>
        <v>-0.00939539790334276</v>
      </c>
      <c r="V109" s="84">
        <f>P109/'2016'!P109-1</f>
        <v>0.0713720498323722</v>
      </c>
      <c r="W109" s="85">
        <f>Q109/'2016'!Q109-1</f>
        <v>0.0940819386740144</v>
      </c>
      <c r="X109" s="85">
        <f>R109/'2016'!R109-1</f>
        <v>0.0782635728568937</v>
      </c>
      <c r="Y109" s="85">
        <f>S109/'2016'!S109-1</f>
        <v>0.0818384123019646</v>
      </c>
      <c r="Z109" s="141"/>
      <c r="AA109" s="141"/>
      <c r="AB109" s="109"/>
      <c r="AC109" s="109"/>
      <c r="AD109" s="38">
        <f t="shared" si="20"/>
        <v>6094450.888</v>
      </c>
      <c r="AE109" s="38">
        <f t="shared" si="22"/>
        <v>82439</v>
      </c>
      <c r="AF109" s="38">
        <f t="shared" si="23"/>
        <v>79359</v>
      </c>
      <c r="AG109" s="38">
        <f t="shared" si="21"/>
        <v>35784.2779999999</v>
      </c>
    </row>
    <row r="110" spans="1:33">
      <c r="A110" s="106">
        <v>42840</v>
      </c>
      <c r="B110" s="21" t="s">
        <v>38</v>
      </c>
      <c r="C110" s="74">
        <v>60937</v>
      </c>
      <c r="D110" s="75">
        <f>15761+10761</f>
        <v>26522</v>
      </c>
      <c r="E110" s="75">
        <v>90798</v>
      </c>
      <c r="F110" s="125">
        <v>4477.6</v>
      </c>
      <c r="G110" s="75">
        <v>3063.5</v>
      </c>
      <c r="H110" s="25"/>
      <c r="I110" s="25"/>
      <c r="J110" s="74">
        <f t="shared" si="18"/>
        <v>64276</v>
      </c>
      <c r="K110" s="75">
        <v>1892</v>
      </c>
      <c r="L110" s="75">
        <v>793</v>
      </c>
      <c r="M110" s="134">
        <f t="shared" si="19"/>
        <v>654</v>
      </c>
      <c r="N110" s="78">
        <f t="shared" si="25"/>
        <v>909850</v>
      </c>
      <c r="O110" s="79">
        <f t="shared" si="25"/>
        <v>387110</v>
      </c>
      <c r="P110" s="79">
        <f t="shared" si="25"/>
        <v>1343188</v>
      </c>
      <c r="Q110" s="80">
        <f t="shared" si="26"/>
        <v>5957805.61</v>
      </c>
      <c r="R110" s="80">
        <f t="shared" si="26"/>
        <v>2714563</v>
      </c>
      <c r="S110" s="80">
        <f t="shared" si="26"/>
        <v>8873289.888</v>
      </c>
      <c r="T110" s="84">
        <f>N110/'2016'!N110-1</f>
        <v>0.0961770846761709</v>
      </c>
      <c r="U110" s="84">
        <f>O110/'2016'!O110-1</f>
        <v>-0.00508368286865701</v>
      </c>
      <c r="V110" s="84">
        <f>P110/'2016'!P110-1</f>
        <v>0.0722549166743836</v>
      </c>
      <c r="W110" s="85">
        <f>Q110/'2016'!Q110-1</f>
        <v>0.0942137400850862</v>
      </c>
      <c r="X110" s="85">
        <f>R110/'2016'!R110-1</f>
        <v>0.0780567232522442</v>
      </c>
      <c r="Y110" s="85">
        <f>S110/'2016'!S110-1</f>
        <v>0.0818664223311003</v>
      </c>
      <c r="Z110" s="144"/>
      <c r="AA110" s="144"/>
      <c r="AB110" s="109"/>
      <c r="AC110" s="109"/>
      <c r="AD110" s="38">
        <f t="shared" si="20"/>
        <v>6158726.888</v>
      </c>
      <c r="AE110" s="75">
        <f t="shared" si="22"/>
        <v>84331</v>
      </c>
      <c r="AF110" s="75">
        <f t="shared" si="23"/>
        <v>80152</v>
      </c>
      <c r="AG110" s="75">
        <f t="shared" si="21"/>
        <v>36438.2779999999</v>
      </c>
    </row>
    <row r="111" spans="1:33">
      <c r="A111" s="106">
        <v>42841</v>
      </c>
      <c r="B111" s="21" t="s">
        <v>1</v>
      </c>
      <c r="C111" s="9">
        <v>57016</v>
      </c>
      <c r="D111" s="38">
        <f>16029+10768</f>
        <v>26797</v>
      </c>
      <c r="E111" s="38">
        <v>86909</v>
      </c>
      <c r="F111" s="13">
        <v>4209.1</v>
      </c>
      <c r="G111" s="38">
        <v>3030.3</v>
      </c>
      <c r="H111" s="25"/>
      <c r="I111" s="37"/>
      <c r="J111" s="9">
        <f t="shared" si="18"/>
        <v>60112</v>
      </c>
      <c r="K111" s="38">
        <v>1738</v>
      </c>
      <c r="L111" s="38">
        <v>793</v>
      </c>
      <c r="M111" s="132">
        <f t="shared" si="19"/>
        <v>565</v>
      </c>
      <c r="N111" s="78">
        <f t="shared" si="25"/>
        <v>966866</v>
      </c>
      <c r="O111" s="79">
        <f t="shared" si="25"/>
        <v>413907</v>
      </c>
      <c r="P111" s="79">
        <f t="shared" si="25"/>
        <v>1430097</v>
      </c>
      <c r="Q111" s="80">
        <f t="shared" si="26"/>
        <v>6014821.61</v>
      </c>
      <c r="R111" s="80">
        <f t="shared" si="26"/>
        <v>2741360</v>
      </c>
      <c r="S111" s="80">
        <f t="shared" si="26"/>
        <v>8960198.888</v>
      </c>
      <c r="T111" s="84">
        <f>N111/'2016'!N111-1</f>
        <v>0.092163347927652</v>
      </c>
      <c r="U111" s="84">
        <f>O111/'2016'!O111-1</f>
        <v>0.00295137500636078</v>
      </c>
      <c r="V111" s="84">
        <f>P111/'2016'!P111-1</f>
        <v>0.0707909538527889</v>
      </c>
      <c r="W111" s="85">
        <f>Q111/'2016'!Q111-1</f>
        <v>0.0935874258624825</v>
      </c>
      <c r="X111" s="85">
        <f>R111/'2016'!R111-1</f>
        <v>0.0785893699126854</v>
      </c>
      <c r="Y111" s="85">
        <f>S111/'2016'!S111-1</f>
        <v>0.0815342729517059</v>
      </c>
      <c r="Z111" s="141"/>
      <c r="AA111" s="141"/>
      <c r="AB111" s="109"/>
      <c r="AC111" s="109"/>
      <c r="AD111" s="38">
        <f t="shared" si="20"/>
        <v>6218838.888</v>
      </c>
      <c r="AE111" s="38">
        <f t="shared" si="22"/>
        <v>86069</v>
      </c>
      <c r="AF111" s="38">
        <f t="shared" si="23"/>
        <v>80945</v>
      </c>
      <c r="AG111" s="38">
        <f t="shared" si="21"/>
        <v>37003.2779999999</v>
      </c>
    </row>
    <row r="112" spans="1:33">
      <c r="A112" s="106">
        <v>42842</v>
      </c>
      <c r="B112" s="21" t="s">
        <v>39</v>
      </c>
      <c r="C112" s="9">
        <v>62058</v>
      </c>
      <c r="D112" s="38">
        <f>15913+10706</f>
        <v>26619</v>
      </c>
      <c r="E112" s="38">
        <v>91867</v>
      </c>
      <c r="F112" s="13">
        <v>4752.1</v>
      </c>
      <c r="G112" s="38">
        <v>2912.1</v>
      </c>
      <c r="H112" s="25"/>
      <c r="I112" s="37"/>
      <c r="J112" s="9">
        <f t="shared" si="18"/>
        <v>65248</v>
      </c>
      <c r="K112" s="38">
        <v>1908</v>
      </c>
      <c r="L112" s="38">
        <v>793</v>
      </c>
      <c r="M112" s="132">
        <f t="shared" si="19"/>
        <v>489</v>
      </c>
      <c r="N112" s="78">
        <f t="shared" si="25"/>
        <v>1028924</v>
      </c>
      <c r="O112" s="79">
        <f t="shared" si="25"/>
        <v>440526</v>
      </c>
      <c r="P112" s="79">
        <f t="shared" si="25"/>
        <v>1521964</v>
      </c>
      <c r="Q112" s="80">
        <f t="shared" si="26"/>
        <v>6076879.61</v>
      </c>
      <c r="R112" s="80">
        <f t="shared" si="26"/>
        <v>2767979</v>
      </c>
      <c r="S112" s="80">
        <f t="shared" si="26"/>
        <v>9052065.888</v>
      </c>
      <c r="T112" s="84">
        <f>N112/'2016'!N112-1</f>
        <v>0.100118145805824</v>
      </c>
      <c r="U112" s="84">
        <f>O112/'2016'!O112-1</f>
        <v>0.00740242722776019</v>
      </c>
      <c r="V112" s="84">
        <f>P112/'2016'!P112-1</f>
        <v>0.0767213977617531</v>
      </c>
      <c r="W112" s="85">
        <f>Q112/'2016'!Q112-1</f>
        <v>0.0949151131188457</v>
      </c>
      <c r="X112" s="85">
        <f>R112/'2016'!R112-1</f>
        <v>0.0786227659713759</v>
      </c>
      <c r="Y112" s="85">
        <f>S112/'2016'!S112-1</f>
        <v>0.0824365176888355</v>
      </c>
      <c r="Z112" s="141"/>
      <c r="AA112" s="141"/>
      <c r="AB112" s="109"/>
      <c r="AC112" s="109"/>
      <c r="AD112" s="38">
        <f t="shared" si="20"/>
        <v>6284086.888</v>
      </c>
      <c r="AE112" s="38">
        <f t="shared" si="22"/>
        <v>87977</v>
      </c>
      <c r="AF112" s="38">
        <f t="shared" si="23"/>
        <v>81738</v>
      </c>
      <c r="AG112" s="38">
        <f t="shared" si="21"/>
        <v>37492.2779999999</v>
      </c>
    </row>
    <row r="113" ht="15" customHeight="1" spans="1:33">
      <c r="A113" s="106">
        <v>42843</v>
      </c>
      <c r="B113" s="21" t="s">
        <v>34</v>
      </c>
      <c r="C113" s="9">
        <v>63799</v>
      </c>
      <c r="D113" s="38">
        <f>15336+10712</f>
        <v>26048</v>
      </c>
      <c r="E113" s="38">
        <v>93093</v>
      </c>
      <c r="F113" s="13">
        <v>4571.3</v>
      </c>
      <c r="G113" s="38">
        <v>3096.3</v>
      </c>
      <c r="H113" s="25"/>
      <c r="I113" s="37"/>
      <c r="J113" s="9">
        <f t="shared" si="18"/>
        <v>67045</v>
      </c>
      <c r="K113" s="38">
        <v>1696</v>
      </c>
      <c r="L113" s="38">
        <v>793</v>
      </c>
      <c r="M113" s="132">
        <f t="shared" si="19"/>
        <v>757</v>
      </c>
      <c r="N113" s="78">
        <f t="shared" ref="N113:P125" si="27">N112+C113</f>
        <v>1092723</v>
      </c>
      <c r="O113" s="79">
        <f t="shared" si="27"/>
        <v>466574</v>
      </c>
      <c r="P113" s="79">
        <f t="shared" si="27"/>
        <v>1615057</v>
      </c>
      <c r="Q113" s="80">
        <f t="shared" si="26"/>
        <v>6140678.61</v>
      </c>
      <c r="R113" s="80">
        <f t="shared" si="26"/>
        <v>2794027</v>
      </c>
      <c r="S113" s="80">
        <f t="shared" si="26"/>
        <v>9145158.888</v>
      </c>
      <c r="T113" s="84">
        <f>N113/'2016'!N113-1</f>
        <v>0.103883259756135</v>
      </c>
      <c r="U113" s="84">
        <f>O113/'2016'!O113-1</f>
        <v>0.0112268473365498</v>
      </c>
      <c r="V113" s="84">
        <f>P113/'2016'!P113-1</f>
        <v>0.0793829756235138</v>
      </c>
      <c r="W113" s="85">
        <f>Q113/'2016'!Q113-1</f>
        <v>0.0956307914593777</v>
      </c>
      <c r="X113" s="85">
        <f>R113/'2016'!R113-1</f>
        <v>0.0786412185980039</v>
      </c>
      <c r="Y113" s="85">
        <f>S113/'2016'!S113-1</f>
        <v>0.0828520641383033</v>
      </c>
      <c r="Z113" s="141"/>
      <c r="AA113" s="141"/>
      <c r="AB113" s="109"/>
      <c r="AC113" s="109"/>
      <c r="AD113" s="38">
        <f t="shared" si="20"/>
        <v>6351131.888</v>
      </c>
      <c r="AE113" s="38">
        <f t="shared" si="22"/>
        <v>89673</v>
      </c>
      <c r="AF113" s="38">
        <f t="shared" si="23"/>
        <v>82531</v>
      </c>
      <c r="AG113" s="38">
        <f t="shared" si="21"/>
        <v>38249.2779999999</v>
      </c>
    </row>
    <row r="114" ht="15" customHeight="1" spans="1:33">
      <c r="A114" s="106">
        <v>42844</v>
      </c>
      <c r="B114" s="21" t="s">
        <v>35</v>
      </c>
      <c r="C114" s="9">
        <v>62829</v>
      </c>
      <c r="D114" s="38">
        <f>16317+10695</f>
        <v>27012</v>
      </c>
      <c r="E114" s="38">
        <v>92947</v>
      </c>
      <c r="F114" s="13">
        <v>4615.5</v>
      </c>
      <c r="G114" s="38">
        <v>3123.9</v>
      </c>
      <c r="H114" s="25"/>
      <c r="I114" s="37"/>
      <c r="J114" s="9">
        <f t="shared" si="18"/>
        <v>65935</v>
      </c>
      <c r="K114" s="38">
        <v>1678</v>
      </c>
      <c r="L114" s="38">
        <v>794</v>
      </c>
      <c r="M114" s="132">
        <f t="shared" si="19"/>
        <v>634</v>
      </c>
      <c r="N114" s="78">
        <f t="shared" si="27"/>
        <v>1155552</v>
      </c>
      <c r="O114" s="79">
        <f t="shared" si="27"/>
        <v>493586</v>
      </c>
      <c r="P114" s="79">
        <f t="shared" si="27"/>
        <v>1708004</v>
      </c>
      <c r="Q114" s="80">
        <f t="shared" si="26"/>
        <v>6203507.61</v>
      </c>
      <c r="R114" s="80">
        <f t="shared" si="26"/>
        <v>2821039</v>
      </c>
      <c r="S114" s="80">
        <f t="shared" si="26"/>
        <v>9238105.888</v>
      </c>
      <c r="T114" s="84">
        <f>N114/'2016'!N114-1</f>
        <v>0.106052818225935</v>
      </c>
      <c r="U114" s="84">
        <f>O114/'2016'!O114-1</f>
        <v>0.015972796844961</v>
      </c>
      <c r="V114" s="84">
        <f>P114/'2016'!P114-1</f>
        <v>0.0811677850734629</v>
      </c>
      <c r="W114" s="85">
        <f>Q114/'2016'!Q114-1</f>
        <v>0.0961112895702141</v>
      </c>
      <c r="X114" s="85">
        <f>R114/'2016'!R114-1</f>
        <v>0.0788931115099591</v>
      </c>
      <c r="Y114" s="85">
        <f>S114/'2016'!S114-1</f>
        <v>0.0831486938112798</v>
      </c>
      <c r="Z114" s="141">
        <f>(Z115-Z108)/7*6+Z108</f>
        <v>44.7157142857143</v>
      </c>
      <c r="AA114" s="141">
        <f>Q114/10000-Z114</f>
        <v>575.635046714286</v>
      </c>
      <c r="AB114" s="109"/>
      <c r="AC114" s="109"/>
      <c r="AD114" s="38">
        <f t="shared" si="20"/>
        <v>6417066.888</v>
      </c>
      <c r="AE114" s="38">
        <f t="shared" si="22"/>
        <v>91351</v>
      </c>
      <c r="AF114" s="38">
        <f t="shared" si="23"/>
        <v>83325</v>
      </c>
      <c r="AG114" s="38">
        <f t="shared" si="21"/>
        <v>38883.2779999999</v>
      </c>
    </row>
    <row r="115" ht="15" customHeight="1" spans="1:33">
      <c r="A115" s="106">
        <v>42845</v>
      </c>
      <c r="B115" s="15" t="s">
        <v>36</v>
      </c>
      <c r="C115" s="33">
        <v>63817</v>
      </c>
      <c r="D115" s="34">
        <f>16206+10637</f>
        <v>26843</v>
      </c>
      <c r="E115" s="34">
        <v>93494</v>
      </c>
      <c r="F115" s="124">
        <v>4675.2</v>
      </c>
      <c r="G115" s="34">
        <v>3107.7</v>
      </c>
      <c r="H115" s="20"/>
      <c r="I115" s="20"/>
      <c r="J115" s="33">
        <f t="shared" si="18"/>
        <v>66651</v>
      </c>
      <c r="K115" s="34">
        <v>1528</v>
      </c>
      <c r="L115" s="34">
        <v>792</v>
      </c>
      <c r="M115" s="133">
        <f t="shared" si="19"/>
        <v>514</v>
      </c>
      <c r="N115" s="81">
        <f t="shared" si="27"/>
        <v>1219369</v>
      </c>
      <c r="O115" s="82">
        <f t="shared" si="27"/>
        <v>520429</v>
      </c>
      <c r="P115" s="82">
        <f t="shared" si="27"/>
        <v>1801498</v>
      </c>
      <c r="Q115" s="81">
        <f t="shared" si="26"/>
        <v>6267324.61</v>
      </c>
      <c r="R115" s="81">
        <f t="shared" si="26"/>
        <v>2847882</v>
      </c>
      <c r="S115" s="81">
        <f t="shared" si="26"/>
        <v>9331599.888</v>
      </c>
      <c r="T115" s="86">
        <f>N115/'2016'!N115-1</f>
        <v>0.107714683088707</v>
      </c>
      <c r="U115" s="86">
        <f>O115/'2016'!O115-1</f>
        <v>0.0205110506717074</v>
      </c>
      <c r="V115" s="86">
        <f>P115/'2016'!P115-1</f>
        <v>0.0827474830525639</v>
      </c>
      <c r="W115" s="86">
        <f>Q115/'2016'!Q115-1</f>
        <v>0.096528837547178</v>
      </c>
      <c r="X115" s="86">
        <f>R115/'2016'!R115-1</f>
        <v>0.0791944813285557</v>
      </c>
      <c r="Y115" s="86">
        <f>S115/'2016'!S115-1</f>
        <v>0.0834345241716572</v>
      </c>
      <c r="Z115" s="143">
        <v>45.22</v>
      </c>
      <c r="AA115" s="143">
        <f>Q115/10000-Z115</f>
        <v>581.512461</v>
      </c>
      <c r="AB115" s="34">
        <v>4258.08</v>
      </c>
      <c r="AC115" s="34">
        <f>AA115*10000/AB115</f>
        <v>1365.66823779732</v>
      </c>
      <c r="AD115" s="34">
        <f t="shared" si="20"/>
        <v>6483717.888</v>
      </c>
      <c r="AE115" s="34">
        <f t="shared" si="22"/>
        <v>92879</v>
      </c>
      <c r="AF115" s="34">
        <f t="shared" si="23"/>
        <v>84117</v>
      </c>
      <c r="AG115" s="34">
        <f t="shared" si="21"/>
        <v>39397.2779999999</v>
      </c>
    </row>
    <row r="116" ht="15" customHeight="1" spans="1:33">
      <c r="A116" s="106">
        <v>42846</v>
      </c>
      <c r="B116" s="21" t="s">
        <v>37</v>
      </c>
      <c r="C116" s="9">
        <v>64124</v>
      </c>
      <c r="D116" s="38">
        <f>15638+10838</f>
        <v>26476</v>
      </c>
      <c r="E116" s="38">
        <v>93510</v>
      </c>
      <c r="F116" s="13">
        <v>4714.6</v>
      </c>
      <c r="G116" s="38">
        <v>3118.5</v>
      </c>
      <c r="H116" s="25"/>
      <c r="I116" s="37"/>
      <c r="J116" s="9">
        <f t="shared" si="18"/>
        <v>67034</v>
      </c>
      <c r="K116" s="38">
        <v>1575</v>
      </c>
      <c r="L116" s="38">
        <v>793</v>
      </c>
      <c r="M116" s="132">
        <f t="shared" si="19"/>
        <v>542</v>
      </c>
      <c r="N116" s="78">
        <f t="shared" si="27"/>
        <v>1283493</v>
      </c>
      <c r="O116" s="79">
        <f t="shared" si="27"/>
        <v>546905</v>
      </c>
      <c r="P116" s="79">
        <f t="shared" si="27"/>
        <v>1895008</v>
      </c>
      <c r="Q116" s="80">
        <f t="shared" si="26"/>
        <v>6331448.61</v>
      </c>
      <c r="R116" s="80">
        <f t="shared" si="26"/>
        <v>2874358</v>
      </c>
      <c r="S116" s="80">
        <f t="shared" si="26"/>
        <v>9425109.888</v>
      </c>
      <c r="T116" s="84">
        <f>N116/'2016'!N116-1</f>
        <v>0.109606556526701</v>
      </c>
      <c r="U116" s="84">
        <f>O116/'2016'!O116-1</f>
        <v>0.0230344319302045</v>
      </c>
      <c r="V116" s="84">
        <f>P116/'2016'!P116-1</f>
        <v>0.0841472031122616</v>
      </c>
      <c r="W116" s="85">
        <f>Q116/'2016'!Q116-1</f>
        <v>0.0970163667541828</v>
      </c>
      <c r="X116" s="85">
        <f>R116/'2016'!R116-1</f>
        <v>0.0791584663591536</v>
      </c>
      <c r="Y116" s="85">
        <f>S116/'2016'!S116-1</f>
        <v>0.0837091935641878</v>
      </c>
      <c r="Z116" s="141"/>
      <c r="AA116" s="141"/>
      <c r="AB116" s="109"/>
      <c r="AC116" s="109"/>
      <c r="AD116" s="38">
        <f t="shared" si="20"/>
        <v>6550751.888</v>
      </c>
      <c r="AE116" s="38">
        <f t="shared" si="22"/>
        <v>94454</v>
      </c>
      <c r="AF116" s="38">
        <f t="shared" si="23"/>
        <v>84910</v>
      </c>
      <c r="AG116" s="38">
        <f t="shared" si="21"/>
        <v>39939.2779999999</v>
      </c>
    </row>
    <row r="117" ht="15" customHeight="1" spans="1:33">
      <c r="A117" s="106">
        <v>42847</v>
      </c>
      <c r="B117" s="21" t="s">
        <v>38</v>
      </c>
      <c r="C117" s="74">
        <v>63775</v>
      </c>
      <c r="D117" s="75">
        <f>13735+10840</f>
        <v>24575</v>
      </c>
      <c r="E117" s="75">
        <v>91449</v>
      </c>
      <c r="F117" s="125">
        <v>4526.6</v>
      </c>
      <c r="G117" s="75">
        <v>3074</v>
      </c>
      <c r="H117" s="25"/>
      <c r="I117" s="25"/>
      <c r="J117" s="74">
        <f t="shared" si="18"/>
        <v>66874</v>
      </c>
      <c r="K117" s="75">
        <v>1621</v>
      </c>
      <c r="L117" s="75">
        <v>793</v>
      </c>
      <c r="M117" s="134">
        <f t="shared" si="19"/>
        <v>685</v>
      </c>
      <c r="N117" s="78">
        <f t="shared" si="27"/>
        <v>1347268</v>
      </c>
      <c r="O117" s="79">
        <f t="shared" si="27"/>
        <v>571480</v>
      </c>
      <c r="P117" s="79">
        <f t="shared" si="27"/>
        <v>1986457</v>
      </c>
      <c r="Q117" s="80">
        <f t="shared" si="26"/>
        <v>6395223.61</v>
      </c>
      <c r="R117" s="80">
        <f t="shared" si="26"/>
        <v>2898933</v>
      </c>
      <c r="S117" s="80">
        <f t="shared" si="26"/>
        <v>9516558.888</v>
      </c>
      <c r="T117" s="84">
        <f>N117/'2016'!N117-1</f>
        <v>0.110636828052057</v>
      </c>
      <c r="U117" s="84">
        <f>O117/'2016'!O117-1</f>
        <v>0.0225652165355388</v>
      </c>
      <c r="V117" s="84">
        <f>P117/'2016'!P117-1</f>
        <v>0.0840537776531105</v>
      </c>
      <c r="W117" s="85">
        <f>Q117/'2016'!Q117-1</f>
        <v>0.0973525489433011</v>
      </c>
      <c r="X117" s="85">
        <f>R117/'2016'!R117-1</f>
        <v>0.0785539527553429</v>
      </c>
      <c r="Y117" s="85">
        <f>S117/'2016'!S117-1</f>
        <v>0.083693913849116</v>
      </c>
      <c r="Z117" s="144"/>
      <c r="AA117" s="144"/>
      <c r="AB117" s="109"/>
      <c r="AC117" s="109"/>
      <c r="AD117" s="38">
        <f t="shared" si="20"/>
        <v>6617625.888</v>
      </c>
      <c r="AE117" s="75">
        <f t="shared" si="22"/>
        <v>96075</v>
      </c>
      <c r="AF117" s="75">
        <f t="shared" si="23"/>
        <v>85703</v>
      </c>
      <c r="AG117" s="75">
        <f t="shared" si="21"/>
        <v>40624.2779999999</v>
      </c>
    </row>
    <row r="118" ht="15" customHeight="1" spans="1:33">
      <c r="A118" s="106">
        <v>42848</v>
      </c>
      <c r="B118" s="21" t="s">
        <v>1</v>
      </c>
      <c r="C118" s="9">
        <v>60966</v>
      </c>
      <c r="D118" s="38">
        <f>13168+10819</f>
        <v>23987</v>
      </c>
      <c r="E118" s="38">
        <v>88067</v>
      </c>
      <c r="F118" s="13">
        <v>4306.1</v>
      </c>
      <c r="G118" s="38">
        <v>3072.7</v>
      </c>
      <c r="H118" s="25"/>
      <c r="I118" s="37"/>
      <c r="J118" s="9">
        <f t="shared" si="18"/>
        <v>64080</v>
      </c>
      <c r="K118" s="38">
        <v>1743</v>
      </c>
      <c r="L118" s="38">
        <v>793</v>
      </c>
      <c r="M118" s="132">
        <f t="shared" si="19"/>
        <v>578</v>
      </c>
      <c r="N118" s="78">
        <f t="shared" si="27"/>
        <v>1408234</v>
      </c>
      <c r="O118" s="79">
        <f t="shared" si="27"/>
        <v>595467</v>
      </c>
      <c r="P118" s="79">
        <f t="shared" si="27"/>
        <v>2074524</v>
      </c>
      <c r="Q118" s="80">
        <f t="shared" si="26"/>
        <v>6456189.61</v>
      </c>
      <c r="R118" s="80">
        <f t="shared" si="26"/>
        <v>2922920</v>
      </c>
      <c r="S118" s="80">
        <f t="shared" si="26"/>
        <v>9604625.888</v>
      </c>
      <c r="T118" s="84">
        <f>N118/'2016'!N118-1</f>
        <v>0.110679602461702</v>
      </c>
      <c r="U118" s="84">
        <f>O118/'2016'!O118-1</f>
        <v>0.0209534227410046</v>
      </c>
      <c r="V118" s="84">
        <f>P118/'2016'!P118-1</f>
        <v>0.0828477234623166</v>
      </c>
      <c r="W118" s="85">
        <f>Q118/'2016'!Q118-1</f>
        <v>0.0974856163230893</v>
      </c>
      <c r="X118" s="85">
        <f>R118/'2016'!R118-1</f>
        <v>0.0777041140074766</v>
      </c>
      <c r="Y118" s="85">
        <f>S118/'2016'!S118-1</f>
        <v>0.0834366582240671</v>
      </c>
      <c r="Z118" s="141"/>
      <c r="AA118" s="141"/>
      <c r="AB118" s="109"/>
      <c r="AC118" s="109"/>
      <c r="AD118" s="38">
        <f t="shared" si="20"/>
        <v>6681705.888</v>
      </c>
      <c r="AE118" s="38">
        <f t="shared" si="22"/>
        <v>97818</v>
      </c>
      <c r="AF118" s="38">
        <f t="shared" si="23"/>
        <v>86496</v>
      </c>
      <c r="AG118" s="38">
        <f t="shared" si="21"/>
        <v>41202.2779999999</v>
      </c>
    </row>
    <row r="119" ht="15" customHeight="1" spans="1:33">
      <c r="A119" s="106">
        <v>42849</v>
      </c>
      <c r="B119" s="21" t="s">
        <v>39</v>
      </c>
      <c r="C119" s="9">
        <v>65324</v>
      </c>
      <c r="D119" s="38">
        <f>13090+10759</f>
        <v>23849</v>
      </c>
      <c r="E119" s="38">
        <v>92103</v>
      </c>
      <c r="F119" s="13">
        <v>4584.8</v>
      </c>
      <c r="G119" s="38">
        <v>2979.4</v>
      </c>
      <c r="H119" s="25"/>
      <c r="I119" s="37"/>
      <c r="J119" s="9">
        <f t="shared" si="18"/>
        <v>68254</v>
      </c>
      <c r="K119" s="38">
        <v>1504</v>
      </c>
      <c r="L119" s="38">
        <v>793</v>
      </c>
      <c r="M119" s="132">
        <f t="shared" si="19"/>
        <v>633</v>
      </c>
      <c r="N119" s="78">
        <f t="shared" si="27"/>
        <v>1473558</v>
      </c>
      <c r="O119" s="79">
        <f t="shared" si="27"/>
        <v>619316</v>
      </c>
      <c r="P119" s="79">
        <f t="shared" si="27"/>
        <v>2166627</v>
      </c>
      <c r="Q119" s="80">
        <f t="shared" si="26"/>
        <v>6521513.61</v>
      </c>
      <c r="R119" s="80">
        <f t="shared" si="26"/>
        <v>2946769</v>
      </c>
      <c r="S119" s="80">
        <f t="shared" si="26"/>
        <v>9696728.888</v>
      </c>
      <c r="T119" s="84">
        <f>N119/'2016'!N119-1</f>
        <v>0.117418761886562</v>
      </c>
      <c r="U119" s="84">
        <f>O119/'2016'!O119-1</f>
        <v>0.0188347121985566</v>
      </c>
      <c r="V119" s="84">
        <f>P119/'2016'!P119-1</f>
        <v>0.0859028353107987</v>
      </c>
      <c r="W119" s="85">
        <f>Q119/'2016'!Q119-1</f>
        <v>0.0990963732676187</v>
      </c>
      <c r="X119" s="85">
        <f>R119/'2016'!R119-1</f>
        <v>0.0767229831693581</v>
      </c>
      <c r="Y119" s="85">
        <f>S119/'2016'!S119-1</f>
        <v>0.0841129342526432</v>
      </c>
      <c r="Z119" s="141"/>
      <c r="AA119" s="141"/>
      <c r="AB119" s="109"/>
      <c r="AC119" s="109"/>
      <c r="AD119" s="38">
        <f t="shared" si="20"/>
        <v>6749959.888</v>
      </c>
      <c r="AE119" s="38">
        <f t="shared" si="22"/>
        <v>99322</v>
      </c>
      <c r="AF119" s="38">
        <f t="shared" si="23"/>
        <v>87289</v>
      </c>
      <c r="AG119" s="38">
        <f t="shared" si="21"/>
        <v>41835.2779999999</v>
      </c>
    </row>
    <row r="120" ht="15" customHeight="1" spans="1:33">
      <c r="A120" s="106">
        <v>42850</v>
      </c>
      <c r="B120" s="21" t="s">
        <v>34</v>
      </c>
      <c r="C120" s="9">
        <v>67431</v>
      </c>
      <c r="D120" s="38">
        <f>13754+10747</f>
        <v>24501</v>
      </c>
      <c r="E120" s="38">
        <v>94082</v>
      </c>
      <c r="F120" s="13">
        <v>4710.8</v>
      </c>
      <c r="G120" s="38">
        <v>3100.4</v>
      </c>
      <c r="H120" s="25"/>
      <c r="I120" s="37"/>
      <c r="J120" s="9">
        <f t="shared" si="18"/>
        <v>69581</v>
      </c>
      <c r="K120" s="38">
        <v>930</v>
      </c>
      <c r="L120" s="38">
        <v>791</v>
      </c>
      <c r="M120" s="132">
        <f t="shared" si="19"/>
        <v>429</v>
      </c>
      <c r="N120" s="78">
        <f t="shared" si="27"/>
        <v>1540989</v>
      </c>
      <c r="O120" s="79">
        <f t="shared" si="27"/>
        <v>643817</v>
      </c>
      <c r="P120" s="79">
        <f t="shared" si="27"/>
        <v>2260709</v>
      </c>
      <c r="Q120" s="80">
        <f t="shared" si="26"/>
        <v>6588944.61</v>
      </c>
      <c r="R120" s="80">
        <f t="shared" si="26"/>
        <v>2971270</v>
      </c>
      <c r="S120" s="80">
        <f t="shared" si="26"/>
        <v>9790810.888</v>
      </c>
      <c r="T120" s="84">
        <f>N120/'2016'!N120-1</f>
        <v>0.122798286864259</v>
      </c>
      <c r="U120" s="84">
        <f>O120/'2016'!O120-1</f>
        <v>0.0166162951172757</v>
      </c>
      <c r="V120" s="84">
        <f>P120/'2016'!P120-1</f>
        <v>0.0878201867865525</v>
      </c>
      <c r="W120" s="85">
        <f>Q120/'2016'!Q120-1</f>
        <v>0.100493967107831</v>
      </c>
      <c r="X120" s="85">
        <f>R120/'2016'!R120-1</f>
        <v>0.0756814896418498</v>
      </c>
      <c r="Y120" s="85">
        <f>S120/'2016'!S120-1</f>
        <v>0.0845707812693854</v>
      </c>
      <c r="Z120" s="141"/>
      <c r="AA120" s="141"/>
      <c r="AB120" s="109"/>
      <c r="AC120" s="109"/>
      <c r="AD120" s="38">
        <f t="shared" si="20"/>
        <v>6819540.888</v>
      </c>
      <c r="AE120" s="38">
        <f t="shared" si="22"/>
        <v>100252</v>
      </c>
      <c r="AF120" s="38">
        <f t="shared" si="23"/>
        <v>88080</v>
      </c>
      <c r="AG120" s="38">
        <f t="shared" si="21"/>
        <v>42264.2779999999</v>
      </c>
    </row>
    <row r="121" ht="15" customHeight="1" spans="1:33">
      <c r="A121" s="106">
        <v>42851</v>
      </c>
      <c r="B121" s="21" t="s">
        <v>35</v>
      </c>
      <c r="C121" s="9">
        <v>67056</v>
      </c>
      <c r="D121" s="38">
        <f>13765+10792</f>
        <v>24557</v>
      </c>
      <c r="E121" s="38">
        <v>93517</v>
      </c>
      <c r="F121" s="13">
        <v>4753.7</v>
      </c>
      <c r="G121" s="38">
        <v>3112</v>
      </c>
      <c r="H121" s="25"/>
      <c r="I121" s="37"/>
      <c r="J121" s="9">
        <f t="shared" si="18"/>
        <v>68960</v>
      </c>
      <c r="K121" s="38">
        <v>736</v>
      </c>
      <c r="L121" s="38">
        <v>794</v>
      </c>
      <c r="M121" s="132">
        <f t="shared" si="19"/>
        <v>374</v>
      </c>
      <c r="N121" s="78">
        <f t="shared" si="27"/>
        <v>1608045</v>
      </c>
      <c r="O121" s="79">
        <f t="shared" si="27"/>
        <v>668374</v>
      </c>
      <c r="P121" s="79">
        <f t="shared" si="27"/>
        <v>2354226</v>
      </c>
      <c r="Q121" s="80">
        <f t="shared" si="26"/>
        <v>6656000.61</v>
      </c>
      <c r="R121" s="80">
        <f t="shared" si="26"/>
        <v>2995827</v>
      </c>
      <c r="S121" s="80">
        <f t="shared" si="26"/>
        <v>9884327.888</v>
      </c>
      <c r="T121" s="84">
        <f>N121/'2016'!N121-1</f>
        <v>0.127297645920671</v>
      </c>
      <c r="U121" s="84">
        <f>O121/'2016'!O121-1</f>
        <v>0.0129319032918536</v>
      </c>
      <c r="V121" s="84">
        <f>P121/'2016'!P121-1</f>
        <v>0.0885733428709221</v>
      </c>
      <c r="W121" s="85">
        <f>Q121/'2016'!Q121-1</f>
        <v>0.101755742628161</v>
      </c>
      <c r="X121" s="85">
        <f>R121/'2016'!R121-1</f>
        <v>0.0742474813250869</v>
      </c>
      <c r="Y121" s="85">
        <f>S121/'2016'!S121-1</f>
        <v>0.0847796642386875</v>
      </c>
      <c r="Z121" s="141">
        <f>(Z122-Z115)/7*6+Z115</f>
        <v>47.9371428571429</v>
      </c>
      <c r="AA121" s="141">
        <f>Q121/10000-Z121</f>
        <v>617.662918142857</v>
      </c>
      <c r="AB121" s="109"/>
      <c r="AC121" s="109"/>
      <c r="AD121" s="38">
        <f t="shared" si="20"/>
        <v>6888500.888</v>
      </c>
      <c r="AE121" s="38">
        <f t="shared" si="22"/>
        <v>100988</v>
      </c>
      <c r="AF121" s="38">
        <f t="shared" si="23"/>
        <v>88874</v>
      </c>
      <c r="AG121" s="38">
        <f t="shared" si="21"/>
        <v>42638.2779999999</v>
      </c>
    </row>
    <row r="122" ht="15" customHeight="1" spans="1:33">
      <c r="A122" s="106">
        <v>42852</v>
      </c>
      <c r="B122" s="15" t="s">
        <v>36</v>
      </c>
      <c r="C122" s="33">
        <v>64760</v>
      </c>
      <c r="D122" s="34">
        <f>13484+10808</f>
        <v>24292</v>
      </c>
      <c r="E122" s="34">
        <v>92055</v>
      </c>
      <c r="F122" s="124">
        <v>4605.5</v>
      </c>
      <c r="G122" s="34">
        <v>3074.8</v>
      </c>
      <c r="H122" s="20"/>
      <c r="I122" s="20"/>
      <c r="J122" s="33">
        <f t="shared" si="18"/>
        <v>67763</v>
      </c>
      <c r="K122" s="34">
        <v>1650</v>
      </c>
      <c r="L122" s="34">
        <v>792</v>
      </c>
      <c r="M122" s="133">
        <f t="shared" si="19"/>
        <v>561</v>
      </c>
      <c r="N122" s="81">
        <f t="shared" si="27"/>
        <v>1672805</v>
      </c>
      <c r="O122" s="82">
        <f t="shared" si="27"/>
        <v>692666</v>
      </c>
      <c r="P122" s="82">
        <f t="shared" si="27"/>
        <v>2446281</v>
      </c>
      <c r="Q122" s="81">
        <f t="shared" si="26"/>
        <v>6720760.61</v>
      </c>
      <c r="R122" s="81">
        <f t="shared" si="26"/>
        <v>3020119</v>
      </c>
      <c r="S122" s="81">
        <f t="shared" si="26"/>
        <v>9976382.888</v>
      </c>
      <c r="T122" s="86">
        <f>N122/'2016'!N122-1</f>
        <v>0.131053923010401</v>
      </c>
      <c r="U122" s="86">
        <f>O122/'2016'!O122-1</f>
        <v>0.00837955481795283</v>
      </c>
      <c r="V122" s="86">
        <f>P122/'2016'!P122-1</f>
        <v>0.0891209052466801</v>
      </c>
      <c r="W122" s="86">
        <f>Q122/'2016'!Q122-1</f>
        <v>0.102887533300316</v>
      </c>
      <c r="X122" s="86">
        <f>R122/'2016'!R122-1</f>
        <v>0.0725475231698425</v>
      </c>
      <c r="Y122" s="86">
        <f>S122/'2016'!S122-1</f>
        <v>0.0849478386974165</v>
      </c>
      <c r="Z122" s="143">
        <v>48.39</v>
      </c>
      <c r="AA122" s="143">
        <f>Q122/10000-Z122</f>
        <v>623.686061</v>
      </c>
      <c r="AB122" s="34">
        <v>4258.08</v>
      </c>
      <c r="AC122" s="34">
        <f>AA122*10000/AB122</f>
        <v>1464.71193824447</v>
      </c>
      <c r="AD122" s="34">
        <f t="shared" si="20"/>
        <v>6956263.888</v>
      </c>
      <c r="AE122" s="34">
        <f t="shared" si="22"/>
        <v>102638</v>
      </c>
      <c r="AF122" s="34">
        <f t="shared" si="23"/>
        <v>89666</v>
      </c>
      <c r="AG122" s="34">
        <f t="shared" si="21"/>
        <v>43199.2779999999</v>
      </c>
    </row>
    <row r="123" ht="15" customHeight="1" spans="1:33">
      <c r="A123" s="106">
        <v>42853</v>
      </c>
      <c r="B123" s="21" t="s">
        <v>37</v>
      </c>
      <c r="C123" s="9">
        <v>63973</v>
      </c>
      <c r="D123" s="38">
        <f>13754+10844</f>
        <v>24598</v>
      </c>
      <c r="E123" s="38">
        <v>91712</v>
      </c>
      <c r="F123" s="13">
        <v>4544.8</v>
      </c>
      <c r="G123" s="38">
        <v>3081.4</v>
      </c>
      <c r="H123" s="25"/>
      <c r="I123" s="37"/>
      <c r="J123" s="9">
        <f t="shared" si="18"/>
        <v>67114</v>
      </c>
      <c r="K123" s="38">
        <v>1550</v>
      </c>
      <c r="L123" s="38">
        <v>792</v>
      </c>
      <c r="M123" s="132">
        <f t="shared" si="19"/>
        <v>799</v>
      </c>
      <c r="N123" s="78">
        <f t="shared" si="27"/>
        <v>1736778</v>
      </c>
      <c r="O123" s="79">
        <f t="shared" si="27"/>
        <v>717264</v>
      </c>
      <c r="P123" s="79">
        <f t="shared" si="27"/>
        <v>2537993</v>
      </c>
      <c r="Q123" s="80">
        <f t="shared" si="26"/>
        <v>6784733.61</v>
      </c>
      <c r="R123" s="80">
        <f t="shared" si="26"/>
        <v>3044717</v>
      </c>
      <c r="S123" s="80">
        <f t="shared" si="26"/>
        <v>10068094.888</v>
      </c>
      <c r="T123" s="84">
        <f>N123/'2016'!N123-1</f>
        <v>0.133511724894107</v>
      </c>
      <c r="U123" s="84">
        <f>O123/'2016'!O123-1</f>
        <v>0.00477688715059377</v>
      </c>
      <c r="V123" s="84">
        <f>P123/'2016'!P123-1</f>
        <v>0.0897982493618137</v>
      </c>
      <c r="W123" s="85">
        <f>Q123/'2016'!Q123-1</f>
        <v>0.103744077818558</v>
      </c>
      <c r="X123" s="85">
        <f>R123/'2016'!R123-1</f>
        <v>0.0710346664058892</v>
      </c>
      <c r="Y123" s="85">
        <f>S123/'2016'!S123-1</f>
        <v>0.0851550812974833</v>
      </c>
      <c r="Z123" s="141"/>
      <c r="AA123" s="141"/>
      <c r="AB123" s="109"/>
      <c r="AC123" s="109"/>
      <c r="AD123" s="38">
        <f t="shared" si="20"/>
        <v>7023377.888</v>
      </c>
      <c r="AE123" s="38">
        <f t="shared" si="22"/>
        <v>104188</v>
      </c>
      <c r="AF123" s="38">
        <f t="shared" si="23"/>
        <v>90458</v>
      </c>
      <c r="AG123" s="38">
        <f t="shared" si="21"/>
        <v>43998.2779999999</v>
      </c>
    </row>
    <row r="124" ht="15" customHeight="1" spans="1:33">
      <c r="A124" s="106">
        <v>42854</v>
      </c>
      <c r="B124" s="21" t="s">
        <v>38</v>
      </c>
      <c r="C124" s="74">
        <v>62022</v>
      </c>
      <c r="D124" s="75">
        <f>13069+11004</f>
        <v>24073</v>
      </c>
      <c r="E124" s="75">
        <v>89155</v>
      </c>
      <c r="F124" s="125">
        <v>4407.9</v>
      </c>
      <c r="G124" s="75">
        <v>3052.7</v>
      </c>
      <c r="H124" s="25"/>
      <c r="I124" s="25"/>
      <c r="J124" s="74">
        <f t="shared" si="18"/>
        <v>65082</v>
      </c>
      <c r="K124" s="75">
        <v>1448</v>
      </c>
      <c r="L124" s="75">
        <v>793</v>
      </c>
      <c r="M124" s="134">
        <f t="shared" si="19"/>
        <v>819</v>
      </c>
      <c r="N124" s="78">
        <f t="shared" si="27"/>
        <v>1798800</v>
      </c>
      <c r="O124" s="79">
        <f t="shared" si="27"/>
        <v>741337</v>
      </c>
      <c r="P124" s="79">
        <f t="shared" si="27"/>
        <v>2627148</v>
      </c>
      <c r="Q124" s="80">
        <f t="shared" si="26"/>
        <v>6846755.61</v>
      </c>
      <c r="R124" s="80">
        <f t="shared" si="26"/>
        <v>3068790</v>
      </c>
      <c r="S124" s="80">
        <f t="shared" si="26"/>
        <v>10157249.888</v>
      </c>
      <c r="T124" s="84">
        <f>N124/'2016'!N124-1</f>
        <v>0.134221937496729</v>
      </c>
      <c r="U124" s="84">
        <f>O124/'2016'!O124-1</f>
        <v>0.00439238851367363</v>
      </c>
      <c r="V124" s="84">
        <f>P124/'2016'!P124-1</f>
        <v>0.0892780363417744</v>
      </c>
      <c r="W124" s="85">
        <f>Q124/'2016'!Q124-1</f>
        <v>0.104183631308521</v>
      </c>
      <c r="X124" s="85">
        <f>R124/'2016'!R124-1</f>
        <v>0.0703754627624065</v>
      </c>
      <c r="Y124" s="85">
        <f>S124/'2016'!S124-1</f>
        <v>0.0850621994439902</v>
      </c>
      <c r="Z124" s="144"/>
      <c r="AA124" s="144"/>
      <c r="AB124" s="109"/>
      <c r="AC124" s="109"/>
      <c r="AD124" s="38">
        <f t="shared" si="20"/>
        <v>7088459.888</v>
      </c>
      <c r="AE124" s="75">
        <f t="shared" si="22"/>
        <v>105636</v>
      </c>
      <c r="AF124" s="75">
        <f t="shared" si="23"/>
        <v>91251</v>
      </c>
      <c r="AG124" s="75">
        <f t="shared" si="21"/>
        <v>44817.2779999999</v>
      </c>
    </row>
    <row r="125" s="1" customFormat="1" ht="15" customHeight="1" spans="1:33">
      <c r="A125" s="26">
        <v>42855</v>
      </c>
      <c r="B125" s="26" t="s">
        <v>1</v>
      </c>
      <c r="C125" s="43">
        <v>52491</v>
      </c>
      <c r="D125" s="44">
        <f>13362+10867</f>
        <v>24229</v>
      </c>
      <c r="E125" s="44">
        <v>79223</v>
      </c>
      <c r="F125" s="127">
        <v>3785.3</v>
      </c>
      <c r="G125" s="44">
        <v>2894.9</v>
      </c>
      <c r="H125" s="31"/>
      <c r="I125" s="31"/>
      <c r="J125" s="43">
        <f t="shared" si="18"/>
        <v>54994</v>
      </c>
      <c r="K125" s="44">
        <v>997</v>
      </c>
      <c r="L125" s="44">
        <v>795</v>
      </c>
      <c r="M125" s="135">
        <f t="shared" si="19"/>
        <v>711</v>
      </c>
      <c r="N125" s="91">
        <f t="shared" si="27"/>
        <v>1851291</v>
      </c>
      <c r="O125" s="92">
        <f t="shared" si="27"/>
        <v>765566</v>
      </c>
      <c r="P125" s="136">
        <v>2706381.48</v>
      </c>
      <c r="Q125" s="91">
        <f t="shared" si="26"/>
        <v>6899246.61</v>
      </c>
      <c r="R125" s="91">
        <f t="shared" si="26"/>
        <v>3093019</v>
      </c>
      <c r="S125" s="91">
        <v>10236488.108</v>
      </c>
      <c r="T125" s="93">
        <f>N125/'2016'!N125-1</f>
        <v>0.12964050006346</v>
      </c>
      <c r="U125" s="93">
        <f>O125/'2016'!O125-1</f>
        <v>0.00972843218718267</v>
      </c>
      <c r="V125" s="93">
        <f>P125/'2016'!P125-1</f>
        <v>0.0873906103033617</v>
      </c>
      <c r="W125" s="93">
        <f>Q125/'2016'!Q125-1</f>
        <v>0.103237108825757</v>
      </c>
      <c r="X125" s="93">
        <f>R125/'2016'!R125-1</f>
        <v>0.0713175115521816</v>
      </c>
      <c r="Y125" s="93">
        <f>S125/'2016'!S125-1</f>
        <v>0.0845993920769108</v>
      </c>
      <c r="Z125" s="146">
        <v>49.661538</v>
      </c>
      <c r="AA125" s="146">
        <v>640.263157</v>
      </c>
      <c r="AB125" s="44">
        <v>4258.08</v>
      </c>
      <c r="AC125" s="44">
        <f>AA125*10000/AB125</f>
        <v>1503.64285546537</v>
      </c>
      <c r="AD125" s="44">
        <f t="shared" si="20"/>
        <v>7143469.108</v>
      </c>
      <c r="AE125" s="44">
        <f t="shared" si="22"/>
        <v>106633</v>
      </c>
      <c r="AF125" s="44">
        <f t="shared" si="23"/>
        <v>92046</v>
      </c>
      <c r="AG125" s="44">
        <f t="shared" si="21"/>
        <v>45543.4979999987</v>
      </c>
    </row>
    <row r="126" ht="15" customHeight="1" spans="1:33">
      <c r="A126" s="106">
        <v>42856</v>
      </c>
      <c r="B126" s="21" t="s">
        <v>39</v>
      </c>
      <c r="C126" s="9">
        <v>40341</v>
      </c>
      <c r="D126" s="38">
        <f>11048+9216</f>
        <v>20264</v>
      </c>
      <c r="E126" s="38">
        <v>62016</v>
      </c>
      <c r="F126" s="13">
        <v>2883.4</v>
      </c>
      <c r="G126" s="38">
        <v>2381.8</v>
      </c>
      <c r="H126" s="25"/>
      <c r="I126" s="37"/>
      <c r="J126" s="9">
        <f t="shared" si="18"/>
        <v>41752</v>
      </c>
      <c r="K126" s="38">
        <v>205</v>
      </c>
      <c r="L126" s="38">
        <v>790</v>
      </c>
      <c r="M126" s="132">
        <f t="shared" si="19"/>
        <v>416</v>
      </c>
      <c r="N126" s="78">
        <f>C126</f>
        <v>40341</v>
      </c>
      <c r="O126" s="79">
        <f>D126</f>
        <v>20264</v>
      </c>
      <c r="P126" s="79">
        <f>E126</f>
        <v>62016</v>
      </c>
      <c r="Q126" s="80">
        <f>N126+Q$125</f>
        <v>6939587.61</v>
      </c>
      <c r="R126" s="80">
        <f>O126+R$125</f>
        <v>3113283</v>
      </c>
      <c r="S126" s="80">
        <f>P126+S$125</f>
        <v>10298504.108</v>
      </c>
      <c r="T126" s="84">
        <f>N126/'2016'!N126-1</f>
        <v>0.117634021332595</v>
      </c>
      <c r="U126" s="84">
        <f>O126/'2016'!O126-1</f>
        <v>0.00118577075098814</v>
      </c>
      <c r="V126" s="84">
        <f>P126/'2016'!P126-1</f>
        <v>0.0721250259318167</v>
      </c>
      <c r="W126" s="85">
        <f>Q126/'2016'!Q126-1</f>
        <v>0.103319728624454</v>
      </c>
      <c r="X126" s="85">
        <f>R126/'2016'!R126-1</f>
        <v>0.0708292789636773</v>
      </c>
      <c r="Y126" s="85">
        <f>S126/'2016'!S126-1</f>
        <v>0.0845234046765544</v>
      </c>
      <c r="Z126" s="141"/>
      <c r="AA126" s="141"/>
      <c r="AB126" s="109"/>
      <c r="AC126" s="109"/>
      <c r="AD126" s="38">
        <f t="shared" si="20"/>
        <v>7185221.108</v>
      </c>
      <c r="AE126" s="38">
        <f t="shared" si="22"/>
        <v>106838</v>
      </c>
      <c r="AF126" s="38">
        <f t="shared" si="23"/>
        <v>92836</v>
      </c>
      <c r="AG126" s="38">
        <f t="shared" si="21"/>
        <v>45959.4979999987</v>
      </c>
    </row>
    <row r="127" ht="15" customHeight="1" spans="1:33">
      <c r="A127" s="106">
        <v>42857</v>
      </c>
      <c r="B127" s="21" t="s">
        <v>34</v>
      </c>
      <c r="C127" s="9">
        <v>52718</v>
      </c>
      <c r="D127" s="38">
        <f>13280+10773</f>
        <v>24053</v>
      </c>
      <c r="E127" s="38">
        <v>78838</v>
      </c>
      <c r="F127" s="13">
        <v>4157.7</v>
      </c>
      <c r="G127" s="38">
        <v>2166.7</v>
      </c>
      <c r="H127" s="25"/>
      <c r="I127" s="37"/>
      <c r="J127" s="9">
        <f t="shared" si="18"/>
        <v>54785</v>
      </c>
      <c r="K127" s="38">
        <v>987</v>
      </c>
      <c r="L127" s="38">
        <v>792</v>
      </c>
      <c r="M127" s="132">
        <f t="shared" si="19"/>
        <v>288</v>
      </c>
      <c r="N127" s="78">
        <f t="shared" ref="N127:P134" si="28">N126+C127</f>
        <v>93059</v>
      </c>
      <c r="O127" s="79">
        <f t="shared" si="28"/>
        <v>44317</v>
      </c>
      <c r="P127" s="79">
        <f t="shared" si="28"/>
        <v>140854</v>
      </c>
      <c r="Q127" s="80">
        <f t="shared" ref="Q127:S155" si="29">N127+Q$125</f>
        <v>6992305.61</v>
      </c>
      <c r="R127" s="80">
        <f t="shared" si="29"/>
        <v>3137336</v>
      </c>
      <c r="S127" s="80">
        <f t="shared" si="29"/>
        <v>10377342.108</v>
      </c>
      <c r="T127" s="84">
        <f>N127/'2016'!N127-1</f>
        <v>0.203883620745417</v>
      </c>
      <c r="U127" s="84">
        <f>O127/'2016'!O127-1</f>
        <v>0.116044221712962</v>
      </c>
      <c r="V127" s="84">
        <f>P127/'2016'!P127-1</f>
        <v>0.160792134692566</v>
      </c>
      <c r="W127" s="85">
        <f>Q127/'2016'!Q127-1</f>
        <v>0.104465974868179</v>
      </c>
      <c r="X127" s="85">
        <f>R127/'2016'!R127-1</f>
        <v>0.0719243303155022</v>
      </c>
      <c r="Y127" s="85">
        <f>S127/'2016'!S127-1</f>
        <v>0.0855665528064113</v>
      </c>
      <c r="Z127" s="141"/>
      <c r="AA127" s="141"/>
      <c r="AB127" s="109"/>
      <c r="AC127" s="109"/>
      <c r="AD127" s="38">
        <f t="shared" si="20"/>
        <v>7240006.108</v>
      </c>
      <c r="AE127" s="38">
        <f t="shared" si="22"/>
        <v>107825</v>
      </c>
      <c r="AF127" s="38">
        <f t="shared" si="23"/>
        <v>93628</v>
      </c>
      <c r="AG127" s="38">
        <f t="shared" si="21"/>
        <v>46247.4979999987</v>
      </c>
    </row>
    <row r="128" ht="15" customHeight="1" spans="1:33">
      <c r="A128" s="106">
        <v>42858</v>
      </c>
      <c r="B128" s="21" t="s">
        <v>35</v>
      </c>
      <c r="C128" s="9">
        <v>61088</v>
      </c>
      <c r="D128" s="38">
        <f>15376+10757</f>
        <v>26133</v>
      </c>
      <c r="E128" s="38">
        <v>89436</v>
      </c>
      <c r="F128" s="13">
        <v>4553.1</v>
      </c>
      <c r="G128" s="38">
        <v>2841.4</v>
      </c>
      <c r="H128" s="25"/>
      <c r="I128" s="37"/>
      <c r="J128" s="9">
        <f t="shared" si="18"/>
        <v>63303</v>
      </c>
      <c r="K128" s="38">
        <v>971</v>
      </c>
      <c r="L128" s="38">
        <v>734</v>
      </c>
      <c r="M128" s="132">
        <f t="shared" si="19"/>
        <v>510</v>
      </c>
      <c r="N128" s="78">
        <f t="shared" si="28"/>
        <v>154147</v>
      </c>
      <c r="O128" s="79">
        <f t="shared" si="28"/>
        <v>70450</v>
      </c>
      <c r="P128" s="79">
        <f t="shared" si="28"/>
        <v>230290</v>
      </c>
      <c r="Q128" s="80">
        <f t="shared" si="29"/>
        <v>7053393.61</v>
      </c>
      <c r="R128" s="80">
        <f t="shared" si="29"/>
        <v>3163469</v>
      </c>
      <c r="S128" s="80">
        <f t="shared" si="29"/>
        <v>10466778.108</v>
      </c>
      <c r="T128" s="84">
        <f>N128/'2016'!N128-1</f>
        <v>0.216092334879611</v>
      </c>
      <c r="U128" s="84">
        <f>O128/'2016'!O128-1</f>
        <v>0.140595149434964</v>
      </c>
      <c r="V128" s="84">
        <f>P128/'2016'!P128-1</f>
        <v>0.170131143709319</v>
      </c>
      <c r="W128" s="85">
        <f>Q128/'2016'!Q128-1</f>
        <v>0.105479145099951</v>
      </c>
      <c r="X128" s="85">
        <f>R128/'2016'!R128-1</f>
        <v>0.0727685703366325</v>
      </c>
      <c r="Y128" s="85">
        <f>S128/'2016'!S128-1</f>
        <v>0.0863465142088977</v>
      </c>
      <c r="Z128" s="141">
        <f>(Z129-Z122)/7*6+Z122</f>
        <v>50.0271428571429</v>
      </c>
      <c r="AA128" s="141">
        <f>Q128/10000-Z128</f>
        <v>655.312218142857</v>
      </c>
      <c r="AB128" s="109"/>
      <c r="AC128" s="109"/>
      <c r="AD128" s="38">
        <f t="shared" si="20"/>
        <v>7303309.108</v>
      </c>
      <c r="AE128" s="38">
        <f t="shared" si="22"/>
        <v>108796</v>
      </c>
      <c r="AF128" s="38">
        <f t="shared" si="23"/>
        <v>94362</v>
      </c>
      <c r="AG128" s="38">
        <f t="shared" si="21"/>
        <v>46757.4979999987</v>
      </c>
    </row>
    <row r="129" ht="15" customHeight="1" spans="1:33">
      <c r="A129" s="106">
        <v>42859</v>
      </c>
      <c r="B129" s="15" t="s">
        <v>36</v>
      </c>
      <c r="C129" s="33">
        <v>64807</v>
      </c>
      <c r="D129" s="34">
        <f>15714+10729</f>
        <v>26443</v>
      </c>
      <c r="E129" s="34">
        <v>93302</v>
      </c>
      <c r="F129" s="124">
        <v>4744</v>
      </c>
      <c r="G129" s="34">
        <v>3034.4</v>
      </c>
      <c r="H129" s="20"/>
      <c r="I129" s="20"/>
      <c r="J129" s="33">
        <f t="shared" si="18"/>
        <v>66859</v>
      </c>
      <c r="K129" s="34">
        <v>1001</v>
      </c>
      <c r="L129" s="34">
        <v>712</v>
      </c>
      <c r="M129" s="133">
        <f t="shared" si="19"/>
        <v>339</v>
      </c>
      <c r="N129" s="81">
        <f t="shared" si="28"/>
        <v>218954</v>
      </c>
      <c r="O129" s="82">
        <f t="shared" si="28"/>
        <v>96893</v>
      </c>
      <c r="P129" s="82">
        <f t="shared" si="28"/>
        <v>323592</v>
      </c>
      <c r="Q129" s="81">
        <f t="shared" si="29"/>
        <v>7118200.61</v>
      </c>
      <c r="R129" s="81">
        <f t="shared" si="29"/>
        <v>3189912</v>
      </c>
      <c r="S129" s="81">
        <f t="shared" si="29"/>
        <v>10560080.108</v>
      </c>
      <c r="T129" s="86">
        <f>N129/'2016'!N129-1</f>
        <v>0.188165770380781</v>
      </c>
      <c r="U129" s="86">
        <f>O129/'2016'!O129-1</f>
        <v>0.174019459354667</v>
      </c>
      <c r="V129" s="86">
        <f>P129/'2016'!P129-1</f>
        <v>0.159557809112572</v>
      </c>
      <c r="W129" s="86">
        <f>Q129/'2016'!Q129-1</f>
        <v>0.105668107298043</v>
      </c>
      <c r="X129" s="86">
        <f>R129/'2016'!R129-1</f>
        <v>0.074171753689326</v>
      </c>
      <c r="Y129" s="86">
        <f>S129/'2016'!S129-1</f>
        <v>0.0867521195879306</v>
      </c>
      <c r="Z129" s="143">
        <v>50.3</v>
      </c>
      <c r="AA129" s="143">
        <f>Q129/10000-Z129</f>
        <v>661.520061</v>
      </c>
      <c r="AB129" s="34">
        <v>4258.08</v>
      </c>
      <c r="AC129" s="34">
        <f>AA129*10000/AB129</f>
        <v>1553.56419090294</v>
      </c>
      <c r="AD129" s="34">
        <f t="shared" si="20"/>
        <v>7370168.108</v>
      </c>
      <c r="AE129" s="34">
        <f t="shared" si="22"/>
        <v>109797</v>
      </c>
      <c r="AF129" s="34">
        <f t="shared" si="23"/>
        <v>95074</v>
      </c>
      <c r="AG129" s="34">
        <f t="shared" si="21"/>
        <v>47096.4979999987</v>
      </c>
    </row>
    <row r="130" ht="15" customHeight="1" spans="1:33">
      <c r="A130" s="106">
        <v>42860</v>
      </c>
      <c r="B130" s="21" t="s">
        <v>37</v>
      </c>
      <c r="C130" s="9">
        <v>65603</v>
      </c>
      <c r="D130" s="38">
        <f>16092+10711</f>
        <v>26803</v>
      </c>
      <c r="E130" s="38">
        <v>93885</v>
      </c>
      <c r="F130" s="13">
        <v>4725.6</v>
      </c>
      <c r="G130" s="38">
        <v>3088.6</v>
      </c>
      <c r="H130" s="25"/>
      <c r="I130" s="37"/>
      <c r="J130" s="9">
        <f t="shared" si="18"/>
        <v>67082</v>
      </c>
      <c r="K130" s="38">
        <v>404</v>
      </c>
      <c r="L130" s="38">
        <v>699</v>
      </c>
      <c r="M130" s="132">
        <f t="shared" si="19"/>
        <v>376</v>
      </c>
      <c r="N130" s="78">
        <f t="shared" si="28"/>
        <v>284557</v>
      </c>
      <c r="O130" s="79">
        <f t="shared" si="28"/>
        <v>123696</v>
      </c>
      <c r="P130" s="79">
        <f t="shared" si="28"/>
        <v>417477</v>
      </c>
      <c r="Q130" s="80">
        <f t="shared" si="29"/>
        <v>7183803.61</v>
      </c>
      <c r="R130" s="80">
        <f t="shared" si="29"/>
        <v>3216715</v>
      </c>
      <c r="S130" s="80">
        <f t="shared" si="29"/>
        <v>10653965.108</v>
      </c>
      <c r="T130" s="84">
        <f>N130/'2016'!N130-1</f>
        <v>0.168256874707481</v>
      </c>
      <c r="U130" s="84">
        <f>O130/'2016'!O130-1</f>
        <v>0.190987868284229</v>
      </c>
      <c r="V130" s="84">
        <f>P130/'2016'!P130-1</f>
        <v>0.149393609845408</v>
      </c>
      <c r="W130" s="85">
        <f>Q130/'2016'!Q130-1</f>
        <v>0.105674634647194</v>
      </c>
      <c r="X130" s="85">
        <f>R130/'2016'!R130-1</f>
        <v>0.0754729976191726</v>
      </c>
      <c r="Y130" s="85">
        <f>S130/'2016'!S130-1</f>
        <v>0.0870005377884924</v>
      </c>
      <c r="Z130" s="141"/>
      <c r="AA130" s="141"/>
      <c r="AB130" s="109"/>
      <c r="AC130" s="109"/>
      <c r="AD130" s="38">
        <f t="shared" si="20"/>
        <v>7437250.108</v>
      </c>
      <c r="AE130" s="38">
        <f t="shared" si="22"/>
        <v>110201</v>
      </c>
      <c r="AF130" s="38">
        <f t="shared" si="23"/>
        <v>95773</v>
      </c>
      <c r="AG130" s="38">
        <f t="shared" si="21"/>
        <v>47472.4979999987</v>
      </c>
    </row>
    <row r="131" ht="15" customHeight="1" spans="1:33">
      <c r="A131" s="106">
        <v>42861</v>
      </c>
      <c r="B131" s="21" t="s">
        <v>38</v>
      </c>
      <c r="C131" s="74">
        <v>66423</v>
      </c>
      <c r="D131" s="75">
        <f>14985+10720</f>
        <v>25705</v>
      </c>
      <c r="E131" s="75">
        <v>93722</v>
      </c>
      <c r="F131" s="125">
        <v>4695.2</v>
      </c>
      <c r="G131" s="75">
        <v>3131.1</v>
      </c>
      <c r="H131" s="25"/>
      <c r="I131" s="25"/>
      <c r="J131" s="74">
        <f t="shared" si="18"/>
        <v>68017</v>
      </c>
      <c r="K131" s="75">
        <v>348</v>
      </c>
      <c r="L131" s="75">
        <v>799</v>
      </c>
      <c r="M131" s="134">
        <f t="shared" si="19"/>
        <v>447</v>
      </c>
      <c r="N131" s="78">
        <f t="shared" si="28"/>
        <v>350980</v>
      </c>
      <c r="O131" s="79">
        <f t="shared" si="28"/>
        <v>149401</v>
      </c>
      <c r="P131" s="79">
        <f t="shared" si="28"/>
        <v>511199</v>
      </c>
      <c r="Q131" s="80">
        <f t="shared" si="29"/>
        <v>7250226.61</v>
      </c>
      <c r="R131" s="80">
        <f t="shared" si="29"/>
        <v>3242420</v>
      </c>
      <c r="S131" s="80">
        <f t="shared" si="29"/>
        <v>10747687.108</v>
      </c>
      <c r="T131" s="84">
        <f>N131/'2016'!N131-1</f>
        <v>0.156639687854262</v>
      </c>
      <c r="U131" s="84">
        <f>O131/'2016'!O131-1</f>
        <v>0.183749306711037</v>
      </c>
      <c r="V131" s="84">
        <f>P131/'2016'!P131-1</f>
        <v>0.139212889710962</v>
      </c>
      <c r="W131" s="85">
        <f>Q131/'2016'!Q131-1</f>
        <v>0.105708466274735</v>
      </c>
      <c r="X131" s="85">
        <f>R131/'2016'!R131-1</f>
        <v>0.0760265978435131</v>
      </c>
      <c r="Y131" s="85">
        <f>S131/'2016'!S131-1</f>
        <v>0.0870781313120994</v>
      </c>
      <c r="Z131" s="144"/>
      <c r="AA131" s="144"/>
      <c r="AB131" s="109"/>
      <c r="AC131" s="109"/>
      <c r="AD131" s="38">
        <f t="shared" si="20"/>
        <v>7505267.108</v>
      </c>
      <c r="AE131" s="75">
        <f t="shared" si="22"/>
        <v>110549</v>
      </c>
      <c r="AF131" s="75">
        <f t="shared" si="23"/>
        <v>96572</v>
      </c>
      <c r="AG131" s="75">
        <f t="shared" si="21"/>
        <v>47919.4979999987</v>
      </c>
    </row>
    <row r="132" ht="15" customHeight="1" spans="1:33">
      <c r="A132" s="106">
        <v>42862</v>
      </c>
      <c r="B132" s="21" t="s">
        <v>1</v>
      </c>
      <c r="C132" s="9">
        <v>62488</v>
      </c>
      <c r="D132" s="38">
        <f>14987+10637</f>
        <v>25624</v>
      </c>
      <c r="E132" s="38">
        <v>89722</v>
      </c>
      <c r="F132" s="13">
        <v>4458.3</v>
      </c>
      <c r="G132" s="38">
        <v>3119.1</v>
      </c>
      <c r="H132" s="25"/>
      <c r="I132" s="37"/>
      <c r="J132" s="9">
        <f t="shared" si="18"/>
        <v>64098</v>
      </c>
      <c r="K132" s="38">
        <v>441</v>
      </c>
      <c r="L132" s="38">
        <v>782</v>
      </c>
      <c r="M132" s="132">
        <f t="shared" si="19"/>
        <v>387</v>
      </c>
      <c r="N132" s="78">
        <f t="shared" si="28"/>
        <v>413468</v>
      </c>
      <c r="O132" s="79">
        <f t="shared" si="28"/>
        <v>175025</v>
      </c>
      <c r="P132" s="79">
        <f t="shared" si="28"/>
        <v>600921</v>
      </c>
      <c r="Q132" s="80">
        <f t="shared" si="29"/>
        <v>7312714.61</v>
      </c>
      <c r="R132" s="80">
        <f t="shared" si="29"/>
        <v>3268044</v>
      </c>
      <c r="S132" s="80">
        <f t="shared" si="29"/>
        <v>10837409.108</v>
      </c>
      <c r="T132" s="84">
        <f>N132/'2016'!N132-1</f>
        <v>0.154751464846477</v>
      </c>
      <c r="U132" s="84">
        <f>O132/'2016'!O132-1</f>
        <v>0.166172502248726</v>
      </c>
      <c r="V132" s="84">
        <f>P132/'2016'!P132-1</f>
        <v>0.131920977384975</v>
      </c>
      <c r="W132" s="85">
        <f>Q132/'2016'!Q132-1</f>
        <v>0.106026880844661</v>
      </c>
      <c r="X132" s="85">
        <f>R132/'2016'!R132-1</f>
        <v>0.0760048228599877</v>
      </c>
      <c r="Y132" s="85">
        <f>S132/'2016'!S132-1</f>
        <v>0.0871194606598384</v>
      </c>
      <c r="Z132" s="141"/>
      <c r="AA132" s="141"/>
      <c r="AB132" s="109"/>
      <c r="AC132" s="109"/>
      <c r="AD132" s="38">
        <f t="shared" si="20"/>
        <v>7569365.108</v>
      </c>
      <c r="AE132" s="38">
        <f t="shared" si="22"/>
        <v>110990</v>
      </c>
      <c r="AF132" s="38">
        <f t="shared" si="23"/>
        <v>97354</v>
      </c>
      <c r="AG132" s="38">
        <f t="shared" si="21"/>
        <v>48306.4979999987</v>
      </c>
    </row>
    <row r="133" ht="15" customHeight="1" spans="1:33">
      <c r="A133" s="106">
        <v>42863</v>
      </c>
      <c r="B133" s="21" t="s">
        <v>39</v>
      </c>
      <c r="C133" s="9">
        <v>63327</v>
      </c>
      <c r="D133" s="38">
        <f>15781+10780</f>
        <v>26561</v>
      </c>
      <c r="E133" s="38">
        <v>92337</v>
      </c>
      <c r="F133" s="13">
        <v>4761</v>
      </c>
      <c r="G133" s="38">
        <v>2989.5</v>
      </c>
      <c r="H133" s="25"/>
      <c r="I133" s="37"/>
      <c r="J133" s="9">
        <f t="shared" ref="J133:J196" si="30">E133-D133</f>
        <v>65776</v>
      </c>
      <c r="K133" s="38">
        <v>1387</v>
      </c>
      <c r="L133" s="38">
        <v>791</v>
      </c>
      <c r="M133" s="132">
        <f t="shared" si="19"/>
        <v>271</v>
      </c>
      <c r="N133" s="78">
        <f t="shared" si="28"/>
        <v>476795</v>
      </c>
      <c r="O133" s="79">
        <f t="shared" si="28"/>
        <v>201586</v>
      </c>
      <c r="P133" s="79">
        <f t="shared" si="28"/>
        <v>693258</v>
      </c>
      <c r="Q133" s="80">
        <f t="shared" si="29"/>
        <v>7376041.61</v>
      </c>
      <c r="R133" s="80">
        <f t="shared" si="29"/>
        <v>3294605</v>
      </c>
      <c r="S133" s="80">
        <f t="shared" si="29"/>
        <v>10929746.108</v>
      </c>
      <c r="T133" s="84">
        <f>N133/'2016'!N133-1</f>
        <v>0.167865243397622</v>
      </c>
      <c r="U133" s="84">
        <f>O133/'2016'!O133-1</f>
        <v>0.160514438354903</v>
      </c>
      <c r="V133" s="84">
        <f>P133/'2016'!P133-1</f>
        <v>0.139700237225887</v>
      </c>
      <c r="W133" s="85">
        <f>Q133/'2016'!Q133-1</f>
        <v>0.107197721791423</v>
      </c>
      <c r="X133" s="85">
        <f>R133/'2016'!R133-1</f>
        <v>0.0763795073282625</v>
      </c>
      <c r="Y133" s="85">
        <f>S133/'2016'!S133-1</f>
        <v>0.0879356193916636</v>
      </c>
      <c r="Z133" s="141"/>
      <c r="AA133" s="141"/>
      <c r="AB133" s="109"/>
      <c r="AC133" s="109"/>
      <c r="AD133" s="38">
        <f t="shared" si="20"/>
        <v>7635141.108</v>
      </c>
      <c r="AE133" s="38">
        <f t="shared" si="22"/>
        <v>112377</v>
      </c>
      <c r="AF133" s="38">
        <f t="shared" si="23"/>
        <v>98145</v>
      </c>
      <c r="AG133" s="38">
        <f t="shared" si="21"/>
        <v>48577.4979999987</v>
      </c>
    </row>
    <row r="134" ht="15" customHeight="1" spans="1:33">
      <c r="A134" s="106">
        <v>42864</v>
      </c>
      <c r="B134" s="21" t="s">
        <v>34</v>
      </c>
      <c r="C134" s="9">
        <v>62723</v>
      </c>
      <c r="D134" s="38">
        <f>16848+10801</f>
        <v>27649</v>
      </c>
      <c r="E134" s="38">
        <v>92181</v>
      </c>
      <c r="F134" s="59">
        <v>4621</v>
      </c>
      <c r="G134" s="59">
        <v>3052.8</v>
      </c>
      <c r="H134" s="25"/>
      <c r="I134" s="37"/>
      <c r="J134" s="9">
        <f t="shared" si="30"/>
        <v>64532</v>
      </c>
      <c r="K134" s="38">
        <v>288</v>
      </c>
      <c r="L134" s="38">
        <v>793</v>
      </c>
      <c r="M134" s="38">
        <f t="shared" ref="M134" si="31">J134-K134-L134-C134</f>
        <v>728</v>
      </c>
      <c r="N134" s="78">
        <f t="shared" si="28"/>
        <v>539518</v>
      </c>
      <c r="O134" s="79">
        <f t="shared" si="28"/>
        <v>229235</v>
      </c>
      <c r="P134" s="79">
        <f t="shared" si="28"/>
        <v>785439</v>
      </c>
      <c r="Q134" s="80">
        <f t="shared" si="29"/>
        <v>7438764.61</v>
      </c>
      <c r="R134" s="80">
        <f t="shared" si="29"/>
        <v>3322254</v>
      </c>
      <c r="S134" s="80">
        <f t="shared" si="29"/>
        <v>11021927.108</v>
      </c>
      <c r="T134" s="84">
        <f>N134/'2016'!N134-1</f>
        <v>0.166298450031345</v>
      </c>
      <c r="U134" s="84">
        <f>O134/'2016'!O134-1</f>
        <v>0.158243901453142</v>
      </c>
      <c r="V134" s="84">
        <f>P134/'2016'!P134-1</f>
        <v>0.13836193590184</v>
      </c>
      <c r="W134" s="85">
        <f>Q134/'2016'!Q134-1</f>
        <v>0.107580550037826</v>
      </c>
      <c r="X134" s="85">
        <f>R134/'2016'!R134-1</f>
        <v>0.0768941531581673</v>
      </c>
      <c r="Y134" s="85">
        <f>S134/'2016'!S134-1</f>
        <v>0.0882619780452405</v>
      </c>
      <c r="Z134" s="141"/>
      <c r="AA134" s="141"/>
      <c r="AB134" s="109"/>
      <c r="AC134" s="109"/>
      <c r="AD134" s="38">
        <f t="shared" ref="AD134:AD197" si="32">S134-R134</f>
        <v>7699673.108</v>
      </c>
      <c r="AE134" s="38">
        <f t="shared" si="22"/>
        <v>112665</v>
      </c>
      <c r="AF134" s="38">
        <f t="shared" si="23"/>
        <v>98938</v>
      </c>
      <c r="AG134" s="38">
        <f t="shared" ref="AG134:AG197" si="33">AD134-Q134-AE134-AF134</f>
        <v>49305.4979999987</v>
      </c>
    </row>
    <row r="135" ht="15" customHeight="1" spans="1:33">
      <c r="A135" s="106">
        <v>42865</v>
      </c>
      <c r="B135" s="21" t="s">
        <v>35</v>
      </c>
      <c r="C135" s="9">
        <v>63371</v>
      </c>
      <c r="D135" s="38">
        <v>28038</v>
      </c>
      <c r="E135" s="38">
        <v>93485</v>
      </c>
      <c r="F135" s="13">
        <v>4647</v>
      </c>
      <c r="G135" s="38">
        <v>3118</v>
      </c>
      <c r="H135" s="25"/>
      <c r="I135" s="37"/>
      <c r="J135" s="9">
        <f t="shared" si="30"/>
        <v>65447</v>
      </c>
      <c r="K135" s="38">
        <v>665</v>
      </c>
      <c r="L135" s="38">
        <v>792</v>
      </c>
      <c r="M135" s="132">
        <f t="shared" ref="M135:M197" si="34">J135-K135-L135-C135</f>
        <v>619</v>
      </c>
      <c r="N135" s="78">
        <f t="shared" ref="N135" si="35">N134+C135</f>
        <v>602889</v>
      </c>
      <c r="O135" s="79">
        <f t="shared" ref="O135" si="36">O134+D135</f>
        <v>257273</v>
      </c>
      <c r="P135" s="79">
        <f t="shared" ref="P135" si="37">P134+E135</f>
        <v>878924</v>
      </c>
      <c r="Q135" s="80">
        <f t="shared" ref="Q135" si="38">N135+Q$125</f>
        <v>7502135.61</v>
      </c>
      <c r="R135" s="80">
        <f t="shared" ref="R135" si="39">O135+R$125</f>
        <v>3350292</v>
      </c>
      <c r="S135" s="80">
        <f t="shared" ref="S135" si="40">P135+S$125</f>
        <v>11115412.108</v>
      </c>
      <c r="T135" s="84">
        <f>N135/'2016'!N135-1</f>
        <v>0.170424167593666</v>
      </c>
      <c r="U135" s="84">
        <f>O135/'2016'!O135-1</f>
        <v>0.146717716486298</v>
      </c>
      <c r="V135" s="84">
        <f>P135/'2016'!P135-1</f>
        <v>0.137163624695792</v>
      </c>
      <c r="W135" s="85">
        <f>Q135/'2016'!Q135-1</f>
        <v>0.108350061207829</v>
      </c>
      <c r="X135" s="85">
        <f>R135/'2016'!R135-1</f>
        <v>0.0767543218276361</v>
      </c>
      <c r="Y135" s="85">
        <f>S135/'2016'!S135-1</f>
        <v>0.0885781980022415</v>
      </c>
      <c r="Z135" s="141">
        <f>(Z136-Z129)/7*6+Z129</f>
        <v>52.4257142857143</v>
      </c>
      <c r="AA135" s="141">
        <f>Q135/10000-Z135</f>
        <v>697.787846714286</v>
      </c>
      <c r="AB135" s="109"/>
      <c r="AC135" s="109"/>
      <c r="AD135" s="38">
        <f t="shared" si="32"/>
        <v>7765120.108</v>
      </c>
      <c r="AE135" s="38">
        <f t="shared" ref="AE135:AE198" si="41">AE134+K135</f>
        <v>113330</v>
      </c>
      <c r="AF135" s="38">
        <f t="shared" ref="AF135:AF198" si="42">AF134+L135</f>
        <v>99730</v>
      </c>
      <c r="AG135" s="38">
        <f t="shared" si="33"/>
        <v>49924.4979999987</v>
      </c>
    </row>
    <row r="136" ht="15" customHeight="1" spans="1:33">
      <c r="A136" s="106">
        <v>42866</v>
      </c>
      <c r="B136" s="15" t="s">
        <v>36</v>
      </c>
      <c r="C136" s="33">
        <v>63088</v>
      </c>
      <c r="D136" s="34">
        <v>31165</v>
      </c>
      <c r="E136" s="34">
        <v>95952</v>
      </c>
      <c r="F136" s="124">
        <v>4743</v>
      </c>
      <c r="G136" s="34">
        <v>3127</v>
      </c>
      <c r="H136" s="20"/>
      <c r="I136" s="20"/>
      <c r="J136" s="33">
        <f t="shared" si="30"/>
        <v>64787</v>
      </c>
      <c r="K136" s="34">
        <v>283</v>
      </c>
      <c r="L136" s="34">
        <v>794</v>
      </c>
      <c r="M136" s="133">
        <f t="shared" si="34"/>
        <v>622</v>
      </c>
      <c r="N136" s="81">
        <f t="shared" ref="N136:P151" si="43">N135+C136</f>
        <v>665977</v>
      </c>
      <c r="O136" s="82">
        <f t="shared" si="43"/>
        <v>288438</v>
      </c>
      <c r="P136" s="82">
        <f t="shared" si="43"/>
        <v>974876</v>
      </c>
      <c r="Q136" s="81">
        <f t="shared" si="29"/>
        <v>7565223.61</v>
      </c>
      <c r="R136" s="81">
        <f t="shared" si="29"/>
        <v>3381457</v>
      </c>
      <c r="S136" s="81">
        <f t="shared" si="29"/>
        <v>11211364.108</v>
      </c>
      <c r="T136" s="86">
        <f>N136/'2016'!N136-1</f>
        <v>0.176837414119709</v>
      </c>
      <c r="U136" s="86">
        <f>O136/'2016'!O136-1</f>
        <v>0.150934512313856</v>
      </c>
      <c r="V136" s="86">
        <f>P136/'2016'!P136-1</f>
        <v>0.14136323031659</v>
      </c>
      <c r="W136" s="86">
        <f>Q136/'2016'!Q136-1</f>
        <v>0.109344659898765</v>
      </c>
      <c r="X136" s="86">
        <f>R136/'2016'!R136-1</f>
        <v>0.0776765616151045</v>
      </c>
      <c r="Y136" s="86">
        <f>S136/'2016'!S136-1</f>
        <v>0.089310145218175</v>
      </c>
      <c r="Z136" s="143">
        <v>52.78</v>
      </c>
      <c r="AA136" s="143">
        <f>Q136/10000-Z136</f>
        <v>703.742361</v>
      </c>
      <c r="AB136" s="34">
        <v>4258.08</v>
      </c>
      <c r="AC136" s="34">
        <f>AA136*10000/AB136</f>
        <v>1652.72226214632</v>
      </c>
      <c r="AD136" s="34">
        <f t="shared" si="32"/>
        <v>7829907.108</v>
      </c>
      <c r="AE136" s="34">
        <f t="shared" si="41"/>
        <v>113613</v>
      </c>
      <c r="AF136" s="34">
        <f t="shared" si="42"/>
        <v>100524</v>
      </c>
      <c r="AG136" s="34">
        <f t="shared" si="33"/>
        <v>50546.4979999987</v>
      </c>
    </row>
    <row r="137" ht="15" customHeight="1" spans="1:33">
      <c r="A137" s="106">
        <v>42867</v>
      </c>
      <c r="B137" s="21" t="s">
        <v>37</v>
      </c>
      <c r="C137" s="9">
        <v>62073</v>
      </c>
      <c r="D137" s="38">
        <f>20443+11065</f>
        <v>31508</v>
      </c>
      <c r="E137" s="38">
        <v>95556</v>
      </c>
      <c r="F137" s="13">
        <v>4908.2</v>
      </c>
      <c r="G137" s="38">
        <v>3209.8</v>
      </c>
      <c r="H137" s="25"/>
      <c r="I137" s="37"/>
      <c r="J137" s="9">
        <f t="shared" si="30"/>
        <v>64048</v>
      </c>
      <c r="K137" s="38">
        <v>943</v>
      </c>
      <c r="L137" s="38">
        <v>790</v>
      </c>
      <c r="M137" s="132">
        <f t="shared" si="34"/>
        <v>242</v>
      </c>
      <c r="N137" s="78">
        <f t="shared" si="43"/>
        <v>728050</v>
      </c>
      <c r="O137" s="79">
        <f t="shared" si="43"/>
        <v>319946</v>
      </c>
      <c r="P137" s="79">
        <f t="shared" si="43"/>
        <v>1070432</v>
      </c>
      <c r="Q137" s="80">
        <f t="shared" si="29"/>
        <v>7627296.61</v>
      </c>
      <c r="R137" s="80">
        <f t="shared" si="29"/>
        <v>3412965</v>
      </c>
      <c r="S137" s="80">
        <f t="shared" si="29"/>
        <v>11306920.108</v>
      </c>
      <c r="T137" s="84">
        <f>N137/'2016'!N137-1</f>
        <v>0.17769901827411</v>
      </c>
      <c r="U137" s="84">
        <f>O137/'2016'!O137-1</f>
        <v>0.156363058084523</v>
      </c>
      <c r="V137" s="84">
        <f>P137/'2016'!P137-1</f>
        <v>0.142749776880079</v>
      </c>
      <c r="W137" s="85">
        <f>Q137/'2016'!Q137-1</f>
        <v>0.109935774078427</v>
      </c>
      <c r="X137" s="85">
        <f>R137/'2016'!R137-1</f>
        <v>0.0787549781907833</v>
      </c>
      <c r="Y137" s="85">
        <f>S137/'2016'!S137-1</f>
        <v>0.0898496762139469</v>
      </c>
      <c r="Z137" s="141"/>
      <c r="AA137" s="141"/>
      <c r="AB137" s="109"/>
      <c r="AC137" s="109"/>
      <c r="AD137" s="38">
        <f t="shared" si="32"/>
        <v>7893955.108</v>
      </c>
      <c r="AE137" s="38">
        <f t="shared" si="41"/>
        <v>114556</v>
      </c>
      <c r="AF137" s="38">
        <f t="shared" si="42"/>
        <v>101314</v>
      </c>
      <c r="AG137" s="38">
        <f t="shared" si="33"/>
        <v>50788.4979999987</v>
      </c>
    </row>
    <row r="138" ht="15" customHeight="1" spans="1:33">
      <c r="A138" s="106">
        <v>42868</v>
      </c>
      <c r="B138" s="21" t="s">
        <v>38</v>
      </c>
      <c r="C138" s="74">
        <v>58472</v>
      </c>
      <c r="D138" s="75">
        <f>21347+10499</f>
        <v>31846</v>
      </c>
      <c r="E138" s="75">
        <v>92875</v>
      </c>
      <c r="F138" s="125">
        <v>4601.9</v>
      </c>
      <c r="G138" s="75">
        <v>3106.5</v>
      </c>
      <c r="H138" s="25"/>
      <c r="I138" s="25"/>
      <c r="J138" s="74">
        <f t="shared" si="30"/>
        <v>61029</v>
      </c>
      <c r="K138" s="75">
        <v>1118</v>
      </c>
      <c r="L138" s="75">
        <v>793</v>
      </c>
      <c r="M138" s="134">
        <f t="shared" si="34"/>
        <v>646</v>
      </c>
      <c r="N138" s="78">
        <f t="shared" si="43"/>
        <v>786522</v>
      </c>
      <c r="O138" s="79">
        <f t="shared" si="43"/>
        <v>351792</v>
      </c>
      <c r="P138" s="79">
        <f t="shared" si="43"/>
        <v>1163307</v>
      </c>
      <c r="Q138" s="80">
        <f t="shared" si="29"/>
        <v>7685768.61</v>
      </c>
      <c r="R138" s="80">
        <f t="shared" si="29"/>
        <v>3444811</v>
      </c>
      <c r="S138" s="80">
        <f t="shared" si="29"/>
        <v>11399795.108</v>
      </c>
      <c r="T138" s="84">
        <f>N138/'2016'!N138-1</f>
        <v>0.169879966087073</v>
      </c>
      <c r="U138" s="84">
        <f>O138/'2016'!O138-1</f>
        <v>0.161658455401604</v>
      </c>
      <c r="V138" s="84">
        <f>P138/'2016'!P138-1</f>
        <v>0.139301908781964</v>
      </c>
      <c r="W138" s="85">
        <f>Q138/'2016'!Q138-1</f>
        <v>0.109706209214073</v>
      </c>
      <c r="X138" s="85">
        <f>R138/'2016'!R138-1</f>
        <v>0.0798939670897973</v>
      </c>
      <c r="Y138" s="85">
        <f>S138/'2016'!S138-1</f>
        <v>0.0899397241026145</v>
      </c>
      <c r="Z138" s="144"/>
      <c r="AA138" s="144"/>
      <c r="AB138" s="109"/>
      <c r="AC138" s="109"/>
      <c r="AD138" s="38">
        <f t="shared" si="32"/>
        <v>7954984.108</v>
      </c>
      <c r="AE138" s="75">
        <f t="shared" si="41"/>
        <v>115674</v>
      </c>
      <c r="AF138" s="75">
        <f t="shared" si="42"/>
        <v>102107</v>
      </c>
      <c r="AG138" s="75">
        <f t="shared" si="33"/>
        <v>51434.4979999987</v>
      </c>
    </row>
    <row r="139" ht="15" customHeight="1" spans="1:33">
      <c r="A139" s="106">
        <v>42869</v>
      </c>
      <c r="B139" s="21" t="s">
        <v>1</v>
      </c>
      <c r="C139" s="9">
        <v>54836</v>
      </c>
      <c r="D139" s="38">
        <f>20902+10895</f>
        <v>31797</v>
      </c>
      <c r="E139" s="38">
        <v>88919</v>
      </c>
      <c r="F139" s="13">
        <v>4303.5</v>
      </c>
      <c r="G139" s="38">
        <v>3112.6</v>
      </c>
      <c r="H139" s="25"/>
      <c r="I139" s="37"/>
      <c r="J139" s="9">
        <f t="shared" si="30"/>
        <v>57122</v>
      </c>
      <c r="K139" s="38">
        <v>861</v>
      </c>
      <c r="L139" s="38">
        <v>790</v>
      </c>
      <c r="M139" s="132">
        <f t="shared" si="34"/>
        <v>635</v>
      </c>
      <c r="N139" s="78">
        <f t="shared" si="43"/>
        <v>841358</v>
      </c>
      <c r="O139" s="79">
        <f t="shared" si="43"/>
        <v>383589</v>
      </c>
      <c r="P139" s="79">
        <f t="shared" si="43"/>
        <v>1252226</v>
      </c>
      <c r="Q139" s="80">
        <f t="shared" si="29"/>
        <v>7740604.61</v>
      </c>
      <c r="R139" s="80">
        <f t="shared" si="29"/>
        <v>3476608</v>
      </c>
      <c r="S139" s="80">
        <f t="shared" si="29"/>
        <v>11488714.108</v>
      </c>
      <c r="T139" s="84">
        <f>N139/'2016'!N139-1</f>
        <v>0.161671487646096</v>
      </c>
      <c r="U139" s="84">
        <f>O139/'2016'!O139-1</f>
        <v>0.166959733258698</v>
      </c>
      <c r="V139" s="84">
        <f>P139/'2016'!P139-1</f>
        <v>0.134634726241757</v>
      </c>
      <c r="W139" s="85">
        <f>Q139/'2016'!Q139-1</f>
        <v>0.109302250360567</v>
      </c>
      <c r="X139" s="85">
        <f>R139/'2016'!R139-1</f>
        <v>0.0810936540390101</v>
      </c>
      <c r="Y139" s="85">
        <f>S139/'2016'!S139-1</f>
        <v>0.0898377343105088</v>
      </c>
      <c r="Z139" s="141"/>
      <c r="AA139" s="141"/>
      <c r="AB139" s="109"/>
      <c r="AC139" s="109"/>
      <c r="AD139" s="38">
        <f t="shared" si="32"/>
        <v>8012106.108</v>
      </c>
      <c r="AE139" s="38">
        <f t="shared" si="41"/>
        <v>116535</v>
      </c>
      <c r="AF139" s="38">
        <f t="shared" si="42"/>
        <v>102897</v>
      </c>
      <c r="AG139" s="38">
        <f t="shared" si="33"/>
        <v>52069.4979999987</v>
      </c>
    </row>
    <row r="140" ht="15" customHeight="1" spans="1:33">
      <c r="A140" s="106">
        <v>42870</v>
      </c>
      <c r="B140" s="21" t="s">
        <v>39</v>
      </c>
      <c r="C140" s="9">
        <v>59087</v>
      </c>
      <c r="D140" s="38">
        <f>21175+10847</f>
        <v>32022</v>
      </c>
      <c r="E140" s="38">
        <v>93064</v>
      </c>
      <c r="F140" s="13">
        <v>4754.9</v>
      </c>
      <c r="G140" s="38">
        <v>3002.2</v>
      </c>
      <c r="H140" s="25"/>
      <c r="I140" s="37"/>
      <c r="J140" s="9">
        <f t="shared" si="30"/>
        <v>61042</v>
      </c>
      <c r="K140" s="38">
        <v>787</v>
      </c>
      <c r="L140" s="38">
        <v>790</v>
      </c>
      <c r="M140" s="132">
        <f t="shared" si="34"/>
        <v>378</v>
      </c>
      <c r="N140" s="78">
        <f t="shared" si="43"/>
        <v>900445</v>
      </c>
      <c r="O140" s="79">
        <f t="shared" si="43"/>
        <v>415611</v>
      </c>
      <c r="P140" s="79">
        <f t="shared" si="43"/>
        <v>1345290</v>
      </c>
      <c r="Q140" s="80">
        <f t="shared" si="29"/>
        <v>7799691.61</v>
      </c>
      <c r="R140" s="80">
        <f t="shared" si="29"/>
        <v>3508630</v>
      </c>
      <c r="S140" s="80">
        <f t="shared" si="29"/>
        <v>11581778.108</v>
      </c>
      <c r="T140" s="84">
        <f>N140/'2016'!N140-1</f>
        <v>0.165488810365136</v>
      </c>
      <c r="U140" s="84">
        <f>O140/'2016'!O140-1</f>
        <v>0.171685761970275</v>
      </c>
      <c r="V140" s="84">
        <f>P140/'2016'!P140-1</f>
        <v>0.138796572664954</v>
      </c>
      <c r="W140" s="85">
        <f>Q140/'2016'!Q140-1</f>
        <v>0.110082180640569</v>
      </c>
      <c r="X140" s="85">
        <f>R140/'2016'!R140-1</f>
        <v>0.0822995290621436</v>
      </c>
      <c r="Y140" s="85">
        <f>S140/'2016'!S140-1</f>
        <v>0.0906284302201958</v>
      </c>
      <c r="Z140" s="141"/>
      <c r="AA140" s="141"/>
      <c r="AB140" s="109"/>
      <c r="AC140" s="109"/>
      <c r="AD140" s="38">
        <f t="shared" si="32"/>
        <v>8073148.108</v>
      </c>
      <c r="AE140" s="38">
        <f t="shared" si="41"/>
        <v>117322</v>
      </c>
      <c r="AF140" s="38">
        <f t="shared" si="42"/>
        <v>103687</v>
      </c>
      <c r="AG140" s="38">
        <f t="shared" si="33"/>
        <v>52447.4979999987</v>
      </c>
    </row>
    <row r="141" ht="15" customHeight="1" spans="1:33">
      <c r="A141" s="106">
        <v>42871</v>
      </c>
      <c r="B141" s="21" t="s">
        <v>34</v>
      </c>
      <c r="C141" s="9">
        <v>60261</v>
      </c>
      <c r="D141" s="38">
        <f>20678+10833</f>
        <v>31511</v>
      </c>
      <c r="E141" s="38">
        <v>93864</v>
      </c>
      <c r="F141" s="13">
        <v>4800.8</v>
      </c>
      <c r="G141" s="38">
        <v>3109.1</v>
      </c>
      <c r="H141" s="25"/>
      <c r="I141" s="37"/>
      <c r="J141" s="9">
        <f t="shared" si="30"/>
        <v>62353</v>
      </c>
      <c r="K141" s="38">
        <v>1007</v>
      </c>
      <c r="L141" s="38">
        <v>789</v>
      </c>
      <c r="M141" s="132">
        <f t="shared" si="34"/>
        <v>296</v>
      </c>
      <c r="N141" s="78">
        <f t="shared" si="43"/>
        <v>960706</v>
      </c>
      <c r="O141" s="79">
        <f t="shared" si="43"/>
        <v>447122</v>
      </c>
      <c r="P141" s="79">
        <f t="shared" si="43"/>
        <v>1439154</v>
      </c>
      <c r="Q141" s="80">
        <f t="shared" si="29"/>
        <v>7859952.61</v>
      </c>
      <c r="R141" s="80">
        <f t="shared" si="29"/>
        <v>3540141</v>
      </c>
      <c r="S141" s="80">
        <f t="shared" si="29"/>
        <v>11675642.108</v>
      </c>
      <c r="T141" s="84">
        <f>N141/'2016'!N141-1</f>
        <v>0.167741982535639</v>
      </c>
      <c r="U141" s="84">
        <f>O141/'2016'!O141-1</f>
        <v>0.174075503703762</v>
      </c>
      <c r="V141" s="84">
        <f>P141/'2016'!P141-1</f>
        <v>0.140888180347272</v>
      </c>
      <c r="W141" s="85">
        <f>Q141/'2016'!Q141-1</f>
        <v>0.110736521675108</v>
      </c>
      <c r="X141" s="85">
        <f>R141/'2016'!R141-1</f>
        <v>0.0832923799842469</v>
      </c>
      <c r="Y141" s="85">
        <f>S141/'2016'!S141-1</f>
        <v>0.0912356592649597</v>
      </c>
      <c r="Z141" s="141"/>
      <c r="AA141" s="141"/>
      <c r="AB141" s="109"/>
      <c r="AC141" s="109"/>
      <c r="AD141" s="38">
        <f t="shared" si="32"/>
        <v>8135501.108</v>
      </c>
      <c r="AE141" s="38">
        <f t="shared" si="41"/>
        <v>118329</v>
      </c>
      <c r="AF141" s="38">
        <f t="shared" si="42"/>
        <v>104476</v>
      </c>
      <c r="AG141" s="38">
        <f t="shared" si="33"/>
        <v>52743.4979999987</v>
      </c>
    </row>
    <row r="142" ht="15" customHeight="1" spans="1:33">
      <c r="A142" s="106">
        <v>42872</v>
      </c>
      <c r="B142" s="21" t="s">
        <v>35</v>
      </c>
      <c r="C142" s="9">
        <v>62816</v>
      </c>
      <c r="D142" s="38">
        <f>19994+9203</f>
        <v>29197</v>
      </c>
      <c r="E142" s="38">
        <v>94220</v>
      </c>
      <c r="F142" s="13">
        <v>4655.4</v>
      </c>
      <c r="G142" s="38">
        <v>3131.1</v>
      </c>
      <c r="H142" s="25"/>
      <c r="I142" s="37"/>
      <c r="J142" s="9">
        <f t="shared" si="30"/>
        <v>65023</v>
      </c>
      <c r="K142" s="38">
        <v>798</v>
      </c>
      <c r="L142" s="38">
        <v>793</v>
      </c>
      <c r="M142" s="132">
        <f t="shared" si="34"/>
        <v>616</v>
      </c>
      <c r="N142" s="78">
        <f t="shared" si="43"/>
        <v>1023522</v>
      </c>
      <c r="O142" s="79">
        <f t="shared" si="43"/>
        <v>476319</v>
      </c>
      <c r="P142" s="79">
        <f t="shared" si="43"/>
        <v>1533374</v>
      </c>
      <c r="Q142" s="80">
        <f t="shared" si="29"/>
        <v>7922768.61</v>
      </c>
      <c r="R142" s="80">
        <f t="shared" si="29"/>
        <v>3569338</v>
      </c>
      <c r="S142" s="80">
        <f t="shared" si="29"/>
        <v>11769862.108</v>
      </c>
      <c r="T142" s="84">
        <f>N142/'2016'!N142-1</f>
        <v>0.166865605280709</v>
      </c>
      <c r="U142" s="84">
        <f>O142/'2016'!O142-1</f>
        <v>0.176991390983761</v>
      </c>
      <c r="V142" s="84">
        <f>P142/'2016'!P142-1</f>
        <v>0.140803114012311</v>
      </c>
      <c r="W142" s="85">
        <f>Q142/'2016'!Q142-1</f>
        <v>0.111064014750672</v>
      </c>
      <c r="X142" s="85">
        <f>R142/'2016'!R142-1</f>
        <v>0.0843089620327304</v>
      </c>
      <c r="Y142" s="85">
        <f>S142/'2016'!S142-1</f>
        <v>0.0916058245875544</v>
      </c>
      <c r="Z142" s="141">
        <f>(Z143-Z136)/7*6+Z136</f>
        <v>55.3514285714286</v>
      </c>
      <c r="AA142" s="141">
        <f>Q142/10000-Z142</f>
        <v>736.925432428572</v>
      </c>
      <c r="AB142" s="109"/>
      <c r="AC142" s="109"/>
      <c r="AD142" s="38">
        <f t="shared" si="32"/>
        <v>8200524.108</v>
      </c>
      <c r="AE142" s="38">
        <f t="shared" si="41"/>
        <v>119127</v>
      </c>
      <c r="AF142" s="38">
        <f t="shared" si="42"/>
        <v>105269</v>
      </c>
      <c r="AG142" s="38">
        <f t="shared" si="33"/>
        <v>53359.4979999987</v>
      </c>
    </row>
    <row r="143" ht="15" customHeight="1" spans="1:33">
      <c r="A143" s="106">
        <v>42873</v>
      </c>
      <c r="B143" s="15" t="s">
        <v>36</v>
      </c>
      <c r="C143" s="33">
        <v>62653</v>
      </c>
      <c r="D143" s="34">
        <f>21216+9208</f>
        <v>30424</v>
      </c>
      <c r="E143" s="34">
        <v>95044</v>
      </c>
      <c r="F143" s="124">
        <v>4720.4</v>
      </c>
      <c r="G143" s="34">
        <v>3141.9</v>
      </c>
      <c r="H143" s="20"/>
      <c r="I143" s="20"/>
      <c r="J143" s="33">
        <f t="shared" si="30"/>
        <v>64620</v>
      </c>
      <c r="K143" s="34">
        <v>466</v>
      </c>
      <c r="L143" s="34">
        <v>790</v>
      </c>
      <c r="M143" s="133">
        <f t="shared" si="34"/>
        <v>711</v>
      </c>
      <c r="N143" s="81">
        <f t="shared" si="43"/>
        <v>1086175</v>
      </c>
      <c r="O143" s="82">
        <f t="shared" si="43"/>
        <v>506743</v>
      </c>
      <c r="P143" s="82">
        <f t="shared" si="43"/>
        <v>1628418</v>
      </c>
      <c r="Q143" s="81">
        <f t="shared" si="29"/>
        <v>7985421.61</v>
      </c>
      <c r="R143" s="81">
        <f t="shared" si="29"/>
        <v>3599762</v>
      </c>
      <c r="S143" s="81">
        <f t="shared" si="29"/>
        <v>11864906.108</v>
      </c>
      <c r="T143" s="86">
        <f>N143/'2016'!N143-1</f>
        <v>0.163083924508098</v>
      </c>
      <c r="U143" s="86">
        <f>O143/'2016'!O143-1</f>
        <v>0.18295356128216</v>
      </c>
      <c r="V143" s="86">
        <f>P143/'2016'!P143-1</f>
        <v>0.140074897976186</v>
      </c>
      <c r="W143" s="86">
        <f>Q143/'2016'!Q143-1</f>
        <v>0.111013016461603</v>
      </c>
      <c r="X143" s="86">
        <f>R143/'2016'!R143-1</f>
        <v>0.0857412242179734</v>
      </c>
      <c r="Y143" s="86">
        <f>S143/'2016'!S143-1</f>
        <v>0.0918914302547333</v>
      </c>
      <c r="Z143" s="143">
        <v>55.78</v>
      </c>
      <c r="AA143" s="143">
        <f>Q143/10000-Z143</f>
        <v>742.762161</v>
      </c>
      <c r="AB143" s="34">
        <v>4258.08</v>
      </c>
      <c r="AC143" s="34">
        <f>AA143*10000/AB143</f>
        <v>1744.3593380115</v>
      </c>
      <c r="AD143" s="34">
        <f t="shared" si="32"/>
        <v>8265144.108</v>
      </c>
      <c r="AE143" s="34">
        <f t="shared" si="41"/>
        <v>119593</v>
      </c>
      <c r="AF143" s="34">
        <f t="shared" si="42"/>
        <v>106059</v>
      </c>
      <c r="AG143" s="34">
        <f t="shared" si="33"/>
        <v>54070.4979999987</v>
      </c>
    </row>
    <row r="144" ht="15" customHeight="1" spans="1:33">
      <c r="A144" s="106">
        <v>42874</v>
      </c>
      <c r="B144" s="21" t="s">
        <v>37</v>
      </c>
      <c r="C144" s="9">
        <v>63128</v>
      </c>
      <c r="D144" s="38">
        <f>21540+9095</f>
        <v>30635</v>
      </c>
      <c r="E144" s="38">
        <v>96137</v>
      </c>
      <c r="F144" s="13">
        <v>4787.5</v>
      </c>
      <c r="G144" s="38">
        <v>3185.9</v>
      </c>
      <c r="H144" s="25"/>
      <c r="I144" s="37"/>
      <c r="J144" s="9">
        <f t="shared" si="30"/>
        <v>65502</v>
      </c>
      <c r="K144" s="38">
        <v>989</v>
      </c>
      <c r="L144" s="38">
        <v>788</v>
      </c>
      <c r="M144" s="132">
        <f t="shared" si="34"/>
        <v>597</v>
      </c>
      <c r="N144" s="78">
        <f t="shared" si="43"/>
        <v>1149303</v>
      </c>
      <c r="O144" s="79">
        <f t="shared" si="43"/>
        <v>537378</v>
      </c>
      <c r="P144" s="79">
        <f t="shared" si="43"/>
        <v>1724555</v>
      </c>
      <c r="Q144" s="80">
        <f t="shared" si="29"/>
        <v>8048549.61</v>
      </c>
      <c r="R144" s="80">
        <f t="shared" si="29"/>
        <v>3630397</v>
      </c>
      <c r="S144" s="80">
        <f t="shared" si="29"/>
        <v>11961043.108</v>
      </c>
      <c r="T144" s="84">
        <f>N144/'2016'!N144-1</f>
        <v>0.16073507980096</v>
      </c>
      <c r="U144" s="84">
        <f>O144/'2016'!O144-1</f>
        <v>0.188515997186725</v>
      </c>
      <c r="V144" s="84">
        <f>P144/'2016'!P144-1</f>
        <v>0.139895670980219</v>
      </c>
      <c r="W144" s="85">
        <f>Q144/'2016'!Q144-1</f>
        <v>0.111096485403359</v>
      </c>
      <c r="X144" s="85">
        <f>R144/'2016'!R144-1</f>
        <v>0.0871864087212162</v>
      </c>
      <c r="Y144" s="85">
        <f>S144/'2016'!S144-1</f>
        <v>0.092238741470825</v>
      </c>
      <c r="Z144" s="141"/>
      <c r="AA144" s="141"/>
      <c r="AB144" s="109"/>
      <c r="AC144" s="109"/>
      <c r="AD144" s="38">
        <f t="shared" si="32"/>
        <v>8330646.108</v>
      </c>
      <c r="AE144" s="38">
        <f t="shared" si="41"/>
        <v>120582</v>
      </c>
      <c r="AF144" s="38">
        <f t="shared" si="42"/>
        <v>106847</v>
      </c>
      <c r="AG144" s="38">
        <f t="shared" si="33"/>
        <v>54667.4979999987</v>
      </c>
    </row>
    <row r="145" ht="15" customHeight="1" spans="1:33">
      <c r="A145" s="106">
        <v>42875</v>
      </c>
      <c r="B145" s="21" t="s">
        <v>38</v>
      </c>
      <c r="C145" s="74">
        <v>63941</v>
      </c>
      <c r="D145" s="75">
        <f>21098+9093</f>
        <v>30191</v>
      </c>
      <c r="E145" s="75">
        <v>95848</v>
      </c>
      <c r="F145" s="125">
        <v>4800.6</v>
      </c>
      <c r="G145" s="75">
        <v>3212.9</v>
      </c>
      <c r="H145" s="25"/>
      <c r="I145" s="25"/>
      <c r="J145" s="74">
        <f t="shared" si="30"/>
        <v>65657</v>
      </c>
      <c r="K145" s="75">
        <v>394</v>
      </c>
      <c r="L145" s="75">
        <v>789</v>
      </c>
      <c r="M145" s="134">
        <f t="shared" si="34"/>
        <v>533</v>
      </c>
      <c r="N145" s="78">
        <f t="shared" si="43"/>
        <v>1213244</v>
      </c>
      <c r="O145" s="79">
        <f t="shared" si="43"/>
        <v>567569</v>
      </c>
      <c r="P145" s="79">
        <f t="shared" si="43"/>
        <v>1820403</v>
      </c>
      <c r="Q145" s="80">
        <f t="shared" si="29"/>
        <v>8112490.61</v>
      </c>
      <c r="R145" s="80">
        <f t="shared" si="29"/>
        <v>3660588</v>
      </c>
      <c r="S145" s="80">
        <f t="shared" si="29"/>
        <v>12056891.108</v>
      </c>
      <c r="T145" s="84">
        <f>N145/'2016'!N145-1</f>
        <v>0.158687212594966</v>
      </c>
      <c r="U145" s="84">
        <f>O145/'2016'!O145-1</f>
        <v>0.191823509771765</v>
      </c>
      <c r="V145" s="84">
        <f>P145/'2016'!P145-1</f>
        <v>0.139266387253555</v>
      </c>
      <c r="W145" s="85">
        <f>Q145/'2016'!Q145-1</f>
        <v>0.111189877880605</v>
      </c>
      <c r="X145" s="85">
        <f>R145/'2016'!R145-1</f>
        <v>0.0883801083210241</v>
      </c>
      <c r="Y145" s="85">
        <f>S145/'2016'!S145-1</f>
        <v>0.0925145457433547</v>
      </c>
      <c r="Z145" s="144"/>
      <c r="AA145" s="144"/>
      <c r="AB145" s="109"/>
      <c r="AC145" s="109"/>
      <c r="AD145" s="38">
        <f t="shared" si="32"/>
        <v>8396303.108</v>
      </c>
      <c r="AE145" s="75">
        <f t="shared" si="41"/>
        <v>120976</v>
      </c>
      <c r="AF145" s="75">
        <f t="shared" si="42"/>
        <v>107636</v>
      </c>
      <c r="AG145" s="75">
        <f t="shared" si="33"/>
        <v>55200.4979999987</v>
      </c>
    </row>
    <row r="146" ht="15" customHeight="1" spans="1:33">
      <c r="A146" s="106">
        <v>42876</v>
      </c>
      <c r="B146" s="21" t="s">
        <v>1</v>
      </c>
      <c r="C146" s="9">
        <v>59844</v>
      </c>
      <c r="D146" s="38">
        <f>21294+9101</f>
        <v>30395</v>
      </c>
      <c r="E146" s="38">
        <v>91976</v>
      </c>
      <c r="F146" s="13">
        <v>4491.2</v>
      </c>
      <c r="G146" s="38">
        <v>3178.8</v>
      </c>
      <c r="H146" s="25"/>
      <c r="I146" s="37"/>
      <c r="J146" s="9">
        <f t="shared" si="30"/>
        <v>61581</v>
      </c>
      <c r="K146" s="38">
        <v>358</v>
      </c>
      <c r="L146" s="38">
        <v>788</v>
      </c>
      <c r="M146" s="132">
        <f t="shared" si="34"/>
        <v>591</v>
      </c>
      <c r="N146" s="78">
        <f t="shared" si="43"/>
        <v>1273088</v>
      </c>
      <c r="O146" s="79">
        <f t="shared" si="43"/>
        <v>597964</v>
      </c>
      <c r="P146" s="79">
        <f t="shared" si="43"/>
        <v>1912379</v>
      </c>
      <c r="Q146" s="80">
        <f t="shared" si="29"/>
        <v>8172334.61</v>
      </c>
      <c r="R146" s="80">
        <f t="shared" si="29"/>
        <v>3690983</v>
      </c>
      <c r="S146" s="80">
        <f t="shared" si="29"/>
        <v>12148867.108</v>
      </c>
      <c r="T146" s="84">
        <f>N146/'2016'!N146-1</f>
        <v>0.1546058150745</v>
      </c>
      <c r="U146" s="84">
        <f>O146/'2016'!O146-1</f>
        <v>0.194640177888237</v>
      </c>
      <c r="V146" s="84">
        <f>P146/'2016'!P146-1</f>
        <v>0.137159982517846</v>
      </c>
      <c r="W146" s="85">
        <f>Q146/'2016'!Q146-1</f>
        <v>0.110936678930152</v>
      </c>
      <c r="X146" s="85">
        <f>R146/'2016'!R146-1</f>
        <v>0.0895389024151212</v>
      </c>
      <c r="Y146" s="85">
        <f>S146/'2016'!S146-1</f>
        <v>0.0925484849435927</v>
      </c>
      <c r="Z146" s="141"/>
      <c r="AA146" s="141"/>
      <c r="AB146" s="109"/>
      <c r="AC146" s="109"/>
      <c r="AD146" s="38">
        <f t="shared" si="32"/>
        <v>8457884.108</v>
      </c>
      <c r="AE146" s="38">
        <f t="shared" si="41"/>
        <v>121334</v>
      </c>
      <c r="AF146" s="38">
        <f t="shared" si="42"/>
        <v>108424</v>
      </c>
      <c r="AG146" s="38">
        <f t="shared" si="33"/>
        <v>55791.4979999987</v>
      </c>
    </row>
    <row r="147" ht="15" customHeight="1" spans="1:33">
      <c r="A147" s="106">
        <v>42877</v>
      </c>
      <c r="B147" s="21" t="s">
        <v>39</v>
      </c>
      <c r="C147" s="9">
        <v>65420</v>
      </c>
      <c r="D147" s="38">
        <v>29982</v>
      </c>
      <c r="E147" s="38">
        <v>97711</v>
      </c>
      <c r="F147" s="13">
        <v>4897</v>
      </c>
      <c r="G147" s="38">
        <v>3108</v>
      </c>
      <c r="H147" s="25"/>
      <c r="I147" s="37"/>
      <c r="J147" s="9">
        <f t="shared" si="30"/>
        <v>67729</v>
      </c>
      <c r="K147" s="38">
        <v>937</v>
      </c>
      <c r="L147" s="38">
        <v>789</v>
      </c>
      <c r="M147" s="132">
        <f t="shared" si="34"/>
        <v>583</v>
      </c>
      <c r="N147" s="78">
        <f t="shared" si="43"/>
        <v>1338508</v>
      </c>
      <c r="O147" s="79">
        <f t="shared" si="43"/>
        <v>627946</v>
      </c>
      <c r="P147" s="79">
        <f t="shared" si="43"/>
        <v>2010090</v>
      </c>
      <c r="Q147" s="80">
        <f t="shared" si="29"/>
        <v>8237754.61</v>
      </c>
      <c r="R147" s="80">
        <f t="shared" si="29"/>
        <v>3720965</v>
      </c>
      <c r="S147" s="80">
        <f t="shared" si="29"/>
        <v>12246578.108</v>
      </c>
      <c r="T147" s="84">
        <f>N147/'2016'!N147-1</f>
        <v>0.160427617405356</v>
      </c>
      <c r="U147" s="84">
        <f>O147/'2016'!O147-1</f>
        <v>0.195329438660811</v>
      </c>
      <c r="V147" s="84">
        <f>P147/'2016'!P147-1</f>
        <v>0.141473320533504</v>
      </c>
      <c r="W147" s="85">
        <f>Q147/'2016'!Q147-1</f>
        <v>0.112143026285591</v>
      </c>
      <c r="X147" s="85">
        <f>R147/'2016'!R147-1</f>
        <v>0.0904086506762003</v>
      </c>
      <c r="Y147" s="85">
        <f>S147/'2016'!S147-1</f>
        <v>0.0935424045564079</v>
      </c>
      <c r="Z147" s="141"/>
      <c r="AA147" s="141"/>
      <c r="AB147" s="109"/>
      <c r="AC147" s="109"/>
      <c r="AD147" s="38">
        <f t="shared" si="32"/>
        <v>8525613.108</v>
      </c>
      <c r="AE147" s="38">
        <f t="shared" si="41"/>
        <v>122271</v>
      </c>
      <c r="AF147" s="38">
        <f t="shared" si="42"/>
        <v>109213</v>
      </c>
      <c r="AG147" s="38">
        <f t="shared" si="33"/>
        <v>56374.4979999987</v>
      </c>
    </row>
    <row r="148" ht="15" customHeight="1" spans="1:33">
      <c r="A148" s="106">
        <v>42878</v>
      </c>
      <c r="B148" s="21" t="s">
        <v>34</v>
      </c>
      <c r="C148" s="9">
        <v>66914</v>
      </c>
      <c r="D148" s="38">
        <v>31135</v>
      </c>
      <c r="E148" s="38">
        <v>99638</v>
      </c>
      <c r="F148" s="13">
        <v>5069</v>
      </c>
      <c r="G148" s="38">
        <v>3281</v>
      </c>
      <c r="H148" s="25"/>
      <c r="I148" s="37"/>
      <c r="J148" s="9">
        <f t="shared" si="30"/>
        <v>68503</v>
      </c>
      <c r="K148" s="38">
        <v>515</v>
      </c>
      <c r="L148" s="38">
        <v>787</v>
      </c>
      <c r="M148" s="132">
        <f t="shared" si="34"/>
        <v>287</v>
      </c>
      <c r="N148" s="78">
        <f t="shared" si="43"/>
        <v>1405422</v>
      </c>
      <c r="O148" s="79">
        <f t="shared" si="43"/>
        <v>659081</v>
      </c>
      <c r="P148" s="79">
        <f t="shared" si="43"/>
        <v>2109728</v>
      </c>
      <c r="Q148" s="80">
        <f t="shared" si="29"/>
        <v>8304668.61</v>
      </c>
      <c r="R148" s="80">
        <f t="shared" si="29"/>
        <v>3752100</v>
      </c>
      <c r="S148" s="80">
        <f t="shared" si="29"/>
        <v>12346216.108</v>
      </c>
      <c r="T148" s="84">
        <f>N148/'2016'!N148-1</f>
        <v>0.162899342186918</v>
      </c>
      <c r="U148" s="84">
        <f>O148/'2016'!O148-1</f>
        <v>0.196047901366303</v>
      </c>
      <c r="V148" s="84">
        <f>P148/'2016'!P148-1</f>
        <v>0.143413360908865</v>
      </c>
      <c r="W148" s="85">
        <f>Q148/'2016'!Q148-1</f>
        <v>0.112899795220947</v>
      </c>
      <c r="X148" s="85">
        <f>R148/'2016'!R148-1</f>
        <v>0.0913085639262328</v>
      </c>
      <c r="Y148" s="85">
        <f>S148/'2016'!S148-1</f>
        <v>0.0942171386536561</v>
      </c>
      <c r="Z148" s="141"/>
      <c r="AA148" s="141"/>
      <c r="AB148" s="109"/>
      <c r="AC148" s="109"/>
      <c r="AD148" s="38">
        <f t="shared" si="32"/>
        <v>8594116.108</v>
      </c>
      <c r="AE148" s="38">
        <f t="shared" si="41"/>
        <v>122786</v>
      </c>
      <c r="AF148" s="38">
        <f t="shared" si="42"/>
        <v>110000</v>
      </c>
      <c r="AG148" s="38">
        <f t="shared" si="33"/>
        <v>56661.4979999987</v>
      </c>
    </row>
    <row r="149" ht="15" customHeight="1" spans="1:33">
      <c r="A149" s="106">
        <v>42879</v>
      </c>
      <c r="B149" s="21" t="s">
        <v>35</v>
      </c>
      <c r="C149" s="9">
        <v>64654</v>
      </c>
      <c r="D149" s="38">
        <v>28754</v>
      </c>
      <c r="E149" s="38">
        <v>95258</v>
      </c>
      <c r="F149" s="13">
        <v>4824</v>
      </c>
      <c r="G149" s="38">
        <v>3193</v>
      </c>
      <c r="H149" s="25"/>
      <c r="I149" s="37"/>
      <c r="J149" s="9">
        <f t="shared" si="30"/>
        <v>66504</v>
      </c>
      <c r="K149" s="38">
        <v>692</v>
      </c>
      <c r="L149" s="38">
        <v>786</v>
      </c>
      <c r="M149" s="132">
        <f t="shared" si="34"/>
        <v>372</v>
      </c>
      <c r="N149" s="78">
        <f t="shared" si="43"/>
        <v>1470076</v>
      </c>
      <c r="O149" s="79">
        <f t="shared" si="43"/>
        <v>687835</v>
      </c>
      <c r="P149" s="79">
        <f t="shared" si="43"/>
        <v>2204986</v>
      </c>
      <c r="Q149" s="80">
        <f t="shared" si="29"/>
        <v>8369322.61</v>
      </c>
      <c r="R149" s="80">
        <f t="shared" si="29"/>
        <v>3780854</v>
      </c>
      <c r="S149" s="80">
        <f t="shared" si="29"/>
        <v>12441474.108</v>
      </c>
      <c r="T149" s="84">
        <f>N149/'2016'!N149-1</f>
        <v>0.162894968326594</v>
      </c>
      <c r="U149" s="84">
        <f>O149/'2016'!O149-1</f>
        <v>0.191392548892588</v>
      </c>
      <c r="V149" s="84">
        <f>P149/'2016'!P149-1</f>
        <v>0.142186848450786</v>
      </c>
      <c r="W149" s="85">
        <f>Q149/'2016'!Q149-1</f>
        <v>0.11326885916355</v>
      </c>
      <c r="X149" s="85">
        <f>R149/'2016'!R149-1</f>
        <v>0.0913275223166479</v>
      </c>
      <c r="Y149" s="85">
        <f>S149/'2016'!S149-1</f>
        <v>0.0943783421094597</v>
      </c>
      <c r="Z149" s="141">
        <f>(Z150-Z143)/7*6+Z143</f>
        <v>58.8314285714286</v>
      </c>
      <c r="AA149" s="141">
        <f>Q149/10000-Z149</f>
        <v>778.100832428571</v>
      </c>
      <c r="AB149" s="109"/>
      <c r="AC149" s="109"/>
      <c r="AD149" s="38">
        <f t="shared" si="32"/>
        <v>8660620.108</v>
      </c>
      <c r="AE149" s="38">
        <f t="shared" si="41"/>
        <v>123478</v>
      </c>
      <c r="AF149" s="38">
        <f t="shared" si="42"/>
        <v>110786</v>
      </c>
      <c r="AG149" s="38">
        <f t="shared" si="33"/>
        <v>57033.4979999987</v>
      </c>
    </row>
    <row r="150" ht="15" customHeight="1" spans="1:33">
      <c r="A150" s="106">
        <v>42880</v>
      </c>
      <c r="B150" s="15" t="s">
        <v>36</v>
      </c>
      <c r="C150" s="33">
        <v>62045</v>
      </c>
      <c r="D150" s="34">
        <v>31130</v>
      </c>
      <c r="E150" s="34">
        <v>95156</v>
      </c>
      <c r="F150" s="124">
        <v>4724</v>
      </c>
      <c r="G150" s="34">
        <v>3154</v>
      </c>
      <c r="H150" s="20"/>
      <c r="I150" s="20"/>
      <c r="J150" s="33">
        <f t="shared" si="30"/>
        <v>64026</v>
      </c>
      <c r="K150" s="34">
        <v>532</v>
      </c>
      <c r="L150" s="34">
        <v>791</v>
      </c>
      <c r="M150" s="133">
        <f t="shared" si="34"/>
        <v>658</v>
      </c>
      <c r="N150" s="81">
        <f t="shared" si="43"/>
        <v>1532121</v>
      </c>
      <c r="O150" s="82">
        <f t="shared" si="43"/>
        <v>718965</v>
      </c>
      <c r="P150" s="82">
        <f t="shared" si="43"/>
        <v>2300142</v>
      </c>
      <c r="Q150" s="81">
        <f t="shared" si="29"/>
        <v>8431367.61</v>
      </c>
      <c r="R150" s="81">
        <f t="shared" si="29"/>
        <v>3811984</v>
      </c>
      <c r="S150" s="81">
        <f t="shared" si="29"/>
        <v>12536630.108</v>
      </c>
      <c r="T150" s="86">
        <f>N150/'2016'!N150-1</f>
        <v>0.16034610724023</v>
      </c>
      <c r="U150" s="86">
        <f>O150/'2016'!O150-1</f>
        <v>0.190642978507765</v>
      </c>
      <c r="V150" s="86">
        <f>P150/'2016'!P150-1</f>
        <v>0.14046203710636</v>
      </c>
      <c r="W150" s="86">
        <f>Q150/'2016'!Q150-1</f>
        <v>0.11319305459082</v>
      </c>
      <c r="X150" s="86">
        <f>R150/'2016'!R150-1</f>
        <v>0.0919577205487425</v>
      </c>
      <c r="Y150" s="86">
        <f>S150/'2016'!S150-1</f>
        <v>0.0944350745668638</v>
      </c>
      <c r="Z150" s="143">
        <v>59.34</v>
      </c>
      <c r="AA150" s="143">
        <f>Q150/10000-Z150</f>
        <v>783.796761</v>
      </c>
      <c r="AB150" s="34">
        <v>4258.08</v>
      </c>
      <c r="AC150" s="34">
        <f>AA150*10000/AB150</f>
        <v>1840.72812394319</v>
      </c>
      <c r="AD150" s="34">
        <f t="shared" si="32"/>
        <v>8724646.108</v>
      </c>
      <c r="AE150" s="34">
        <f t="shared" si="41"/>
        <v>124010</v>
      </c>
      <c r="AF150" s="34">
        <f t="shared" si="42"/>
        <v>111577</v>
      </c>
      <c r="AG150" s="34">
        <f t="shared" si="33"/>
        <v>57691.4979999997</v>
      </c>
    </row>
    <row r="151" ht="15" customHeight="1" spans="1:33">
      <c r="A151" s="106">
        <v>42881</v>
      </c>
      <c r="B151" s="21" t="s">
        <v>37</v>
      </c>
      <c r="C151" s="9">
        <v>63869</v>
      </c>
      <c r="D151" s="38">
        <v>30669</v>
      </c>
      <c r="E151" s="38">
        <v>96503</v>
      </c>
      <c r="F151" s="13">
        <v>4763</v>
      </c>
      <c r="G151" s="38">
        <v>3197</v>
      </c>
      <c r="H151" s="25"/>
      <c r="I151" s="37"/>
      <c r="J151" s="9">
        <f t="shared" si="30"/>
        <v>65834</v>
      </c>
      <c r="K151" s="38">
        <v>552</v>
      </c>
      <c r="L151" s="38">
        <v>786</v>
      </c>
      <c r="M151" s="132">
        <f t="shared" si="34"/>
        <v>627</v>
      </c>
      <c r="N151" s="78">
        <f t="shared" si="43"/>
        <v>1595990</v>
      </c>
      <c r="O151" s="79">
        <f t="shared" si="43"/>
        <v>749634</v>
      </c>
      <c r="P151" s="79">
        <f t="shared" si="43"/>
        <v>2396645</v>
      </c>
      <c r="Q151" s="80">
        <f t="shared" si="29"/>
        <v>8495236.61</v>
      </c>
      <c r="R151" s="80">
        <f t="shared" si="29"/>
        <v>3842653</v>
      </c>
      <c r="S151" s="80">
        <f t="shared" si="29"/>
        <v>12633133.108</v>
      </c>
      <c r="T151" s="84">
        <f>N151/'2016'!N151-1</f>
        <v>0.157922459338239</v>
      </c>
      <c r="U151" s="84">
        <f>O151/'2016'!O151-1</f>
        <v>0.190103033863055</v>
      </c>
      <c r="V151" s="84">
        <f>P151/'2016'!P151-1</f>
        <v>0.138998340912731</v>
      </c>
      <c r="W151" s="85">
        <f>Q151/'2016'!Q151-1</f>
        <v>0.113113210353145</v>
      </c>
      <c r="X151" s="85">
        <f>R151/'2016'!R151-1</f>
        <v>0.0925917975141932</v>
      </c>
      <c r="Y151" s="85">
        <f>S151/'2016'!S151-1</f>
        <v>0.0945164384101651</v>
      </c>
      <c r="Z151" s="141"/>
      <c r="AA151" s="141"/>
      <c r="AB151" s="109"/>
      <c r="AC151" s="109"/>
      <c r="AD151" s="38">
        <f t="shared" si="32"/>
        <v>8790480.108</v>
      </c>
      <c r="AE151" s="38">
        <f t="shared" si="41"/>
        <v>124562</v>
      </c>
      <c r="AF151" s="38">
        <f t="shared" si="42"/>
        <v>112363</v>
      </c>
      <c r="AG151" s="38">
        <f t="shared" si="33"/>
        <v>58318.4979999997</v>
      </c>
    </row>
    <row r="152" ht="15" customHeight="1" spans="1:33">
      <c r="A152" s="106">
        <v>42882</v>
      </c>
      <c r="B152" s="21" t="s">
        <v>38</v>
      </c>
      <c r="C152" s="74">
        <v>66996</v>
      </c>
      <c r="D152" s="75">
        <v>27733</v>
      </c>
      <c r="E152" s="75">
        <v>97180</v>
      </c>
      <c r="F152" s="125">
        <v>4829</v>
      </c>
      <c r="G152" s="75">
        <v>3224</v>
      </c>
      <c r="H152" s="25"/>
      <c r="I152" s="25"/>
      <c r="J152" s="74">
        <f t="shared" si="30"/>
        <v>69447</v>
      </c>
      <c r="K152" s="75">
        <v>980</v>
      </c>
      <c r="L152" s="75">
        <v>789</v>
      </c>
      <c r="M152" s="134">
        <f t="shared" si="34"/>
        <v>682</v>
      </c>
      <c r="N152" s="78">
        <f t="shared" ref="N152:P155" si="44">N151+C152</f>
        <v>1662986</v>
      </c>
      <c r="O152" s="79">
        <f t="shared" si="44"/>
        <v>777367</v>
      </c>
      <c r="P152" s="79">
        <f t="shared" si="44"/>
        <v>2493825</v>
      </c>
      <c r="Q152" s="80">
        <f t="shared" si="29"/>
        <v>8562232.61</v>
      </c>
      <c r="R152" s="80">
        <f t="shared" si="29"/>
        <v>3870386</v>
      </c>
      <c r="S152" s="80">
        <f t="shared" si="29"/>
        <v>12730313.108</v>
      </c>
      <c r="T152" s="84">
        <f>N152/'2016'!N152-1</f>
        <v>0.15686626429921</v>
      </c>
      <c r="U152" s="84">
        <f>O152/'2016'!O152-1</f>
        <v>0.186453948553271</v>
      </c>
      <c r="V152" s="84">
        <f>P152/'2016'!P152-1</f>
        <v>0.137661708473574</v>
      </c>
      <c r="W152" s="85">
        <f>Q152/'2016'!Q152-1</f>
        <v>0.113260534764003</v>
      </c>
      <c r="X152" s="85">
        <f>R152/'2016'!R152-1</f>
        <v>0.09261362401297</v>
      </c>
      <c r="Y152" s="85">
        <f>S152/'2016'!S152-1</f>
        <v>0.0946006738722236</v>
      </c>
      <c r="Z152" s="144"/>
      <c r="AA152" s="144"/>
      <c r="AB152" s="109"/>
      <c r="AC152" s="109"/>
      <c r="AD152" s="38">
        <f t="shared" si="32"/>
        <v>8859927.108</v>
      </c>
      <c r="AE152" s="75">
        <f t="shared" si="41"/>
        <v>125542</v>
      </c>
      <c r="AF152" s="75">
        <f t="shared" si="42"/>
        <v>113152</v>
      </c>
      <c r="AG152" s="75">
        <f t="shared" si="33"/>
        <v>59000.4979999997</v>
      </c>
    </row>
    <row r="153" ht="15" customHeight="1" spans="1:33">
      <c r="A153" s="106">
        <v>42883</v>
      </c>
      <c r="B153" s="21" t="s">
        <v>1</v>
      </c>
      <c r="C153" s="9">
        <v>68675</v>
      </c>
      <c r="D153" s="38">
        <v>22661</v>
      </c>
      <c r="E153" s="38">
        <v>94486</v>
      </c>
      <c r="F153" s="13">
        <v>4679</v>
      </c>
      <c r="G153" s="38">
        <v>3227</v>
      </c>
      <c r="H153" s="25"/>
      <c r="I153" s="37"/>
      <c r="J153" s="9">
        <f t="shared" si="30"/>
        <v>71825</v>
      </c>
      <c r="K153" s="38">
        <v>1644</v>
      </c>
      <c r="L153" s="38">
        <v>786</v>
      </c>
      <c r="M153" s="132">
        <f t="shared" si="34"/>
        <v>720</v>
      </c>
      <c r="N153" s="78">
        <f t="shared" si="44"/>
        <v>1731661</v>
      </c>
      <c r="O153" s="79">
        <f t="shared" si="44"/>
        <v>800028</v>
      </c>
      <c r="P153" s="79">
        <f t="shared" si="44"/>
        <v>2588311</v>
      </c>
      <c r="Q153" s="80">
        <f t="shared" si="29"/>
        <v>8630907.61</v>
      </c>
      <c r="R153" s="80">
        <f t="shared" si="29"/>
        <v>3893047</v>
      </c>
      <c r="S153" s="80">
        <f t="shared" si="29"/>
        <v>12824799.108</v>
      </c>
      <c r="T153" s="84">
        <f>N153/'2016'!N153-1</f>
        <v>0.157778929245993</v>
      </c>
      <c r="U153" s="84">
        <f>O153/'2016'!O153-1</f>
        <v>0.17562831460476</v>
      </c>
      <c r="V153" s="84">
        <f>P153/'2016'!P153-1</f>
        <v>0.135433281569412</v>
      </c>
      <c r="W153" s="85">
        <f>Q153/'2016'!Q153-1</f>
        <v>0.1137640841499</v>
      </c>
      <c r="X153" s="85">
        <f>R153/'2016'!R153-1</f>
        <v>0.0912143867017525</v>
      </c>
      <c r="Y153" s="85">
        <f>S153/'2016'!S153-1</f>
        <v>0.0944887687051701</v>
      </c>
      <c r="Z153" s="141"/>
      <c r="AA153" s="141"/>
      <c r="AB153" s="109"/>
      <c r="AC153" s="109"/>
      <c r="AD153" s="38">
        <f t="shared" si="32"/>
        <v>8931752.108</v>
      </c>
      <c r="AE153" s="38">
        <f t="shared" si="41"/>
        <v>127186</v>
      </c>
      <c r="AF153" s="38">
        <f t="shared" si="42"/>
        <v>113938</v>
      </c>
      <c r="AG153" s="38">
        <f t="shared" si="33"/>
        <v>59720.4979999997</v>
      </c>
    </row>
    <row r="154" ht="15" customHeight="1" spans="1:33">
      <c r="A154" s="106">
        <v>42884</v>
      </c>
      <c r="B154" s="21" t="s">
        <v>39</v>
      </c>
      <c r="C154" s="9">
        <v>63978</v>
      </c>
      <c r="D154" s="38">
        <v>23944</v>
      </c>
      <c r="E154" s="38">
        <v>90192</v>
      </c>
      <c r="F154" s="13">
        <v>4394</v>
      </c>
      <c r="G154" s="38">
        <v>3137</v>
      </c>
      <c r="H154" s="25"/>
      <c r="I154" s="37"/>
      <c r="J154" s="9">
        <f t="shared" si="30"/>
        <v>66248</v>
      </c>
      <c r="K154" s="38">
        <v>679</v>
      </c>
      <c r="L154" s="38">
        <v>787</v>
      </c>
      <c r="M154" s="132">
        <f t="shared" si="34"/>
        <v>804</v>
      </c>
      <c r="N154" s="78">
        <f t="shared" si="44"/>
        <v>1795639</v>
      </c>
      <c r="O154" s="79">
        <f t="shared" si="44"/>
        <v>823972</v>
      </c>
      <c r="P154" s="79">
        <f t="shared" si="44"/>
        <v>2678503</v>
      </c>
      <c r="Q154" s="80">
        <f t="shared" si="29"/>
        <v>8694885.61</v>
      </c>
      <c r="R154" s="80">
        <f t="shared" si="29"/>
        <v>3916991</v>
      </c>
      <c r="S154" s="80">
        <f t="shared" si="29"/>
        <v>12914991.108</v>
      </c>
      <c r="T154" s="84">
        <f>N154/'2016'!N154-1</f>
        <v>0.160502787446988</v>
      </c>
      <c r="U154" s="84">
        <f>O154/'2016'!O154-1</f>
        <v>0.166719057530833</v>
      </c>
      <c r="V154" s="84">
        <f>P154/'2016'!P154-1</f>
        <v>0.134947837372771</v>
      </c>
      <c r="W154" s="85">
        <f>Q154/'2016'!Q154-1</f>
        <v>0.114595601577401</v>
      </c>
      <c r="X154" s="85">
        <f>R154/'2016'!R154-1</f>
        <v>0.0900675609675325</v>
      </c>
      <c r="Y154" s="85">
        <f>S154/'2016'!S154-1</f>
        <v>0.0946708359400474</v>
      </c>
      <c r="Z154" s="141"/>
      <c r="AA154" s="141"/>
      <c r="AB154" s="109"/>
      <c r="AC154" s="109"/>
      <c r="AD154" s="38">
        <f t="shared" si="32"/>
        <v>8998000.108</v>
      </c>
      <c r="AE154" s="38">
        <f t="shared" si="41"/>
        <v>127865</v>
      </c>
      <c r="AF154" s="38">
        <f t="shared" si="42"/>
        <v>114725</v>
      </c>
      <c r="AG154" s="38">
        <f t="shared" si="33"/>
        <v>60524.4979999997</v>
      </c>
    </row>
    <row r="155" ht="15" customHeight="1" spans="1:33">
      <c r="A155" s="106">
        <v>42885</v>
      </c>
      <c r="B155" s="21" t="s">
        <v>34</v>
      </c>
      <c r="C155" s="9">
        <v>50824</v>
      </c>
      <c r="D155" s="38">
        <v>21389</v>
      </c>
      <c r="E155" s="38">
        <v>73822</v>
      </c>
      <c r="F155" s="13">
        <v>3371</v>
      </c>
      <c r="G155" s="38">
        <v>2889</v>
      </c>
      <c r="H155" s="25"/>
      <c r="I155" s="37"/>
      <c r="J155" s="9">
        <f t="shared" si="30"/>
        <v>52433</v>
      </c>
      <c r="K155" s="38">
        <v>209</v>
      </c>
      <c r="L155" s="38">
        <v>787</v>
      </c>
      <c r="M155" s="132">
        <f t="shared" si="34"/>
        <v>613</v>
      </c>
      <c r="N155" s="78">
        <f t="shared" si="44"/>
        <v>1846463</v>
      </c>
      <c r="O155" s="79">
        <f t="shared" si="44"/>
        <v>845361</v>
      </c>
      <c r="P155" s="79">
        <f t="shared" si="44"/>
        <v>2752325</v>
      </c>
      <c r="Q155" s="80">
        <f t="shared" si="29"/>
        <v>8745709.61</v>
      </c>
      <c r="R155" s="80">
        <f t="shared" si="29"/>
        <v>3938380</v>
      </c>
      <c r="S155" s="80">
        <f t="shared" si="29"/>
        <v>12988813.108</v>
      </c>
      <c r="T155" s="84">
        <f>N155/'2016'!N155-1</f>
        <v>0.152688568084276</v>
      </c>
      <c r="U155" s="84">
        <f>O155/'2016'!O155-1</f>
        <v>0.155573569033465</v>
      </c>
      <c r="V155" s="84">
        <f>P155/'2016'!P155-1</f>
        <v>0.126388635949736</v>
      </c>
      <c r="W155" s="85">
        <f>Q155/'2016'!Q155-1</f>
        <v>0.113321115588362</v>
      </c>
      <c r="X155" s="85">
        <f>R155/'2016'!R155-1</f>
        <v>0.0883507412119597</v>
      </c>
      <c r="Y155" s="85">
        <f>S155/'2016'!S155-1</f>
        <v>0.0931935546016753</v>
      </c>
      <c r="Z155" s="141"/>
      <c r="AA155" s="141"/>
      <c r="AB155" s="109"/>
      <c r="AC155" s="109"/>
      <c r="AD155" s="38">
        <f t="shared" si="32"/>
        <v>9050433.108</v>
      </c>
      <c r="AE155" s="38">
        <f t="shared" si="41"/>
        <v>128074</v>
      </c>
      <c r="AF155" s="38">
        <f t="shared" si="42"/>
        <v>115512</v>
      </c>
      <c r="AG155" s="38">
        <f t="shared" si="33"/>
        <v>61137.4979999997</v>
      </c>
    </row>
    <row r="156" s="1" customFormat="1" ht="15" customHeight="1" spans="1:33">
      <c r="A156" s="26">
        <v>42886</v>
      </c>
      <c r="B156" s="26" t="s">
        <v>35</v>
      </c>
      <c r="C156" s="43">
        <v>65762</v>
      </c>
      <c r="D156" s="44">
        <v>26904</v>
      </c>
      <c r="E156" s="44">
        <v>94263</v>
      </c>
      <c r="F156" s="127">
        <v>4796</v>
      </c>
      <c r="G156" s="44">
        <v>2673</v>
      </c>
      <c r="H156" s="31"/>
      <c r="I156" s="31"/>
      <c r="J156" s="43">
        <f t="shared" si="30"/>
        <v>67359</v>
      </c>
      <c r="K156" s="44">
        <v>392</v>
      </c>
      <c r="L156" s="44">
        <v>785</v>
      </c>
      <c r="M156" s="135">
        <f t="shared" si="34"/>
        <v>420</v>
      </c>
      <c r="N156" s="91">
        <v>1912230.87</v>
      </c>
      <c r="O156" s="92">
        <v>872265</v>
      </c>
      <c r="P156" s="92">
        <v>2846588.21</v>
      </c>
      <c r="Q156" s="91">
        <v>8811477.82</v>
      </c>
      <c r="R156" s="91">
        <v>3965284</v>
      </c>
      <c r="S156" s="91">
        <v>13083076.318</v>
      </c>
      <c r="T156" s="93">
        <f>N156/'2016'!N156-1</f>
        <v>0.152040691285551</v>
      </c>
      <c r="U156" s="93">
        <f>O156/'2016'!O156-1</f>
        <v>0.151872941586619</v>
      </c>
      <c r="V156" s="93">
        <f>P156/'2016'!P156-1</f>
        <v>0.12496649114598</v>
      </c>
      <c r="W156" s="93">
        <f>Q156/'2016'!Q156-1</f>
        <v>0.113473744813138</v>
      </c>
      <c r="X156" s="93">
        <f>R156/'2016'!R156-1</f>
        <v>0.0880559766763849</v>
      </c>
      <c r="Y156" s="93">
        <f>S156/'2016'!S156-1</f>
        <v>0.0931338525110934</v>
      </c>
      <c r="Z156" s="146">
        <f>[14]日发电量查询!$D$12/10000</f>
        <v>61.937675</v>
      </c>
      <c r="AA156" s="146">
        <f>[14]日发电量查询!$D$11/10000</f>
        <v>819.210107</v>
      </c>
      <c r="AB156" s="44">
        <v>4258.08</v>
      </c>
      <c r="AC156" s="44">
        <f>AA156*10000/AB156</f>
        <v>1923.89552803141</v>
      </c>
      <c r="AD156" s="44">
        <v>9117792.318</v>
      </c>
      <c r="AE156" s="44">
        <v>127799.89</v>
      </c>
      <c r="AF156" s="44">
        <f t="shared" si="42"/>
        <v>116297</v>
      </c>
      <c r="AG156" s="44">
        <f t="shared" si="33"/>
        <v>62217.6079999997</v>
      </c>
    </row>
    <row r="157" ht="15" customHeight="1" spans="1:33">
      <c r="A157" s="106">
        <v>42887</v>
      </c>
      <c r="B157" s="15" t="s">
        <v>36</v>
      </c>
      <c r="C157" s="33">
        <v>67196</v>
      </c>
      <c r="D157" s="34">
        <f>21459+9333</f>
        <v>30792</v>
      </c>
      <c r="E157" s="34">
        <v>99454</v>
      </c>
      <c r="F157" s="124">
        <v>5016.6</v>
      </c>
      <c r="G157" s="34">
        <v>3309.5</v>
      </c>
      <c r="H157" s="20"/>
      <c r="I157" s="20"/>
      <c r="J157" s="33">
        <f t="shared" si="30"/>
        <v>68662</v>
      </c>
      <c r="K157" s="34">
        <v>449</v>
      </c>
      <c r="L157" s="34">
        <v>786</v>
      </c>
      <c r="M157" s="133">
        <f t="shared" si="34"/>
        <v>231</v>
      </c>
      <c r="N157" s="81">
        <f>C157</f>
        <v>67196</v>
      </c>
      <c r="O157" s="82">
        <f>D157</f>
        <v>30792</v>
      </c>
      <c r="P157" s="82">
        <f>E157</f>
        <v>99454</v>
      </c>
      <c r="Q157" s="81">
        <f>Q$156+N157</f>
        <v>8878673.82</v>
      </c>
      <c r="R157" s="81">
        <f>R$156+O157</f>
        <v>3996076</v>
      </c>
      <c r="S157" s="81">
        <f>S$156+P157</f>
        <v>13182530.318</v>
      </c>
      <c r="T157" s="86">
        <f>N157/'2016'!N157-1</f>
        <v>0.338779088300925</v>
      </c>
      <c r="U157" s="86">
        <f>O157/'2016'!O157-1</f>
        <v>-0.0185191087878112</v>
      </c>
      <c r="V157" s="86">
        <f>P157/'2016'!P157-1</f>
        <v>0.194341367342772</v>
      </c>
      <c r="W157" s="86">
        <f>Q157/'2016'!Q157-1</f>
        <v>0.114893754720642</v>
      </c>
      <c r="X157" s="86">
        <f>R157/'2016'!R157-1</f>
        <v>0.0871463440910529</v>
      </c>
      <c r="Y157" s="86">
        <f>S157/'2016'!S157-1</f>
        <v>0.0938331449640686</v>
      </c>
      <c r="Z157" s="143">
        <v>61.97</v>
      </c>
      <c r="AA157" s="143">
        <f>Q157/10000-Z157</f>
        <v>825.897382</v>
      </c>
      <c r="AB157" s="34">
        <v>4258.08</v>
      </c>
      <c r="AC157" s="34">
        <f>AA157*10000/AB157</f>
        <v>1939.60043493781</v>
      </c>
      <c r="AD157" s="34">
        <f t="shared" si="32"/>
        <v>9186454.318</v>
      </c>
      <c r="AE157" s="34">
        <f t="shared" si="41"/>
        <v>128248.89</v>
      </c>
      <c r="AF157" s="34">
        <f t="shared" si="42"/>
        <v>117083</v>
      </c>
      <c r="AG157" s="34">
        <f t="shared" si="33"/>
        <v>62448.6079999997</v>
      </c>
    </row>
    <row r="158" ht="15" customHeight="1" spans="1:33">
      <c r="A158" s="106">
        <v>42888</v>
      </c>
      <c r="B158" s="21" t="s">
        <v>37</v>
      </c>
      <c r="C158" s="9">
        <v>66618</v>
      </c>
      <c r="D158" s="38">
        <f>22783+9158</f>
        <v>31941</v>
      </c>
      <c r="E158" s="38">
        <v>100132</v>
      </c>
      <c r="F158" s="13">
        <v>5053.1</v>
      </c>
      <c r="G158" s="38">
        <v>3276.5</v>
      </c>
      <c r="H158" s="25"/>
      <c r="I158" s="37"/>
      <c r="J158" s="9">
        <f t="shared" si="30"/>
        <v>68191</v>
      </c>
      <c r="K158" s="38">
        <v>236</v>
      </c>
      <c r="L158" s="38">
        <v>782</v>
      </c>
      <c r="M158" s="132">
        <f t="shared" si="34"/>
        <v>555</v>
      </c>
      <c r="N158" s="78">
        <f t="shared" ref="N158:P173" si="45">N157+C158</f>
        <v>133814</v>
      </c>
      <c r="O158" s="79">
        <f t="shared" si="45"/>
        <v>62733</v>
      </c>
      <c r="P158" s="79">
        <f t="shared" si="45"/>
        <v>199586</v>
      </c>
      <c r="Q158" s="80">
        <f t="shared" ref="Q158:S186" si="46">Q$156+N158</f>
        <v>8945291.82</v>
      </c>
      <c r="R158" s="80">
        <f t="shared" si="46"/>
        <v>4028017</v>
      </c>
      <c r="S158" s="80">
        <f t="shared" si="46"/>
        <v>13282662.318</v>
      </c>
      <c r="T158" s="84">
        <f>N158/'2016'!N158-1</f>
        <v>0.388500928683345</v>
      </c>
      <c r="U158" s="84">
        <f>O158/'2016'!O158-1</f>
        <v>-0.0224545766198149</v>
      </c>
      <c r="V158" s="84">
        <f>P158/'2016'!P158-1</f>
        <v>0.21560912623488</v>
      </c>
      <c r="W158" s="85">
        <f>Q158/'2016'!Q158-1</f>
        <v>0.116782809122139</v>
      </c>
      <c r="X158" s="85">
        <f>R158/'2016'!R158-1</f>
        <v>0.0861436642740867</v>
      </c>
      <c r="Y158" s="85">
        <f>S158/'2016'!S158-1</f>
        <v>0.0947912654816387</v>
      </c>
      <c r="Z158" s="141"/>
      <c r="AA158" s="141"/>
      <c r="AB158" s="109"/>
      <c r="AC158" s="109"/>
      <c r="AD158" s="38">
        <f t="shared" si="32"/>
        <v>9254645.318</v>
      </c>
      <c r="AE158" s="38">
        <f t="shared" si="41"/>
        <v>128484.89</v>
      </c>
      <c r="AF158" s="38">
        <f t="shared" si="42"/>
        <v>117865</v>
      </c>
      <c r="AG158" s="38">
        <f t="shared" si="33"/>
        <v>63003.6079999997</v>
      </c>
    </row>
    <row r="159" ht="15" customHeight="1" spans="1:33">
      <c r="A159" s="106">
        <v>42889</v>
      </c>
      <c r="B159" s="21" t="s">
        <v>38</v>
      </c>
      <c r="C159" s="74">
        <v>65245</v>
      </c>
      <c r="D159" s="75">
        <f>22553+8732</f>
        <v>31285</v>
      </c>
      <c r="E159" s="75">
        <v>98115</v>
      </c>
      <c r="F159" s="125">
        <v>4920.4</v>
      </c>
      <c r="G159" s="75">
        <v>3336.2</v>
      </c>
      <c r="H159" s="25"/>
      <c r="I159" s="25"/>
      <c r="J159" s="74">
        <f t="shared" si="30"/>
        <v>66830</v>
      </c>
      <c r="K159" s="75">
        <v>226</v>
      </c>
      <c r="L159" s="75">
        <v>783</v>
      </c>
      <c r="M159" s="134">
        <f t="shared" si="34"/>
        <v>576</v>
      </c>
      <c r="N159" s="78">
        <f t="shared" si="45"/>
        <v>199059</v>
      </c>
      <c r="O159" s="79">
        <f t="shared" si="45"/>
        <v>94018</v>
      </c>
      <c r="P159" s="79">
        <f t="shared" si="45"/>
        <v>297701</v>
      </c>
      <c r="Q159" s="80">
        <f t="shared" si="46"/>
        <v>9010536.82</v>
      </c>
      <c r="R159" s="80">
        <f t="shared" si="46"/>
        <v>4059302</v>
      </c>
      <c r="S159" s="80">
        <f t="shared" si="46"/>
        <v>13380777.318</v>
      </c>
      <c r="T159" s="84">
        <f>N159/'2016'!N159-1</f>
        <v>0.417728460831725</v>
      </c>
      <c r="U159" s="84">
        <f>O159/'2016'!O159-1</f>
        <v>-0.0475717730007902</v>
      </c>
      <c r="V159" s="84">
        <f>P159/'2016'!P159-1</f>
        <v>0.213813039985974</v>
      </c>
      <c r="W159" s="85">
        <f>Q159/'2016'!Q159-1</f>
        <v>0.118777937672509</v>
      </c>
      <c r="X159" s="85">
        <f>R159/'2016'!R159-1</f>
        <v>0.0844791561194511</v>
      </c>
      <c r="Y159" s="85">
        <f>S159/'2016'!S159-1</f>
        <v>0.0955571938105761</v>
      </c>
      <c r="Z159" s="144"/>
      <c r="AA159" s="144"/>
      <c r="AB159" s="109"/>
      <c r="AC159" s="109"/>
      <c r="AD159" s="38">
        <f t="shared" si="32"/>
        <v>9321475.318</v>
      </c>
      <c r="AE159" s="75">
        <f t="shared" si="41"/>
        <v>128710.89</v>
      </c>
      <c r="AF159" s="75">
        <f t="shared" si="42"/>
        <v>118648</v>
      </c>
      <c r="AG159" s="75">
        <f t="shared" si="33"/>
        <v>63579.6079999997</v>
      </c>
    </row>
    <row r="160" ht="15" customHeight="1" spans="1:33">
      <c r="A160" s="106">
        <v>42890</v>
      </c>
      <c r="B160" s="21" t="s">
        <v>1</v>
      </c>
      <c r="C160" s="9">
        <v>56416</v>
      </c>
      <c r="D160" s="38">
        <f>24864+8818</f>
        <v>33682</v>
      </c>
      <c r="E160" s="38">
        <v>91731</v>
      </c>
      <c r="F160" s="13">
        <v>4500.2</v>
      </c>
      <c r="G160" s="38">
        <v>3227.4</v>
      </c>
      <c r="H160" s="25"/>
      <c r="I160" s="37"/>
      <c r="J160" s="9">
        <f t="shared" si="30"/>
        <v>58049</v>
      </c>
      <c r="K160" s="38">
        <v>211</v>
      </c>
      <c r="L160" s="38">
        <v>783</v>
      </c>
      <c r="M160" s="132">
        <f t="shared" si="34"/>
        <v>639</v>
      </c>
      <c r="N160" s="78">
        <f t="shared" si="45"/>
        <v>255475</v>
      </c>
      <c r="O160" s="79">
        <f t="shared" si="45"/>
        <v>127700</v>
      </c>
      <c r="P160" s="79">
        <f t="shared" si="45"/>
        <v>389432</v>
      </c>
      <c r="Q160" s="80">
        <f t="shared" si="46"/>
        <v>9066952.82</v>
      </c>
      <c r="R160" s="80">
        <f t="shared" si="46"/>
        <v>4092984</v>
      </c>
      <c r="S160" s="80">
        <f t="shared" si="46"/>
        <v>13472508.318</v>
      </c>
      <c r="T160" s="84">
        <f>N160/'2016'!N160-1</f>
        <v>0.382762222811585</v>
      </c>
      <c r="U160" s="84">
        <f>O160/'2016'!O160-1</f>
        <v>-0.03956799362219</v>
      </c>
      <c r="V160" s="84">
        <f>P160/'2016'!P160-1</f>
        <v>0.194236000159464</v>
      </c>
      <c r="W160" s="85">
        <f>Q160/'2016'!Q160-1</f>
        <v>0.119617401762848</v>
      </c>
      <c r="X160" s="85">
        <f>R160/'2016'!R160-1</f>
        <v>0.0835636543849951</v>
      </c>
      <c r="Y160" s="85">
        <f>S160/'2016'!S160-1</f>
        <v>0.0958154328295446</v>
      </c>
      <c r="Z160" s="141"/>
      <c r="AA160" s="141"/>
      <c r="AB160" s="109"/>
      <c r="AC160" s="109"/>
      <c r="AD160" s="38">
        <f t="shared" si="32"/>
        <v>9379524.318</v>
      </c>
      <c r="AE160" s="38">
        <f t="shared" si="41"/>
        <v>128921.89</v>
      </c>
      <c r="AF160" s="38">
        <f t="shared" si="42"/>
        <v>119431</v>
      </c>
      <c r="AG160" s="38">
        <f t="shared" si="33"/>
        <v>64218.6079999997</v>
      </c>
    </row>
    <row r="161" ht="15" customHeight="1" spans="1:33">
      <c r="A161" s="106">
        <v>42891</v>
      </c>
      <c r="B161" s="21" t="s">
        <v>39</v>
      </c>
      <c r="C161" s="9">
        <v>55783</v>
      </c>
      <c r="D161" s="38">
        <f>25689+9111</f>
        <v>34800</v>
      </c>
      <c r="E161" s="38">
        <v>92965</v>
      </c>
      <c r="F161" s="13">
        <v>4802.3</v>
      </c>
      <c r="G161" s="38">
        <v>3081</v>
      </c>
      <c r="H161" s="25"/>
      <c r="I161" s="37"/>
      <c r="J161" s="9">
        <f t="shared" si="30"/>
        <v>58165</v>
      </c>
      <c r="K161" s="38">
        <v>1221</v>
      </c>
      <c r="L161" s="38">
        <v>782</v>
      </c>
      <c r="M161" s="132">
        <f t="shared" si="34"/>
        <v>379</v>
      </c>
      <c r="N161" s="78">
        <f t="shared" si="45"/>
        <v>311258</v>
      </c>
      <c r="O161" s="79">
        <f t="shared" si="45"/>
        <v>162500</v>
      </c>
      <c r="P161" s="79">
        <f t="shared" si="45"/>
        <v>482397</v>
      </c>
      <c r="Q161" s="80">
        <f t="shared" si="46"/>
        <v>9122735.82</v>
      </c>
      <c r="R161" s="80">
        <f t="shared" si="46"/>
        <v>4127784</v>
      </c>
      <c r="S161" s="80">
        <f t="shared" si="46"/>
        <v>13565473.318</v>
      </c>
      <c r="T161" s="84">
        <f>N161/'2016'!N161-1</f>
        <v>0.371138334941213</v>
      </c>
      <c r="U161" s="84">
        <f>O161/'2016'!O161-1</f>
        <v>-0.023226178740593</v>
      </c>
      <c r="V161" s="84">
        <f>P161/'2016'!P161-1</f>
        <v>0.193496590695419</v>
      </c>
      <c r="W161" s="85">
        <f>Q161/'2016'!Q161-1</f>
        <v>0.120659002937162</v>
      </c>
      <c r="X161" s="85">
        <f>R161/'2016'!R161-1</f>
        <v>0.0831977734502416</v>
      </c>
      <c r="Y161" s="85">
        <f>S161/'2016'!S161-1</f>
        <v>0.0964125016568871</v>
      </c>
      <c r="Z161" s="141"/>
      <c r="AA161" s="141"/>
      <c r="AB161" s="109"/>
      <c r="AC161" s="109"/>
      <c r="AD161" s="38">
        <f t="shared" si="32"/>
        <v>9437689.318</v>
      </c>
      <c r="AE161" s="38">
        <f t="shared" si="41"/>
        <v>130142.89</v>
      </c>
      <c r="AF161" s="38">
        <f t="shared" si="42"/>
        <v>120213</v>
      </c>
      <c r="AG161" s="38">
        <f t="shared" si="33"/>
        <v>64597.6079999997</v>
      </c>
    </row>
    <row r="162" ht="15" customHeight="1" spans="1:33">
      <c r="A162" s="106">
        <v>42892</v>
      </c>
      <c r="B162" s="21" t="s">
        <v>34</v>
      </c>
      <c r="C162" s="9">
        <v>58938</v>
      </c>
      <c r="D162" s="38">
        <f>27619+9031</f>
        <v>36650</v>
      </c>
      <c r="E162" s="38">
        <v>97273</v>
      </c>
      <c r="F162" s="13">
        <v>4858.1</v>
      </c>
      <c r="G162" s="38">
        <v>3119.1</v>
      </c>
      <c r="H162" s="25"/>
      <c r="I162" s="37"/>
      <c r="J162" s="9">
        <f t="shared" si="30"/>
        <v>60623</v>
      </c>
      <c r="K162" s="38">
        <v>199</v>
      </c>
      <c r="L162" s="38">
        <v>782</v>
      </c>
      <c r="M162" s="132">
        <f t="shared" si="34"/>
        <v>704</v>
      </c>
      <c r="N162" s="78">
        <f t="shared" si="45"/>
        <v>370196</v>
      </c>
      <c r="O162" s="79">
        <f t="shared" si="45"/>
        <v>199150</v>
      </c>
      <c r="P162" s="79">
        <f t="shared" si="45"/>
        <v>579670</v>
      </c>
      <c r="Q162" s="80">
        <f t="shared" si="46"/>
        <v>9181673.82</v>
      </c>
      <c r="R162" s="80">
        <f t="shared" si="46"/>
        <v>4164434</v>
      </c>
      <c r="S162" s="80">
        <f t="shared" si="46"/>
        <v>13662746.318</v>
      </c>
      <c r="T162" s="84">
        <f>N162/'2016'!N162-1</f>
        <v>0.34816746299965</v>
      </c>
      <c r="U162" s="84">
        <f>O162/'2016'!O162-1</f>
        <v>-0.00824182664774287</v>
      </c>
      <c r="V162" s="84">
        <f>P162/'2016'!P162-1</f>
        <v>0.186222166742724</v>
      </c>
      <c r="W162" s="85">
        <f>Q162/'2016'!Q162-1</f>
        <v>0.121344320015828</v>
      </c>
      <c r="X162" s="85">
        <f>R162/'2016'!R162-1</f>
        <v>0.0830270624522129</v>
      </c>
      <c r="Y162" s="85">
        <f>S162/'2016'!S162-1</f>
        <v>0.0967855405291176</v>
      </c>
      <c r="Z162" s="141"/>
      <c r="AA162" s="141"/>
      <c r="AB162" s="109"/>
      <c r="AC162" s="109"/>
      <c r="AD162" s="38">
        <f t="shared" si="32"/>
        <v>9498312.318</v>
      </c>
      <c r="AE162" s="38">
        <f t="shared" si="41"/>
        <v>130341.89</v>
      </c>
      <c r="AF162" s="38">
        <f t="shared" si="42"/>
        <v>120995</v>
      </c>
      <c r="AG162" s="38">
        <f t="shared" si="33"/>
        <v>65301.6079999997</v>
      </c>
    </row>
    <row r="163" ht="15" customHeight="1" spans="1:33">
      <c r="A163" s="106">
        <v>42893</v>
      </c>
      <c r="B163" s="21" t="s">
        <v>35</v>
      </c>
      <c r="C163" s="9">
        <v>60340</v>
      </c>
      <c r="D163" s="38">
        <f>26571+8979</f>
        <v>35550</v>
      </c>
      <c r="E163" s="38">
        <v>97515</v>
      </c>
      <c r="F163" s="13">
        <v>4907.7</v>
      </c>
      <c r="G163" s="38">
        <v>3260.4</v>
      </c>
      <c r="H163" s="25"/>
      <c r="I163" s="37"/>
      <c r="J163" s="9">
        <f t="shared" si="30"/>
        <v>61965</v>
      </c>
      <c r="K163" s="38">
        <v>276</v>
      </c>
      <c r="L163" s="38">
        <v>786</v>
      </c>
      <c r="M163" s="132">
        <f t="shared" si="34"/>
        <v>563</v>
      </c>
      <c r="N163" s="78">
        <f t="shared" si="45"/>
        <v>430536</v>
      </c>
      <c r="O163" s="79">
        <f t="shared" si="45"/>
        <v>234700</v>
      </c>
      <c r="P163" s="79">
        <f t="shared" si="45"/>
        <v>677185</v>
      </c>
      <c r="Q163" s="80">
        <f t="shared" si="46"/>
        <v>9242013.82</v>
      </c>
      <c r="R163" s="80">
        <f t="shared" si="46"/>
        <v>4199984</v>
      </c>
      <c r="S163" s="80">
        <f t="shared" si="46"/>
        <v>13760261.318</v>
      </c>
      <c r="T163" s="84">
        <f>N163/'2016'!N163-1</f>
        <v>0.329422081691637</v>
      </c>
      <c r="U163" s="84">
        <f>O163/'2016'!O163-1</f>
        <v>-0.00831544611016277</v>
      </c>
      <c r="V163" s="84">
        <f>P163/'2016'!P163-1</f>
        <v>0.173309561679817</v>
      </c>
      <c r="W163" s="85">
        <f>Q163/'2016'!Q163-1</f>
        <v>0.12196376385381</v>
      </c>
      <c r="X163" s="85">
        <f>R163/'2016'!R163-1</f>
        <v>0.0821791977053592</v>
      </c>
      <c r="Y163" s="85">
        <f>S163/'2016'!S163-1</f>
        <v>0.0968223299539199</v>
      </c>
      <c r="Z163" s="141">
        <f>(Z164-Z157)/7*6+Z157</f>
        <v>64.1814285714286</v>
      </c>
      <c r="AA163" s="141">
        <f>Q163/10000-Z163</f>
        <v>860.019953428572</v>
      </c>
      <c r="AB163" s="109"/>
      <c r="AC163" s="109"/>
      <c r="AD163" s="38">
        <f t="shared" si="32"/>
        <v>9560277.318</v>
      </c>
      <c r="AE163" s="38">
        <f t="shared" si="41"/>
        <v>130617.89</v>
      </c>
      <c r="AF163" s="38">
        <f t="shared" si="42"/>
        <v>121781</v>
      </c>
      <c r="AG163" s="38">
        <f t="shared" si="33"/>
        <v>65864.6079999997</v>
      </c>
    </row>
    <row r="164" ht="15" customHeight="1" spans="1:33">
      <c r="A164" s="106">
        <v>42894</v>
      </c>
      <c r="B164" s="15" t="s">
        <v>36</v>
      </c>
      <c r="C164" s="33">
        <v>59642</v>
      </c>
      <c r="D164" s="34">
        <f>29231+8722</f>
        <v>37953</v>
      </c>
      <c r="E164" s="34">
        <v>99403</v>
      </c>
      <c r="F164" s="124">
        <v>4959.9</v>
      </c>
      <c r="G164" s="34">
        <v>3308.7</v>
      </c>
      <c r="H164" s="20"/>
      <c r="I164" s="20"/>
      <c r="J164" s="33">
        <f t="shared" si="30"/>
        <v>61450</v>
      </c>
      <c r="K164" s="34">
        <v>448</v>
      </c>
      <c r="L164" s="34">
        <v>781</v>
      </c>
      <c r="M164" s="133">
        <f t="shared" si="34"/>
        <v>579</v>
      </c>
      <c r="N164" s="81">
        <f t="shared" si="45"/>
        <v>490178</v>
      </c>
      <c r="O164" s="82">
        <f t="shared" si="45"/>
        <v>272653</v>
      </c>
      <c r="P164" s="82">
        <f t="shared" si="45"/>
        <v>776588</v>
      </c>
      <c r="Q164" s="81">
        <f t="shared" si="46"/>
        <v>9301655.82</v>
      </c>
      <c r="R164" s="81">
        <f t="shared" si="46"/>
        <v>4237937</v>
      </c>
      <c r="S164" s="81">
        <f t="shared" si="46"/>
        <v>13859664.318</v>
      </c>
      <c r="T164" s="86">
        <f>N164/'2016'!N164-1</f>
        <v>0.311723621183334</v>
      </c>
      <c r="U164" s="86">
        <f>O164/'2016'!O164-1</f>
        <v>0.00340413943355111</v>
      </c>
      <c r="V164" s="86">
        <f>P164/'2016'!P164-1</f>
        <v>0.168592280490558</v>
      </c>
      <c r="W164" s="86">
        <f>Q164/'2016'!Q164-1</f>
        <v>0.122413321374318</v>
      </c>
      <c r="X164" s="86">
        <f>R164/'2016'!R164-1</f>
        <v>0.0821822102227647</v>
      </c>
      <c r="Y164" s="86">
        <f>S164/'2016'!S164-1</f>
        <v>0.0971033015060125</v>
      </c>
      <c r="Z164" s="143">
        <v>64.55</v>
      </c>
      <c r="AA164" s="143">
        <f>Q164/10000-Z164</f>
        <v>865.615582</v>
      </c>
      <c r="AB164" s="34">
        <v>4258.08</v>
      </c>
      <c r="AC164" s="34">
        <f>AA164*10000/AB164</f>
        <v>2032.8776866569</v>
      </c>
      <c r="AD164" s="34">
        <f t="shared" si="32"/>
        <v>9621727.318</v>
      </c>
      <c r="AE164" s="34">
        <f t="shared" si="41"/>
        <v>131065.89</v>
      </c>
      <c r="AF164" s="34">
        <f t="shared" si="42"/>
        <v>122562</v>
      </c>
      <c r="AG164" s="34">
        <f t="shared" si="33"/>
        <v>66443.6079999997</v>
      </c>
    </row>
    <row r="165" ht="15" customHeight="1" spans="1:33">
      <c r="A165" s="106">
        <v>42895</v>
      </c>
      <c r="B165" s="21" t="s">
        <v>37</v>
      </c>
      <c r="C165" s="9">
        <v>68815</v>
      </c>
      <c r="D165" s="38">
        <f>19978+8973</f>
        <v>28951</v>
      </c>
      <c r="E165" s="38">
        <v>99907</v>
      </c>
      <c r="F165" s="13">
        <v>5054.2</v>
      </c>
      <c r="G165" s="38">
        <v>3311.2</v>
      </c>
      <c r="H165" s="25"/>
      <c r="I165" s="37"/>
      <c r="J165" s="9">
        <f t="shared" si="30"/>
        <v>70956</v>
      </c>
      <c r="K165" s="38">
        <v>796</v>
      </c>
      <c r="L165" s="38">
        <v>782</v>
      </c>
      <c r="M165" s="132">
        <f t="shared" si="34"/>
        <v>563</v>
      </c>
      <c r="N165" s="78">
        <f t="shared" si="45"/>
        <v>558993</v>
      </c>
      <c r="O165" s="79">
        <f t="shared" si="45"/>
        <v>301604</v>
      </c>
      <c r="P165" s="79">
        <f t="shared" si="45"/>
        <v>876495</v>
      </c>
      <c r="Q165" s="80">
        <f t="shared" si="46"/>
        <v>9370470.82</v>
      </c>
      <c r="R165" s="80">
        <f t="shared" si="46"/>
        <v>4266888</v>
      </c>
      <c r="S165" s="80">
        <f t="shared" si="46"/>
        <v>13959571.318</v>
      </c>
      <c r="T165" s="84">
        <f>N165/'2016'!N165-1</f>
        <v>0.362091946012724</v>
      </c>
      <c r="U165" s="84">
        <f>O165/'2016'!O165-1</f>
        <v>0.0105069890239489</v>
      </c>
      <c r="V165" s="84">
        <f>P165/'2016'!P165-1</f>
        <v>0.201333055556317</v>
      </c>
      <c r="W165" s="85">
        <f>Q165/'2016'!Q165-1</f>
        <v>0.125731366658113</v>
      </c>
      <c r="X165" s="85">
        <f>R165/'2016'!R165-1</f>
        <v>0.0821856208832052</v>
      </c>
      <c r="Y165" s="85">
        <f>S165/'2016'!S165-1</f>
        <v>0.0993507581579292</v>
      </c>
      <c r="Z165" s="141"/>
      <c r="AA165" s="141"/>
      <c r="AB165" s="109"/>
      <c r="AC165" s="109"/>
      <c r="AD165" s="38">
        <f t="shared" si="32"/>
        <v>9692683.318</v>
      </c>
      <c r="AE165" s="38">
        <f t="shared" si="41"/>
        <v>131861.89</v>
      </c>
      <c r="AF165" s="38">
        <f t="shared" si="42"/>
        <v>123344</v>
      </c>
      <c r="AG165" s="38">
        <f t="shared" si="33"/>
        <v>67006.6079999997</v>
      </c>
    </row>
    <row r="166" ht="15" customHeight="1" spans="1:33">
      <c r="A166" s="106">
        <v>42896</v>
      </c>
      <c r="B166" s="21" t="s">
        <v>38</v>
      </c>
      <c r="C166" s="74">
        <v>68973</v>
      </c>
      <c r="D166" s="75">
        <f>19245+8669</f>
        <v>27914</v>
      </c>
      <c r="E166" s="75">
        <v>100237</v>
      </c>
      <c r="F166" s="125">
        <v>4985</v>
      </c>
      <c r="G166" s="75">
        <v>3240.1</v>
      </c>
      <c r="H166" s="25"/>
      <c r="I166" s="25"/>
      <c r="J166" s="74">
        <f t="shared" si="30"/>
        <v>72323</v>
      </c>
      <c r="K166" s="75">
        <v>1994</v>
      </c>
      <c r="L166" s="75">
        <v>780</v>
      </c>
      <c r="M166" s="134">
        <f t="shared" si="34"/>
        <v>576</v>
      </c>
      <c r="N166" s="78">
        <f t="shared" si="45"/>
        <v>627966</v>
      </c>
      <c r="O166" s="79">
        <f t="shared" si="45"/>
        <v>329518</v>
      </c>
      <c r="P166" s="79">
        <f t="shared" si="45"/>
        <v>976732</v>
      </c>
      <c r="Q166" s="80">
        <f t="shared" si="46"/>
        <v>9439443.82</v>
      </c>
      <c r="R166" s="80">
        <f t="shared" si="46"/>
        <v>4294802</v>
      </c>
      <c r="S166" s="80">
        <f t="shared" si="46"/>
        <v>14059808.318</v>
      </c>
      <c r="T166" s="84">
        <f>N166/'2016'!N166-1</f>
        <v>0.376855731472285</v>
      </c>
      <c r="U166" s="84">
        <f>O166/'2016'!O166-1</f>
        <v>0.0082275440673869</v>
      </c>
      <c r="V166" s="84">
        <f>P166/'2016'!P166-1</f>
        <v>0.21107501549907</v>
      </c>
      <c r="W166" s="85">
        <f>Q166/'2016'!Q166-1</f>
        <v>0.127826311683129</v>
      </c>
      <c r="X166" s="85">
        <f>R166/'2016'!R166-1</f>
        <v>0.0814861185675679</v>
      </c>
      <c r="Y166" s="85">
        <f>S166/'2016'!S166-1</f>
        <v>0.100579660979269</v>
      </c>
      <c r="Z166" s="144"/>
      <c r="AA166" s="144"/>
      <c r="AB166" s="109"/>
      <c r="AC166" s="109"/>
      <c r="AD166" s="38">
        <f t="shared" si="32"/>
        <v>9765006.318</v>
      </c>
      <c r="AE166" s="75">
        <f t="shared" si="41"/>
        <v>133855.89</v>
      </c>
      <c r="AF166" s="75">
        <f t="shared" si="42"/>
        <v>124124</v>
      </c>
      <c r="AG166" s="75">
        <f t="shared" si="33"/>
        <v>67582.6079999997</v>
      </c>
    </row>
    <row r="167" ht="15" customHeight="1" spans="1:33">
      <c r="A167" s="106">
        <v>42897</v>
      </c>
      <c r="B167" s="21" t="s">
        <v>1</v>
      </c>
      <c r="C167" s="9">
        <v>63023</v>
      </c>
      <c r="D167" s="38">
        <f>18761+8692</f>
        <v>27453</v>
      </c>
      <c r="E167" s="38">
        <v>92132</v>
      </c>
      <c r="F167" s="13">
        <v>4609.8</v>
      </c>
      <c r="G167" s="38">
        <v>3296.3</v>
      </c>
      <c r="H167" s="25"/>
      <c r="I167" s="37"/>
      <c r="J167" s="9">
        <f t="shared" si="30"/>
        <v>64679</v>
      </c>
      <c r="K167" s="38">
        <v>473</v>
      </c>
      <c r="L167" s="38">
        <v>781</v>
      </c>
      <c r="M167" s="132">
        <f t="shared" si="34"/>
        <v>402</v>
      </c>
      <c r="N167" s="78">
        <f t="shared" si="45"/>
        <v>690989</v>
      </c>
      <c r="O167" s="79">
        <f t="shared" si="45"/>
        <v>356971</v>
      </c>
      <c r="P167" s="79">
        <f t="shared" si="45"/>
        <v>1068864</v>
      </c>
      <c r="Q167" s="80">
        <f t="shared" si="46"/>
        <v>9502466.82</v>
      </c>
      <c r="R167" s="80">
        <f t="shared" si="46"/>
        <v>4322255</v>
      </c>
      <c r="S167" s="80">
        <f t="shared" si="46"/>
        <v>14151940.318</v>
      </c>
      <c r="T167" s="84">
        <f>N167/'2016'!N167-1</f>
        <v>0.354960095691903</v>
      </c>
      <c r="U167" s="84">
        <f>O167/'2016'!O167-1</f>
        <v>-0.000434020485766906</v>
      </c>
      <c r="V167" s="84">
        <f>P167/'2016'!P167-1</f>
        <v>0.195809993052456</v>
      </c>
      <c r="W167" s="85">
        <f>Q167/'2016'!Q167-1</f>
        <v>0.12809369959398</v>
      </c>
      <c r="X167" s="85">
        <f>R167/'2016'!R167-1</f>
        <v>0.0801584205526875</v>
      </c>
      <c r="Y167" s="85">
        <f>S167/'2016'!S167-1</f>
        <v>0.100269161087097</v>
      </c>
      <c r="Z167" s="141"/>
      <c r="AA167" s="141"/>
      <c r="AB167" s="109"/>
      <c r="AC167" s="109"/>
      <c r="AD167" s="38">
        <f t="shared" si="32"/>
        <v>9829685.318</v>
      </c>
      <c r="AE167" s="38">
        <f t="shared" si="41"/>
        <v>134328.89</v>
      </c>
      <c r="AF167" s="38">
        <f t="shared" si="42"/>
        <v>124905</v>
      </c>
      <c r="AG167" s="38">
        <f t="shared" si="33"/>
        <v>67984.6079999997</v>
      </c>
    </row>
    <row r="168" ht="15" customHeight="1" spans="1:33">
      <c r="A168" s="106">
        <v>42898</v>
      </c>
      <c r="B168" s="21" t="s">
        <v>39</v>
      </c>
      <c r="C168" s="9">
        <v>60753</v>
      </c>
      <c r="D168" s="38">
        <f>19783+8966</f>
        <v>28749</v>
      </c>
      <c r="E168" s="38">
        <v>91700</v>
      </c>
      <c r="F168" s="13">
        <v>4735.9</v>
      </c>
      <c r="G168" s="38">
        <v>2983.1</v>
      </c>
      <c r="H168" s="25"/>
      <c r="I168" s="37"/>
      <c r="J168" s="9">
        <f t="shared" si="30"/>
        <v>62951</v>
      </c>
      <c r="K168" s="38">
        <v>1132</v>
      </c>
      <c r="L168" s="38">
        <v>781</v>
      </c>
      <c r="M168" s="132">
        <f t="shared" si="34"/>
        <v>285</v>
      </c>
      <c r="N168" s="78">
        <f t="shared" si="45"/>
        <v>751742</v>
      </c>
      <c r="O168" s="79">
        <f t="shared" si="45"/>
        <v>385720</v>
      </c>
      <c r="P168" s="79">
        <f t="shared" si="45"/>
        <v>1160564</v>
      </c>
      <c r="Q168" s="80">
        <f t="shared" si="46"/>
        <v>9563219.82</v>
      </c>
      <c r="R168" s="80">
        <f t="shared" si="46"/>
        <v>4351004</v>
      </c>
      <c r="S168" s="80">
        <f t="shared" si="46"/>
        <v>14243640.318</v>
      </c>
      <c r="T168" s="84">
        <f>N168/'2016'!N168-1</f>
        <v>0.334712299191796</v>
      </c>
      <c r="U168" s="84">
        <f>O168/'2016'!O168-1</f>
        <v>-0.00636542320661737</v>
      </c>
      <c r="V168" s="84">
        <f>P168/'2016'!P168-1</f>
        <v>0.183286653609259</v>
      </c>
      <c r="W168" s="85">
        <f>Q168/'2016'!Q168-1</f>
        <v>0.128173624088637</v>
      </c>
      <c r="X168" s="85">
        <f>R168/'2016'!R168-1</f>
        <v>0.0789665934791892</v>
      </c>
      <c r="Y168" s="85">
        <f>S168/'2016'!S168-1</f>
        <v>0.0999621921308089</v>
      </c>
      <c r="Z168" s="141"/>
      <c r="AA168" s="141"/>
      <c r="AB168" s="109"/>
      <c r="AC168" s="109"/>
      <c r="AD168" s="38">
        <f t="shared" si="32"/>
        <v>9892636.318</v>
      </c>
      <c r="AE168" s="38">
        <f t="shared" si="41"/>
        <v>135460.89</v>
      </c>
      <c r="AF168" s="38">
        <f t="shared" si="42"/>
        <v>125686</v>
      </c>
      <c r="AG168" s="38">
        <f t="shared" si="33"/>
        <v>68269.6079999997</v>
      </c>
    </row>
    <row r="169" ht="15" customHeight="1" spans="1:33">
      <c r="A169" s="106">
        <v>42899</v>
      </c>
      <c r="B169" s="21" t="s">
        <v>34</v>
      </c>
      <c r="C169" s="9">
        <v>51992</v>
      </c>
      <c r="D169" s="38">
        <f>27470+9493</f>
        <v>36963</v>
      </c>
      <c r="E169" s="38">
        <v>91315</v>
      </c>
      <c r="F169" s="13">
        <v>4705.5</v>
      </c>
      <c r="G169" s="38">
        <v>3016.6</v>
      </c>
      <c r="H169" s="25"/>
      <c r="I169" s="37"/>
      <c r="J169" s="9">
        <f t="shared" si="30"/>
        <v>54352</v>
      </c>
      <c r="K169" s="38">
        <v>1324</v>
      </c>
      <c r="L169" s="38">
        <v>781</v>
      </c>
      <c r="M169" s="132">
        <f t="shared" si="34"/>
        <v>255</v>
      </c>
      <c r="N169" s="78">
        <f t="shared" si="45"/>
        <v>803734</v>
      </c>
      <c r="O169" s="79">
        <f t="shared" si="45"/>
        <v>422683</v>
      </c>
      <c r="P169" s="79">
        <f t="shared" si="45"/>
        <v>1251879</v>
      </c>
      <c r="Q169" s="80">
        <f t="shared" si="46"/>
        <v>9615211.82</v>
      </c>
      <c r="R169" s="80">
        <f t="shared" si="46"/>
        <v>4387967</v>
      </c>
      <c r="S169" s="80">
        <f t="shared" si="46"/>
        <v>14334955.318</v>
      </c>
      <c r="T169" s="84">
        <f>N169/'2016'!N169-1</f>
        <v>0.306597738707763</v>
      </c>
      <c r="U169" s="84">
        <f>O169/'2016'!O169-1</f>
        <v>0.003852173438053</v>
      </c>
      <c r="V169" s="84">
        <f>P169/'2016'!P169-1</f>
        <v>0.171916774633226</v>
      </c>
      <c r="W169" s="85">
        <f>Q169/'2016'!Q169-1</f>
        <v>0.127402971025385</v>
      </c>
      <c r="X169" s="85">
        <f>R169/'2016'!R169-1</f>
        <v>0.0793349102039731</v>
      </c>
      <c r="Y169" s="85">
        <f>S169/'2016'!S169-1</f>
        <v>0.0995893818992066</v>
      </c>
      <c r="Z169" s="141"/>
      <c r="AA169" s="141"/>
      <c r="AB169" s="109"/>
      <c r="AC169" s="109"/>
      <c r="AD169" s="38">
        <f t="shared" si="32"/>
        <v>9946988.318</v>
      </c>
      <c r="AE169" s="38">
        <f t="shared" si="41"/>
        <v>136784.89</v>
      </c>
      <c r="AF169" s="38">
        <f t="shared" si="42"/>
        <v>126467</v>
      </c>
      <c r="AG169" s="38">
        <f t="shared" si="33"/>
        <v>68524.6079999997</v>
      </c>
    </row>
    <row r="170" ht="15" customHeight="1" spans="1:33">
      <c r="A170" s="106">
        <v>42900</v>
      </c>
      <c r="B170" s="21" t="s">
        <v>35</v>
      </c>
      <c r="C170" s="9">
        <v>50311</v>
      </c>
      <c r="D170" s="38">
        <f>27086+9586</f>
        <v>36672</v>
      </c>
      <c r="E170" s="38">
        <v>89410</v>
      </c>
      <c r="F170" s="13">
        <v>4551.1</v>
      </c>
      <c r="G170" s="38">
        <v>2921.5</v>
      </c>
      <c r="H170" s="25"/>
      <c r="I170" s="37"/>
      <c r="J170" s="9">
        <f t="shared" si="30"/>
        <v>52738</v>
      </c>
      <c r="K170" s="38">
        <v>1211</v>
      </c>
      <c r="L170" s="38">
        <v>784</v>
      </c>
      <c r="M170" s="132">
        <f t="shared" si="34"/>
        <v>432</v>
      </c>
      <c r="N170" s="78">
        <f t="shared" si="45"/>
        <v>854045</v>
      </c>
      <c r="O170" s="79">
        <f t="shared" si="45"/>
        <v>459355</v>
      </c>
      <c r="P170" s="79">
        <f t="shared" si="45"/>
        <v>1341289</v>
      </c>
      <c r="Q170" s="80">
        <f t="shared" si="46"/>
        <v>9665522.82</v>
      </c>
      <c r="R170" s="80">
        <f t="shared" si="46"/>
        <v>4424639</v>
      </c>
      <c r="S170" s="80">
        <f t="shared" si="46"/>
        <v>14424365.318</v>
      </c>
      <c r="T170" s="84">
        <f>N170/'2016'!N170-1</f>
        <v>0.273327578315211</v>
      </c>
      <c r="U170" s="84">
        <f>O170/'2016'!O170-1</f>
        <v>0.0106264781915186</v>
      </c>
      <c r="V170" s="84">
        <f>P170/'2016'!P170-1</f>
        <v>0.15623577645063</v>
      </c>
      <c r="W170" s="85">
        <f>Q170/'2016'!Q170-1</f>
        <v>0.125963753034346</v>
      </c>
      <c r="X170" s="85">
        <f>R170/'2016'!R170-1</f>
        <v>0.0794698577667179</v>
      </c>
      <c r="Y170" s="85">
        <f>S170/'2016'!S170-1</f>
        <v>0.0987096215397694</v>
      </c>
      <c r="Z170" s="141">
        <f>(Z171-Z164)/7*6+Z164</f>
        <v>66.8042857142857</v>
      </c>
      <c r="AA170" s="141">
        <f>Q170/10000-Z170</f>
        <v>899.747996285714</v>
      </c>
      <c r="AB170" s="109"/>
      <c r="AC170" s="109"/>
      <c r="AD170" s="38">
        <f t="shared" si="32"/>
        <v>9999726.318</v>
      </c>
      <c r="AE170" s="38">
        <f t="shared" si="41"/>
        <v>137995.89</v>
      </c>
      <c r="AF170" s="38">
        <f t="shared" si="42"/>
        <v>127251</v>
      </c>
      <c r="AG170" s="38">
        <f t="shared" si="33"/>
        <v>68956.6079999997</v>
      </c>
    </row>
    <row r="171" ht="15" customHeight="1" spans="1:33">
      <c r="A171" s="106">
        <v>42901</v>
      </c>
      <c r="B171" s="15" t="s">
        <v>36</v>
      </c>
      <c r="C171" s="33">
        <v>50580</v>
      </c>
      <c r="D171" s="34">
        <f>26126+9470</f>
        <v>35596</v>
      </c>
      <c r="E171" s="34">
        <v>89248</v>
      </c>
      <c r="F171" s="124">
        <v>4517.2</v>
      </c>
      <c r="G171" s="34">
        <v>2944.8</v>
      </c>
      <c r="H171" s="20"/>
      <c r="I171" s="20"/>
      <c r="J171" s="33">
        <f t="shared" si="30"/>
        <v>53652</v>
      </c>
      <c r="K171" s="34">
        <v>1815</v>
      </c>
      <c r="L171" s="34">
        <v>782</v>
      </c>
      <c r="M171" s="133">
        <f t="shared" si="34"/>
        <v>475</v>
      </c>
      <c r="N171" s="81">
        <f t="shared" si="45"/>
        <v>904625</v>
      </c>
      <c r="O171" s="82">
        <f t="shared" si="45"/>
        <v>494951</v>
      </c>
      <c r="P171" s="82">
        <f t="shared" si="45"/>
        <v>1430537</v>
      </c>
      <c r="Q171" s="81">
        <f t="shared" si="46"/>
        <v>9716102.82</v>
      </c>
      <c r="R171" s="81">
        <f t="shared" si="46"/>
        <v>4460235</v>
      </c>
      <c r="S171" s="81">
        <f t="shared" si="46"/>
        <v>14513613.318</v>
      </c>
      <c r="T171" s="86">
        <f>N171/'2016'!N171-1</f>
        <v>0.244923629087416</v>
      </c>
      <c r="U171" s="86">
        <f>O171/'2016'!O171-1</f>
        <v>0.0133094482546832</v>
      </c>
      <c r="V171" s="86">
        <f>P171/'2016'!P171-1</f>
        <v>0.141804363407653</v>
      </c>
      <c r="W171" s="86">
        <f>Q171/'2016'!Q171-1</f>
        <v>0.124528893813698</v>
      </c>
      <c r="X171" s="86">
        <f>R171/'2016'!R171-1</f>
        <v>0.0792218397827151</v>
      </c>
      <c r="Y171" s="86">
        <f>S171/'2016'!S171-1</f>
        <v>0.0977459619283632</v>
      </c>
      <c r="Z171" s="143">
        <v>67.18</v>
      </c>
      <c r="AA171" s="143">
        <f>Q171/10000-Z171</f>
        <v>904.430282</v>
      </c>
      <c r="AB171" s="34">
        <v>4258.08</v>
      </c>
      <c r="AC171" s="34">
        <f>AA171*10000/AB171</f>
        <v>2124.03309003119</v>
      </c>
      <c r="AD171" s="34">
        <f t="shared" si="32"/>
        <v>10053378.318</v>
      </c>
      <c r="AE171" s="34">
        <f t="shared" si="41"/>
        <v>139810.89</v>
      </c>
      <c r="AF171" s="34">
        <f t="shared" si="42"/>
        <v>128033</v>
      </c>
      <c r="AG171" s="34">
        <f t="shared" si="33"/>
        <v>69431.6079999997</v>
      </c>
    </row>
    <row r="172" ht="15" customHeight="1" spans="1:33">
      <c r="A172" s="106">
        <v>42902</v>
      </c>
      <c r="B172" s="21" t="s">
        <v>37</v>
      </c>
      <c r="C172" s="9">
        <v>50186</v>
      </c>
      <c r="D172" s="38">
        <f>26427+10039</f>
        <v>36466</v>
      </c>
      <c r="E172" s="38">
        <v>89202</v>
      </c>
      <c r="F172" s="13">
        <v>4538.3</v>
      </c>
      <c r="G172" s="38">
        <v>2932.9</v>
      </c>
      <c r="H172" s="25"/>
      <c r="I172" s="37"/>
      <c r="J172" s="9">
        <f t="shared" si="30"/>
        <v>52736</v>
      </c>
      <c r="K172" s="38">
        <v>1359</v>
      </c>
      <c r="L172" s="38">
        <v>780</v>
      </c>
      <c r="M172" s="132">
        <f t="shared" si="34"/>
        <v>411</v>
      </c>
      <c r="N172" s="78">
        <f t="shared" si="45"/>
        <v>954811</v>
      </c>
      <c r="O172" s="79">
        <f t="shared" si="45"/>
        <v>531417</v>
      </c>
      <c r="P172" s="79">
        <f t="shared" si="45"/>
        <v>1519739</v>
      </c>
      <c r="Q172" s="80">
        <f t="shared" si="46"/>
        <v>9766288.82</v>
      </c>
      <c r="R172" s="80">
        <f t="shared" si="46"/>
        <v>4496701</v>
      </c>
      <c r="S172" s="80">
        <f t="shared" si="46"/>
        <v>14602815.318</v>
      </c>
      <c r="T172" s="84">
        <f>N172/'2016'!N172-1</f>
        <v>0.229304964027665</v>
      </c>
      <c r="U172" s="84">
        <f>O172/'2016'!O172-1</f>
        <v>0.0172295641787388</v>
      </c>
      <c r="V172" s="84">
        <f>P172/'2016'!P172-1</f>
        <v>0.135340940925985</v>
      </c>
      <c r="W172" s="85">
        <f>Q172/'2016'!Q172-1</f>
        <v>0.123826431832323</v>
      </c>
      <c r="X172" s="85">
        <f>R172/'2016'!R172-1</f>
        <v>0.0791760373870443</v>
      </c>
      <c r="Y172" s="85">
        <f>S172/'2016'!S172-1</f>
        <v>0.0973795433932565</v>
      </c>
      <c r="Z172" s="141"/>
      <c r="AA172" s="141"/>
      <c r="AB172" s="109"/>
      <c r="AC172" s="109"/>
      <c r="AD172" s="38">
        <f t="shared" si="32"/>
        <v>10106114.318</v>
      </c>
      <c r="AE172" s="38">
        <f t="shared" si="41"/>
        <v>141169.89</v>
      </c>
      <c r="AF172" s="38">
        <f t="shared" si="42"/>
        <v>128813</v>
      </c>
      <c r="AG172" s="38">
        <f t="shared" si="33"/>
        <v>69842.6079999997</v>
      </c>
    </row>
    <row r="173" ht="15" customHeight="1" spans="1:33">
      <c r="A173" s="106">
        <v>42903</v>
      </c>
      <c r="B173" s="21" t="s">
        <v>38</v>
      </c>
      <c r="C173" s="74">
        <v>47961</v>
      </c>
      <c r="D173" s="75">
        <f>27191+10101</f>
        <v>37292</v>
      </c>
      <c r="E173" s="75">
        <v>88523</v>
      </c>
      <c r="F173" s="125">
        <v>4481.4</v>
      </c>
      <c r="G173" s="75">
        <v>2901.8</v>
      </c>
      <c r="H173" s="25"/>
      <c r="I173" s="25"/>
      <c r="J173" s="74">
        <f t="shared" si="30"/>
        <v>51231</v>
      </c>
      <c r="K173" s="75">
        <v>1842</v>
      </c>
      <c r="L173" s="75">
        <v>782</v>
      </c>
      <c r="M173" s="134">
        <f t="shared" si="34"/>
        <v>646</v>
      </c>
      <c r="N173" s="78">
        <f t="shared" si="45"/>
        <v>1002772</v>
      </c>
      <c r="O173" s="79">
        <f t="shared" si="45"/>
        <v>568709</v>
      </c>
      <c r="P173" s="79">
        <f t="shared" si="45"/>
        <v>1608262</v>
      </c>
      <c r="Q173" s="80">
        <f t="shared" si="46"/>
        <v>9814249.82</v>
      </c>
      <c r="R173" s="80">
        <f t="shared" si="46"/>
        <v>4533993</v>
      </c>
      <c r="S173" s="80">
        <f t="shared" si="46"/>
        <v>14691338.318</v>
      </c>
      <c r="T173" s="84">
        <f>N173/'2016'!N173-1</f>
        <v>0.212417103441605</v>
      </c>
      <c r="U173" s="84">
        <f>O173/'2016'!O173-1</f>
        <v>0.0212287232418784</v>
      </c>
      <c r="V173" s="84">
        <f>P173/'2016'!P173-1</f>
        <v>0.128268411175614</v>
      </c>
      <c r="W173" s="85">
        <f>Q173/'2016'!Q173-1</f>
        <v>0.12283633778414</v>
      </c>
      <c r="X173" s="85">
        <f>R173/'2016'!R173-1</f>
        <v>0.0791978695925177</v>
      </c>
      <c r="Y173" s="85">
        <f>S173/'2016'!S173-1</f>
        <v>0.0968730109228595</v>
      </c>
      <c r="Z173" s="144"/>
      <c r="AA173" s="144"/>
      <c r="AB173" s="109"/>
      <c r="AC173" s="109"/>
      <c r="AD173" s="38">
        <f t="shared" si="32"/>
        <v>10157345.318</v>
      </c>
      <c r="AE173" s="75">
        <f t="shared" si="41"/>
        <v>143011.89</v>
      </c>
      <c r="AF173" s="75">
        <f t="shared" si="42"/>
        <v>129595</v>
      </c>
      <c r="AG173" s="75">
        <f t="shared" si="33"/>
        <v>70488.6079999997</v>
      </c>
    </row>
    <row r="174" ht="15" customHeight="1" spans="1:33">
      <c r="A174" s="106">
        <v>42904</v>
      </c>
      <c r="B174" s="21" t="s">
        <v>1</v>
      </c>
      <c r="C174" s="9">
        <v>44585</v>
      </c>
      <c r="D174" s="38">
        <f>26934+10091</f>
        <v>37025</v>
      </c>
      <c r="E174" s="38">
        <v>84656</v>
      </c>
      <c r="F174" s="13">
        <v>4152.3</v>
      </c>
      <c r="G174" s="38">
        <v>2918.8</v>
      </c>
      <c r="H174" s="25"/>
      <c r="I174" s="37"/>
      <c r="J174" s="9">
        <f t="shared" si="30"/>
        <v>47631</v>
      </c>
      <c r="K174" s="38">
        <v>1649</v>
      </c>
      <c r="L174" s="38">
        <v>780</v>
      </c>
      <c r="M174" s="132">
        <f t="shared" si="34"/>
        <v>617</v>
      </c>
      <c r="N174" s="78">
        <f t="shared" ref="N174:P175" si="47">N173+C174</f>
        <v>1047357</v>
      </c>
      <c r="O174" s="79">
        <f t="shared" si="47"/>
        <v>605734</v>
      </c>
      <c r="P174" s="79">
        <f t="shared" si="47"/>
        <v>1692918</v>
      </c>
      <c r="Q174" s="80">
        <f t="shared" si="46"/>
        <v>9858834.82</v>
      </c>
      <c r="R174" s="80">
        <f t="shared" si="46"/>
        <v>4571018</v>
      </c>
      <c r="S174" s="80">
        <f t="shared" si="46"/>
        <v>14775994.318</v>
      </c>
      <c r="T174" s="84">
        <f>N174/'2016'!N174-1</f>
        <v>0.185895708452883</v>
      </c>
      <c r="U174" s="84">
        <f>O174/'2016'!O174-1</f>
        <v>0.0349279247417096</v>
      </c>
      <c r="V174" s="84">
        <f>P174/'2016'!P174-1</f>
        <v>0.119680680439031</v>
      </c>
      <c r="W174" s="85">
        <f>Q174/'2016'!Q174-1</f>
        <v>0.120744837740507</v>
      </c>
      <c r="X174" s="85">
        <f>R174/'2016'!R174-1</f>
        <v>0.0807042447323263</v>
      </c>
      <c r="Y174" s="85">
        <f>S174/'2016'!S174-1</f>
        <v>0.096111356381205</v>
      </c>
      <c r="Z174" s="141"/>
      <c r="AA174" s="141"/>
      <c r="AB174" s="109"/>
      <c r="AC174" s="109"/>
      <c r="AD174" s="38">
        <f t="shared" si="32"/>
        <v>10204976.318</v>
      </c>
      <c r="AE174" s="38">
        <f t="shared" si="41"/>
        <v>144660.89</v>
      </c>
      <c r="AF174" s="38">
        <f t="shared" si="42"/>
        <v>130375</v>
      </c>
      <c r="AG174" s="38">
        <f t="shared" si="33"/>
        <v>71105.6079999997</v>
      </c>
    </row>
    <row r="175" ht="15" customHeight="1" spans="1:33">
      <c r="A175" s="106">
        <v>42905</v>
      </c>
      <c r="B175" s="21" t="s">
        <v>39</v>
      </c>
      <c r="C175" s="9">
        <v>51147</v>
      </c>
      <c r="D175" s="38">
        <f>26090+10014</f>
        <v>36104</v>
      </c>
      <c r="E175" s="38">
        <v>90903</v>
      </c>
      <c r="F175" s="13">
        <v>4761.1</v>
      </c>
      <c r="G175" s="38">
        <v>2860.4</v>
      </c>
      <c r="H175" s="25"/>
      <c r="I175" s="37"/>
      <c r="J175" s="9">
        <f t="shared" si="30"/>
        <v>54799</v>
      </c>
      <c r="K175" s="38">
        <v>2648</v>
      </c>
      <c r="L175" s="38">
        <v>780</v>
      </c>
      <c r="M175" s="132">
        <f t="shared" si="34"/>
        <v>224</v>
      </c>
      <c r="N175" s="78">
        <f t="shared" si="47"/>
        <v>1098504</v>
      </c>
      <c r="O175" s="79">
        <f t="shared" si="47"/>
        <v>641838</v>
      </c>
      <c r="P175" s="79">
        <f t="shared" si="47"/>
        <v>1783821</v>
      </c>
      <c r="Q175" s="80">
        <f t="shared" si="46"/>
        <v>9909981.82</v>
      </c>
      <c r="R175" s="80">
        <f t="shared" si="46"/>
        <v>4607122</v>
      </c>
      <c r="S175" s="80">
        <f t="shared" si="46"/>
        <v>14866897.318</v>
      </c>
      <c r="T175" s="84">
        <f>N175/'2016'!N175-1</f>
        <v>0.173721972615035</v>
      </c>
      <c r="U175" s="84">
        <f>O175/'2016'!O175-1</f>
        <v>0.0460662382471198</v>
      </c>
      <c r="V175" s="84">
        <f>P175/'2016'!P175-1</f>
        <v>0.118183271327694</v>
      </c>
      <c r="W175" s="85">
        <f>Q175/'2016'!Q175-1</f>
        <v>0.119845601145748</v>
      </c>
      <c r="X175" s="85">
        <f>R175/'2016'!R175-1</f>
        <v>0.0820052288097459</v>
      </c>
      <c r="Y175" s="85">
        <f>S175/'2016'!S175-1</f>
        <v>0.09608002287282</v>
      </c>
      <c r="Z175" s="141"/>
      <c r="AA175" s="141"/>
      <c r="AB175" s="109"/>
      <c r="AC175" s="109"/>
      <c r="AD175" s="38">
        <f t="shared" si="32"/>
        <v>10259775.318</v>
      </c>
      <c r="AE175" s="38">
        <f t="shared" si="41"/>
        <v>147308.89</v>
      </c>
      <c r="AF175" s="38">
        <f t="shared" si="42"/>
        <v>131155</v>
      </c>
      <c r="AG175" s="38">
        <f t="shared" si="33"/>
        <v>71329.6079999997</v>
      </c>
    </row>
    <row r="176" ht="15" customHeight="1" spans="1:33">
      <c r="A176" s="106">
        <v>42906</v>
      </c>
      <c r="B176" s="21" t="s">
        <v>34</v>
      </c>
      <c r="C176" s="9">
        <v>50762</v>
      </c>
      <c r="D176" s="128">
        <f>28691+10296</f>
        <v>38987</v>
      </c>
      <c r="E176" s="38">
        <v>94579</v>
      </c>
      <c r="F176" s="13">
        <v>4771.9</v>
      </c>
      <c r="G176" s="38">
        <v>3065.4</v>
      </c>
      <c r="H176" s="25"/>
      <c r="I176" s="37"/>
      <c r="J176" s="9">
        <f t="shared" si="30"/>
        <v>55592</v>
      </c>
      <c r="K176" s="38">
        <v>3671</v>
      </c>
      <c r="L176" s="38">
        <v>780</v>
      </c>
      <c r="M176" s="132">
        <f t="shared" si="34"/>
        <v>379</v>
      </c>
      <c r="N176" s="78">
        <f t="shared" ref="N176" si="48">N175+C176</f>
        <v>1149266</v>
      </c>
      <c r="O176" s="79">
        <f t="shared" ref="O176" si="49">O175+D176</f>
        <v>680825</v>
      </c>
      <c r="P176" s="79">
        <f t="shared" ref="P176" si="50">P175+E176</f>
        <v>1878400</v>
      </c>
      <c r="Q176" s="80">
        <f t="shared" ref="Q176" si="51">Q$156+N176</f>
        <v>9960743.82</v>
      </c>
      <c r="R176" s="80">
        <f t="shared" ref="R176" si="52">R$156+O176</f>
        <v>4646109</v>
      </c>
      <c r="S176" s="80">
        <f t="shared" ref="S176" si="53">S$156+P176</f>
        <v>14961476.318</v>
      </c>
      <c r="T176" s="84">
        <f>N176/'2016'!N176-1</f>
        <v>0.161366275221533</v>
      </c>
      <c r="U176" s="84">
        <f>O176/'2016'!O176-1</f>
        <v>0.0585015166426461</v>
      </c>
      <c r="V176" s="84">
        <f>P176/'2016'!P176-1</f>
        <v>0.117712687621796</v>
      </c>
      <c r="W176" s="85">
        <f>Q176/'2016'!Q176-1</f>
        <v>0.118797016853935</v>
      </c>
      <c r="X176" s="85">
        <f>R176/'2016'!R176-1</f>
        <v>0.0836223858164948</v>
      </c>
      <c r="Y176" s="85">
        <f>S176/'2016'!S176-1</f>
        <v>0.0961601998741739</v>
      </c>
      <c r="Z176" s="141"/>
      <c r="AA176" s="141"/>
      <c r="AB176" s="109"/>
      <c r="AC176" s="109"/>
      <c r="AD176" s="38">
        <f t="shared" si="32"/>
        <v>10315367.318</v>
      </c>
      <c r="AE176" s="38">
        <f t="shared" si="41"/>
        <v>150979.89</v>
      </c>
      <c r="AF176" s="38">
        <f t="shared" si="42"/>
        <v>131935</v>
      </c>
      <c r="AG176" s="38">
        <f t="shared" si="33"/>
        <v>71708.6079999997</v>
      </c>
    </row>
    <row r="177" ht="15" customHeight="1" spans="1:33">
      <c r="A177" s="106">
        <v>42907</v>
      </c>
      <c r="B177" s="21" t="s">
        <v>35</v>
      </c>
      <c r="C177" s="9">
        <v>49810</v>
      </c>
      <c r="D177" s="38">
        <f>30603+9987</f>
        <v>40590</v>
      </c>
      <c r="E177" s="38">
        <v>94956</v>
      </c>
      <c r="F177" s="13">
        <v>4962</v>
      </c>
      <c r="G177" s="38">
        <v>3121.8</v>
      </c>
      <c r="H177" s="25"/>
      <c r="I177" s="37"/>
      <c r="J177" s="9">
        <f t="shared" si="30"/>
        <v>54366</v>
      </c>
      <c r="K177" s="38">
        <v>3523</v>
      </c>
      <c r="L177" s="38">
        <v>778</v>
      </c>
      <c r="M177" s="132">
        <f t="shared" si="34"/>
        <v>255</v>
      </c>
      <c r="N177" s="78">
        <f t="shared" ref="N177:P185" si="54">N176+C177</f>
        <v>1199076</v>
      </c>
      <c r="O177" s="79">
        <f t="shared" si="54"/>
        <v>721415</v>
      </c>
      <c r="P177" s="79">
        <f t="shared" si="54"/>
        <v>1973356</v>
      </c>
      <c r="Q177" s="80">
        <f t="shared" si="46"/>
        <v>10010553.82</v>
      </c>
      <c r="R177" s="80">
        <f t="shared" si="46"/>
        <v>4686699</v>
      </c>
      <c r="S177" s="80">
        <f t="shared" si="46"/>
        <v>15056432.318</v>
      </c>
      <c r="T177" s="84">
        <f>N177/'2016'!N177-1</f>
        <v>0.136379661325357</v>
      </c>
      <c r="U177" s="84">
        <f>O177/'2016'!O177-1</f>
        <v>0.0720792614784698</v>
      </c>
      <c r="V177" s="84">
        <f>P177/'2016'!P177-1</f>
        <v>0.10880948380829</v>
      </c>
      <c r="W177" s="85">
        <f>Q177/'2016'!Q177-1</f>
        <v>0.116168644755217</v>
      </c>
      <c r="X177" s="85">
        <f>R177/'2016'!R177-1</f>
        <v>0.0855657731348414</v>
      </c>
      <c r="Y177" s="85">
        <f>S177/'2016'!S177-1</f>
        <v>0.0951630777999521</v>
      </c>
      <c r="Z177" s="141">
        <f>(Z178-Z171)/7*6+Z171</f>
        <v>69.3485714285714</v>
      </c>
      <c r="AA177" s="141">
        <f>Q177/10000-Z177</f>
        <v>931.706810571429</v>
      </c>
      <c r="AB177" s="109"/>
      <c r="AC177" s="109"/>
      <c r="AD177" s="38">
        <f t="shared" si="32"/>
        <v>10369733.318</v>
      </c>
      <c r="AE177" s="38">
        <f t="shared" si="41"/>
        <v>154502.89</v>
      </c>
      <c r="AF177" s="38">
        <f t="shared" si="42"/>
        <v>132713</v>
      </c>
      <c r="AG177" s="38">
        <f t="shared" si="33"/>
        <v>71963.6079999997</v>
      </c>
    </row>
    <row r="178" ht="15" customHeight="1" spans="1:33">
      <c r="A178" s="106">
        <v>42908</v>
      </c>
      <c r="B178" s="15" t="s">
        <v>36</v>
      </c>
      <c r="C178" s="33">
        <v>49899</v>
      </c>
      <c r="D178" s="34">
        <f>30469+9916</f>
        <v>40385</v>
      </c>
      <c r="E178" s="34">
        <v>94306</v>
      </c>
      <c r="F178" s="124">
        <v>4793.5</v>
      </c>
      <c r="G178" s="34">
        <v>2989.5</v>
      </c>
      <c r="H178" s="20"/>
      <c r="I178" s="20"/>
      <c r="J178" s="33">
        <f t="shared" si="30"/>
        <v>53921</v>
      </c>
      <c r="K178" s="34">
        <v>2879</v>
      </c>
      <c r="L178" s="34">
        <v>781</v>
      </c>
      <c r="M178" s="133">
        <f t="shared" si="34"/>
        <v>362</v>
      </c>
      <c r="N178" s="81">
        <f t="shared" si="54"/>
        <v>1248975</v>
      </c>
      <c r="O178" s="82">
        <f t="shared" si="54"/>
        <v>761800</v>
      </c>
      <c r="P178" s="82">
        <f t="shared" si="54"/>
        <v>2067662</v>
      </c>
      <c r="Q178" s="81">
        <f t="shared" si="46"/>
        <v>10060452.82</v>
      </c>
      <c r="R178" s="81">
        <f t="shared" si="46"/>
        <v>4727084</v>
      </c>
      <c r="S178" s="81">
        <f t="shared" si="46"/>
        <v>15150738.318</v>
      </c>
      <c r="T178" s="86">
        <f>N178/'2016'!N178-1</f>
        <v>0.111627824183062</v>
      </c>
      <c r="U178" s="86">
        <f>O178/'2016'!O178-1</f>
        <v>0.0788717873186537</v>
      </c>
      <c r="V178" s="86">
        <f>P178/'2016'!P178-1</f>
        <v>0.0971229243848368</v>
      </c>
      <c r="W178" s="86">
        <f>Q178/'2016'!Q178-1</f>
        <v>0.11324424608097</v>
      </c>
      <c r="X178" s="86">
        <f>R178/'2016'!R178-1</f>
        <v>0.0865653307920062</v>
      </c>
      <c r="Y178" s="86">
        <f>S178/'2016'!S178-1</f>
        <v>0.0936765417597329</v>
      </c>
      <c r="Z178" s="143">
        <v>69.71</v>
      </c>
      <c r="AA178" s="143">
        <f>Q178/10000-Z178</f>
        <v>936.335282</v>
      </c>
      <c r="AB178" s="34">
        <v>4258.08</v>
      </c>
      <c r="AC178" s="34">
        <f>AA178*10000/AB178</f>
        <v>2198.96122665615</v>
      </c>
      <c r="AD178" s="34">
        <f t="shared" si="32"/>
        <v>10423654.318</v>
      </c>
      <c r="AE178" s="34">
        <f t="shared" si="41"/>
        <v>157381.89</v>
      </c>
      <c r="AF178" s="34">
        <f t="shared" si="42"/>
        <v>133494</v>
      </c>
      <c r="AG178" s="34">
        <f t="shared" si="33"/>
        <v>72325.6079999997</v>
      </c>
    </row>
    <row r="179" ht="15" customHeight="1" spans="1:33">
      <c r="A179" s="106">
        <v>42909</v>
      </c>
      <c r="B179" s="21" t="s">
        <v>37</v>
      </c>
      <c r="C179" s="9">
        <v>48518</v>
      </c>
      <c r="D179" s="38">
        <f>33810+9910</f>
        <v>43720</v>
      </c>
      <c r="E179" s="38">
        <v>96760</v>
      </c>
      <c r="F179" s="13">
        <v>4974.7</v>
      </c>
      <c r="G179" s="38">
        <v>3063.5</v>
      </c>
      <c r="H179" s="25"/>
      <c r="I179" s="37"/>
      <c r="J179" s="9">
        <f t="shared" si="30"/>
        <v>53040</v>
      </c>
      <c r="K179" s="38">
        <v>3371</v>
      </c>
      <c r="L179" s="38">
        <v>778</v>
      </c>
      <c r="M179" s="132">
        <f t="shared" si="34"/>
        <v>373</v>
      </c>
      <c r="N179" s="78">
        <f t="shared" si="54"/>
        <v>1297493</v>
      </c>
      <c r="O179" s="79">
        <f t="shared" si="54"/>
        <v>805520</v>
      </c>
      <c r="P179" s="79">
        <f t="shared" si="54"/>
        <v>2164422</v>
      </c>
      <c r="Q179" s="80">
        <f t="shared" si="46"/>
        <v>10108970.82</v>
      </c>
      <c r="R179" s="80">
        <f t="shared" si="46"/>
        <v>4770804</v>
      </c>
      <c r="S179" s="80">
        <f t="shared" si="46"/>
        <v>15247498.318</v>
      </c>
      <c r="T179" s="84">
        <f>N179/'2016'!N179-1</f>
        <v>0.0853150023546654</v>
      </c>
      <c r="U179" s="84">
        <f>O179/'2016'!O179-1</f>
        <v>0.0866125374841666</v>
      </c>
      <c r="V179" s="84">
        <f>P179/'2016'!P179-1</f>
        <v>0.085045681843817</v>
      </c>
      <c r="W179" s="85">
        <f>Q179/'2016'!Q179-1</f>
        <v>0.109778087654389</v>
      </c>
      <c r="X179" s="85">
        <f>R179/'2016'!R179-1</f>
        <v>0.087811992097933</v>
      </c>
      <c r="Y179" s="85">
        <f>S179/'2016'!S179-1</f>
        <v>0.0919783798641385</v>
      </c>
      <c r="Z179" s="141"/>
      <c r="AA179" s="141"/>
      <c r="AB179" s="109"/>
      <c r="AC179" s="109"/>
      <c r="AD179" s="38">
        <f t="shared" si="32"/>
        <v>10476694.318</v>
      </c>
      <c r="AE179" s="38">
        <f t="shared" si="41"/>
        <v>160752.89</v>
      </c>
      <c r="AF179" s="38">
        <f t="shared" si="42"/>
        <v>134272</v>
      </c>
      <c r="AG179" s="38">
        <f t="shared" si="33"/>
        <v>72698.6079999997</v>
      </c>
    </row>
    <row r="180" ht="15" customHeight="1" spans="1:33">
      <c r="A180" s="106">
        <v>42910</v>
      </c>
      <c r="B180" s="21" t="s">
        <v>38</v>
      </c>
      <c r="C180" s="74">
        <v>44606</v>
      </c>
      <c r="D180" s="75">
        <f>34815+10089</f>
        <v>44904</v>
      </c>
      <c r="E180" s="75">
        <v>94401</v>
      </c>
      <c r="F180" s="125">
        <v>4854.6</v>
      </c>
      <c r="G180" s="75">
        <v>3051.4</v>
      </c>
      <c r="H180" s="25"/>
      <c r="I180" s="25"/>
      <c r="J180" s="74">
        <f t="shared" si="30"/>
        <v>49497</v>
      </c>
      <c r="K180" s="75">
        <v>3714</v>
      </c>
      <c r="L180" s="75">
        <v>779</v>
      </c>
      <c r="M180" s="134">
        <f t="shared" si="34"/>
        <v>398</v>
      </c>
      <c r="N180" s="78">
        <f t="shared" si="54"/>
        <v>1342099</v>
      </c>
      <c r="O180" s="79">
        <f t="shared" si="54"/>
        <v>850424</v>
      </c>
      <c r="P180" s="79">
        <f t="shared" si="54"/>
        <v>2258823</v>
      </c>
      <c r="Q180" s="80">
        <f t="shared" si="46"/>
        <v>10153576.82</v>
      </c>
      <c r="R180" s="80">
        <f t="shared" si="46"/>
        <v>4815708</v>
      </c>
      <c r="S180" s="80">
        <f t="shared" si="46"/>
        <v>15341899.318</v>
      </c>
      <c r="T180" s="84">
        <f>N180/'2016'!N180-1</f>
        <v>0.0594160695721364</v>
      </c>
      <c r="U180" s="84">
        <f>O180/'2016'!O180-1</f>
        <v>0.0939702125360509</v>
      </c>
      <c r="V180" s="84">
        <f>P180/'2016'!P180-1</f>
        <v>0.0728431621668475</v>
      </c>
      <c r="W180" s="85">
        <f>Q180/'2016'!Q180-1</f>
        <v>0.106014120186503</v>
      </c>
      <c r="X180" s="85">
        <f>R180/'2016'!R180-1</f>
        <v>0.0890957401697834</v>
      </c>
      <c r="Y180" s="85">
        <f>S180/'2016'!S180-1</f>
        <v>0.0900983587524311</v>
      </c>
      <c r="Z180" s="144"/>
      <c r="AA180" s="144"/>
      <c r="AB180" s="109"/>
      <c r="AC180" s="109"/>
      <c r="AD180" s="38">
        <f t="shared" si="32"/>
        <v>10526191.318</v>
      </c>
      <c r="AE180" s="75">
        <f t="shared" si="41"/>
        <v>164466.89</v>
      </c>
      <c r="AF180" s="75">
        <f t="shared" si="42"/>
        <v>135051</v>
      </c>
      <c r="AG180" s="75">
        <f t="shared" si="33"/>
        <v>73096.6079999997</v>
      </c>
    </row>
    <row r="181" ht="15" customHeight="1" spans="1:33">
      <c r="A181" s="106">
        <v>42911</v>
      </c>
      <c r="B181" s="21" t="s">
        <v>1</v>
      </c>
      <c r="C181" s="9">
        <v>39604</v>
      </c>
      <c r="D181" s="38">
        <f>34222+9796</f>
        <v>44018</v>
      </c>
      <c r="E181" s="38">
        <v>87312</v>
      </c>
      <c r="F181" s="13">
        <v>4372.3</v>
      </c>
      <c r="G181" s="38">
        <v>3013.9</v>
      </c>
      <c r="H181" s="25"/>
      <c r="I181" s="37"/>
      <c r="J181" s="9">
        <f t="shared" si="30"/>
        <v>43294</v>
      </c>
      <c r="K181" s="38">
        <v>2687</v>
      </c>
      <c r="L181" s="38">
        <v>780</v>
      </c>
      <c r="M181" s="132">
        <f t="shared" si="34"/>
        <v>223</v>
      </c>
      <c r="N181" s="78">
        <f t="shared" si="54"/>
        <v>1381703</v>
      </c>
      <c r="O181" s="79">
        <f t="shared" si="54"/>
        <v>894442</v>
      </c>
      <c r="P181" s="79">
        <f t="shared" si="54"/>
        <v>2346135</v>
      </c>
      <c r="Q181" s="80">
        <f t="shared" si="46"/>
        <v>10193180.82</v>
      </c>
      <c r="R181" s="80">
        <f t="shared" si="46"/>
        <v>4859726</v>
      </c>
      <c r="S181" s="80">
        <f t="shared" si="46"/>
        <v>15429211.318</v>
      </c>
      <c r="T181" s="84">
        <f>N181/'2016'!N181-1</f>
        <v>0.0426184554460227</v>
      </c>
      <c r="U181" s="84">
        <f>O181/'2016'!O181-1</f>
        <v>0.105231810992487</v>
      </c>
      <c r="V181" s="84">
        <f>P181/'2016'!P181-1</f>
        <v>0.0673569967230476</v>
      </c>
      <c r="W181" s="85">
        <f>Q181/'2016'!Q181-1</f>
        <v>0.10331010105613</v>
      </c>
      <c r="X181" s="85">
        <f>R181/'2016'!R181-1</f>
        <v>0.0911770220189934</v>
      </c>
      <c r="Y181" s="85">
        <f>S181/'2016'!S181-1</f>
        <v>0.0891343041830188</v>
      </c>
      <c r="Z181" s="141"/>
      <c r="AA181" s="141"/>
      <c r="AB181" s="109"/>
      <c r="AC181" s="109"/>
      <c r="AD181" s="38">
        <f t="shared" si="32"/>
        <v>10569485.318</v>
      </c>
      <c r="AE181" s="38">
        <f t="shared" si="41"/>
        <v>167153.89</v>
      </c>
      <c r="AF181" s="38">
        <f t="shared" si="42"/>
        <v>135831</v>
      </c>
      <c r="AG181" s="38">
        <f t="shared" si="33"/>
        <v>73319.6079999997</v>
      </c>
    </row>
    <row r="182" ht="15" customHeight="1" spans="1:33">
      <c r="A182" s="106">
        <v>42912</v>
      </c>
      <c r="B182" s="21" t="s">
        <v>39</v>
      </c>
      <c r="C182" s="9">
        <v>41504</v>
      </c>
      <c r="D182" s="38">
        <f>35541+9891</f>
        <v>45432</v>
      </c>
      <c r="E182" s="38">
        <v>91107</v>
      </c>
      <c r="F182" s="13">
        <v>4698.8</v>
      </c>
      <c r="G182" s="38">
        <v>2831.9</v>
      </c>
      <c r="H182" s="25"/>
      <c r="I182" s="37"/>
      <c r="J182" s="9">
        <f t="shared" si="30"/>
        <v>45675</v>
      </c>
      <c r="K182" s="38">
        <v>3105</v>
      </c>
      <c r="L182" s="38">
        <v>775</v>
      </c>
      <c r="M182" s="132">
        <f t="shared" si="34"/>
        <v>291</v>
      </c>
      <c r="N182" s="78">
        <f t="shared" si="54"/>
        <v>1423207</v>
      </c>
      <c r="O182" s="79">
        <f t="shared" si="54"/>
        <v>939874</v>
      </c>
      <c r="P182" s="79">
        <f t="shared" si="54"/>
        <v>2437242</v>
      </c>
      <c r="Q182" s="80">
        <f t="shared" si="46"/>
        <v>10234684.82</v>
      </c>
      <c r="R182" s="80">
        <f t="shared" si="46"/>
        <v>4905158</v>
      </c>
      <c r="S182" s="80">
        <f t="shared" si="46"/>
        <v>15520318.318</v>
      </c>
      <c r="T182" s="84">
        <f>N182/'2016'!N182-1</f>
        <v>0.0378751084760842</v>
      </c>
      <c r="U182" s="84">
        <f>O182/'2016'!O182-1</f>
        <v>0.115647631245645</v>
      </c>
      <c r="V182" s="84">
        <f>P182/'2016'!P182-1</f>
        <v>0.0694639345168671</v>
      </c>
      <c r="W182" s="85">
        <f>Q182/'2016'!Q182-1</f>
        <v>0.102308566940732</v>
      </c>
      <c r="X182" s="85">
        <f>R182/'2016'!R182-1</f>
        <v>0.093236593740514</v>
      </c>
      <c r="Y182" s="85">
        <f>S182/'2016'!S182-1</f>
        <v>0.0893477255770372</v>
      </c>
      <c r="Z182" s="141"/>
      <c r="AA182" s="141"/>
      <c r="AB182" s="109"/>
      <c r="AC182" s="109"/>
      <c r="AD182" s="38">
        <f t="shared" si="32"/>
        <v>10615160.318</v>
      </c>
      <c r="AE182" s="38">
        <f t="shared" si="41"/>
        <v>170258.89</v>
      </c>
      <c r="AF182" s="38">
        <f t="shared" si="42"/>
        <v>136606</v>
      </c>
      <c r="AG182" s="38">
        <f t="shared" si="33"/>
        <v>73610.6079999997</v>
      </c>
    </row>
    <row r="183" ht="15" customHeight="1" spans="1:33">
      <c r="A183" s="106">
        <v>42913</v>
      </c>
      <c r="B183" s="21" t="s">
        <v>34</v>
      </c>
      <c r="C183" s="9">
        <v>40872</v>
      </c>
      <c r="D183" s="38">
        <f>34964+10738</f>
        <v>45702</v>
      </c>
      <c r="E183" s="38">
        <v>90648</v>
      </c>
      <c r="F183" s="13">
        <v>4703.2</v>
      </c>
      <c r="G183" s="38">
        <v>2984.1</v>
      </c>
      <c r="H183" s="25"/>
      <c r="I183" s="37"/>
      <c r="J183" s="9">
        <f t="shared" si="30"/>
        <v>44946</v>
      </c>
      <c r="K183" s="38">
        <v>2922</v>
      </c>
      <c r="L183" s="38">
        <v>783</v>
      </c>
      <c r="M183" s="132">
        <f t="shared" si="34"/>
        <v>369</v>
      </c>
      <c r="N183" s="78">
        <f t="shared" si="54"/>
        <v>1464079</v>
      </c>
      <c r="O183" s="79">
        <f t="shared" si="54"/>
        <v>985576</v>
      </c>
      <c r="P183" s="79">
        <f t="shared" si="54"/>
        <v>2527890</v>
      </c>
      <c r="Q183" s="80">
        <f t="shared" si="46"/>
        <v>10275556.82</v>
      </c>
      <c r="R183" s="80">
        <f t="shared" si="46"/>
        <v>4950860</v>
      </c>
      <c r="S183" s="80">
        <f t="shared" si="46"/>
        <v>15610966.318</v>
      </c>
      <c r="T183" s="84">
        <f>N183/'2016'!N183-1</f>
        <v>0.0286105514010551</v>
      </c>
      <c r="U183" s="84">
        <f>O183/'2016'!O183-1</f>
        <v>0.123443913637706</v>
      </c>
      <c r="V183" s="84">
        <f>P183/'2016'!P183-1</f>
        <v>0.0675982091612191</v>
      </c>
      <c r="W183" s="85">
        <f>Q183/'2016'!Q183-1</f>
        <v>0.100536788656656</v>
      </c>
      <c r="X183" s="85">
        <f>R183/'2016'!R183-1</f>
        <v>0.0949218604865121</v>
      </c>
      <c r="Y183" s="85">
        <f>S183/'2016'!S183-1</f>
        <v>0.0889162869123084</v>
      </c>
      <c r="Z183" s="141"/>
      <c r="AA183" s="141"/>
      <c r="AB183" s="109"/>
      <c r="AC183" s="109"/>
      <c r="AD183" s="38">
        <f t="shared" si="32"/>
        <v>10660106.318</v>
      </c>
      <c r="AE183" s="38">
        <f t="shared" si="41"/>
        <v>173180.89</v>
      </c>
      <c r="AF183" s="38">
        <f t="shared" si="42"/>
        <v>137389</v>
      </c>
      <c r="AG183" s="38">
        <f t="shared" si="33"/>
        <v>73979.6079999997</v>
      </c>
    </row>
    <row r="184" ht="15" customHeight="1" spans="1:33">
      <c r="A184" s="106">
        <v>42914</v>
      </c>
      <c r="B184" s="21" t="s">
        <v>35</v>
      </c>
      <c r="C184" s="9">
        <v>40669</v>
      </c>
      <c r="D184" s="38">
        <f>36610+10198</f>
        <v>46808</v>
      </c>
      <c r="E184" s="38">
        <v>91829</v>
      </c>
      <c r="F184" s="13">
        <v>4728.2</v>
      </c>
      <c r="G184" s="38">
        <v>2983.7</v>
      </c>
      <c r="H184" s="25"/>
      <c r="I184" s="37"/>
      <c r="J184" s="9">
        <f t="shared" si="30"/>
        <v>45021</v>
      </c>
      <c r="K184" s="38">
        <v>3240</v>
      </c>
      <c r="L184" s="38">
        <v>779</v>
      </c>
      <c r="M184" s="132">
        <f t="shared" si="34"/>
        <v>333</v>
      </c>
      <c r="N184" s="78">
        <f t="shared" si="54"/>
        <v>1504748</v>
      </c>
      <c r="O184" s="79">
        <f t="shared" si="54"/>
        <v>1032384</v>
      </c>
      <c r="P184" s="79">
        <f t="shared" si="54"/>
        <v>2619719</v>
      </c>
      <c r="Q184" s="80">
        <f t="shared" si="46"/>
        <v>10316225.82</v>
      </c>
      <c r="R184" s="80">
        <f t="shared" si="46"/>
        <v>4997668</v>
      </c>
      <c r="S184" s="80">
        <f t="shared" si="46"/>
        <v>15702795.318</v>
      </c>
      <c r="T184" s="84">
        <f>N184/'2016'!N184-1</f>
        <v>0.0169827388113164</v>
      </c>
      <c r="U184" s="84">
        <f>O184/'2016'!O184-1</f>
        <v>0.130592957229763</v>
      </c>
      <c r="V184" s="84">
        <f>P184/'2016'!P184-1</f>
        <v>0.0642320762266895</v>
      </c>
      <c r="W184" s="85">
        <f>Q184/'2016'!Q184-1</f>
        <v>0.0982743247373636</v>
      </c>
      <c r="X184" s="85">
        <f>R184/'2016'!R184-1</f>
        <v>0.0965786141994203</v>
      </c>
      <c r="Y184" s="85">
        <f>S184/'2016'!S184-1</f>
        <v>0.0882035217283528</v>
      </c>
      <c r="Z184" s="141">
        <f>(Z185-Z178)/7*6+Z178</f>
        <v>71.51</v>
      </c>
      <c r="AA184" s="141">
        <f>Q184/10000-Z184</f>
        <v>960.112582</v>
      </c>
      <c r="AB184" s="109"/>
      <c r="AC184" s="109"/>
      <c r="AD184" s="38">
        <f t="shared" si="32"/>
        <v>10705127.318</v>
      </c>
      <c r="AE184" s="38">
        <f t="shared" si="41"/>
        <v>176420.89</v>
      </c>
      <c r="AF184" s="38">
        <f t="shared" si="42"/>
        <v>138168</v>
      </c>
      <c r="AG184" s="38">
        <f t="shared" si="33"/>
        <v>74312.6079999997</v>
      </c>
    </row>
    <row r="185" ht="15" customHeight="1" spans="1:33">
      <c r="A185" s="106">
        <v>42915</v>
      </c>
      <c r="B185" s="15" t="s">
        <v>36</v>
      </c>
      <c r="C185" s="33">
        <v>41208</v>
      </c>
      <c r="D185" s="34">
        <f>37491+11087</f>
        <v>48578</v>
      </c>
      <c r="E185" s="34">
        <v>93908</v>
      </c>
      <c r="F185" s="124">
        <v>4745.4</v>
      </c>
      <c r="G185" s="34">
        <v>2973.6</v>
      </c>
      <c r="H185" s="20"/>
      <c r="I185" s="20"/>
      <c r="J185" s="33">
        <f t="shared" si="30"/>
        <v>45330</v>
      </c>
      <c r="K185" s="34">
        <v>2793</v>
      </c>
      <c r="L185" s="34">
        <v>778</v>
      </c>
      <c r="M185" s="133">
        <f t="shared" si="34"/>
        <v>551</v>
      </c>
      <c r="N185" s="81">
        <f t="shared" si="54"/>
        <v>1545956</v>
      </c>
      <c r="O185" s="82">
        <f t="shared" si="54"/>
        <v>1080962</v>
      </c>
      <c r="P185" s="82">
        <f t="shared" si="54"/>
        <v>2713627</v>
      </c>
      <c r="Q185" s="81">
        <f t="shared" si="46"/>
        <v>10357433.82</v>
      </c>
      <c r="R185" s="81">
        <f t="shared" si="46"/>
        <v>5046246</v>
      </c>
      <c r="S185" s="81">
        <f t="shared" si="46"/>
        <v>15796703.318</v>
      </c>
      <c r="T185" s="86">
        <f>N185/'2016'!N185-1</f>
        <v>0.0103059366639089</v>
      </c>
      <c r="U185" s="86">
        <f>O185/'2016'!O185-1</f>
        <v>0.136183948446337</v>
      </c>
      <c r="V185" s="86">
        <f>P185/'2016'!P185-1</f>
        <v>0.0631730714606142</v>
      </c>
      <c r="W185" s="86">
        <f>Q185/'2016'!Q185-1</f>
        <v>0.0967571909663691</v>
      </c>
      <c r="X185" s="86">
        <f>R185/'2016'!R185-1</f>
        <v>0.0980192228857306</v>
      </c>
      <c r="Y185" s="86">
        <f>S185/'2016'!S185-1</f>
        <v>0.0878675129195732</v>
      </c>
      <c r="Z185" s="143">
        <v>71.81</v>
      </c>
      <c r="AA185" s="143">
        <f>Q185/10000-Z185</f>
        <v>963.933382</v>
      </c>
      <c r="AB185" s="34">
        <v>4258.08</v>
      </c>
      <c r="AC185" s="34">
        <f>AA185*10000/AB185</f>
        <v>2263.77471066772</v>
      </c>
      <c r="AD185" s="34">
        <f t="shared" si="32"/>
        <v>10750457.318</v>
      </c>
      <c r="AE185" s="34">
        <f t="shared" si="41"/>
        <v>179213.89</v>
      </c>
      <c r="AF185" s="34">
        <f t="shared" si="42"/>
        <v>138946</v>
      </c>
      <c r="AG185" s="34">
        <f t="shared" si="33"/>
        <v>74863.6079999997</v>
      </c>
    </row>
    <row r="186" s="1" customFormat="1" ht="15" customHeight="1" spans="1:33">
      <c r="A186" s="26">
        <v>42916</v>
      </c>
      <c r="B186" s="26" t="s">
        <v>37</v>
      </c>
      <c r="C186" s="43">
        <v>44399</v>
      </c>
      <c r="D186" s="44">
        <f>36897+11145</f>
        <v>48042</v>
      </c>
      <c r="E186" s="44">
        <v>96287</v>
      </c>
      <c r="F186" s="127">
        <v>4901.2</v>
      </c>
      <c r="G186" s="44">
        <v>3015</v>
      </c>
      <c r="H186" s="31"/>
      <c r="I186" s="31"/>
      <c r="J186" s="43">
        <f t="shared" si="30"/>
        <v>48245</v>
      </c>
      <c r="K186" s="44">
        <v>2464</v>
      </c>
      <c r="L186" s="44">
        <v>714</v>
      </c>
      <c r="M186" s="135">
        <f t="shared" si="34"/>
        <v>668</v>
      </c>
      <c r="N186" s="91">
        <v>1590356.35</v>
      </c>
      <c r="O186" s="92">
        <f t="shared" ref="O186" si="55">O185+D186</f>
        <v>1129004</v>
      </c>
      <c r="P186" s="92">
        <v>2809993.67</v>
      </c>
      <c r="Q186" s="91">
        <f t="shared" si="46"/>
        <v>10401834.17</v>
      </c>
      <c r="R186" s="91">
        <v>5094369</v>
      </c>
      <c r="S186" s="91">
        <f t="shared" si="46"/>
        <v>15893069.988</v>
      </c>
      <c r="T186" s="93">
        <f>N186/'2016'!N186-1</f>
        <v>0.00531518735129111</v>
      </c>
      <c r="U186" s="93">
        <f>O186/'2016'!O186-1</f>
        <v>0.133054670446847</v>
      </c>
      <c r="V186" s="93">
        <f>P186/'2016'!P186-1</f>
        <v>0.0599629841985945</v>
      </c>
      <c r="W186" s="93">
        <f>Q186/'2016'!Q186-1</f>
        <v>0.0954544623525517</v>
      </c>
      <c r="X186" s="93">
        <f>R186/'2016'!R186-1</f>
        <v>0.097735088777797</v>
      </c>
      <c r="Y186" s="93">
        <f>S186/'2016'!S186-1</f>
        <v>0.0871187825089357</v>
      </c>
      <c r="Z186" s="146">
        <f>720429.16/10000</f>
        <v>72.042916</v>
      </c>
      <c r="AA186" s="146">
        <f>9681405.01/10000</f>
        <v>968.140501</v>
      </c>
      <c r="AB186" s="44">
        <v>4258.08</v>
      </c>
      <c r="AC186" s="44">
        <f>AA186*10000/AB186</f>
        <v>2273.65502996656</v>
      </c>
      <c r="AD186" s="44">
        <v>10798700.99</v>
      </c>
      <c r="AE186" s="44">
        <v>181679.23</v>
      </c>
      <c r="AF186" s="44">
        <v>139661.82</v>
      </c>
      <c r="AG186" s="44">
        <f t="shared" si="33"/>
        <v>75525.7700000003</v>
      </c>
    </row>
    <row r="187" ht="15" customHeight="1" spans="1:33">
      <c r="A187" s="106">
        <v>42917</v>
      </c>
      <c r="B187" s="21" t="s">
        <v>38</v>
      </c>
      <c r="C187" s="74">
        <v>40740</v>
      </c>
      <c r="D187" s="75">
        <f>38006+11134</f>
        <v>49140</v>
      </c>
      <c r="E187" s="75">
        <v>94041</v>
      </c>
      <c r="F187" s="125">
        <v>4645</v>
      </c>
      <c r="G187" s="75">
        <v>3066.2</v>
      </c>
      <c r="H187" s="25"/>
      <c r="I187" s="25"/>
      <c r="J187" s="74">
        <f t="shared" si="30"/>
        <v>44901</v>
      </c>
      <c r="K187" s="75">
        <v>2707</v>
      </c>
      <c r="L187" s="75">
        <v>773</v>
      </c>
      <c r="M187" s="134">
        <f t="shared" si="34"/>
        <v>681</v>
      </c>
      <c r="N187" s="78">
        <f>C187</f>
        <v>40740</v>
      </c>
      <c r="O187" s="79">
        <f>D187</f>
        <v>49140</v>
      </c>
      <c r="P187" s="79">
        <f>E187</f>
        <v>94041</v>
      </c>
      <c r="Q187" s="80">
        <f t="shared" ref="Q187:S202" si="56">Q$186+N187</f>
        <v>10442574.17</v>
      </c>
      <c r="R187" s="80">
        <f t="shared" si="56"/>
        <v>5143509</v>
      </c>
      <c r="S187" s="80">
        <f t="shared" si="56"/>
        <v>15987110.988</v>
      </c>
      <c r="T187" s="84">
        <f>N187/'2016'!N187-1</f>
        <v>-0.226974308375394</v>
      </c>
      <c r="U187" s="84">
        <f>O187/'2016'!O187-1</f>
        <v>0.167969956979536</v>
      </c>
      <c r="V187" s="84">
        <f>P187/'2016'!P187-1</f>
        <v>-0.0227577391900738</v>
      </c>
      <c r="W187" s="85">
        <f>Q187/'2016'!Q187-1</f>
        <v>0.0936747840132013</v>
      </c>
      <c r="X187" s="85">
        <f>R187/'2016'!R187-1</f>
        <v>0.0983661098646067</v>
      </c>
      <c r="Y187" s="85">
        <f>S187/'2016'!S187-1</f>
        <v>0.0864002610006351</v>
      </c>
      <c r="Z187" s="144"/>
      <c r="AA187" s="144"/>
      <c r="AB187" s="109"/>
      <c r="AC187" s="109"/>
      <c r="AD187" s="38">
        <f t="shared" si="32"/>
        <v>10843601.988</v>
      </c>
      <c r="AE187" s="75">
        <f t="shared" si="41"/>
        <v>184386.23</v>
      </c>
      <c r="AF187" s="75">
        <f t="shared" si="42"/>
        <v>140434.82</v>
      </c>
      <c r="AG187" s="75">
        <f t="shared" si="33"/>
        <v>76206.768</v>
      </c>
    </row>
    <row r="188" ht="15" customHeight="1" spans="1:33">
      <c r="A188" s="106">
        <v>42918</v>
      </c>
      <c r="B188" s="21" t="s">
        <v>1</v>
      </c>
      <c r="C188" s="9">
        <v>42435</v>
      </c>
      <c r="D188" s="38">
        <f>36915+10956</f>
        <v>47871</v>
      </c>
      <c r="E188" s="38">
        <v>94462</v>
      </c>
      <c r="F188" s="13">
        <v>4566.5</v>
      </c>
      <c r="G188" s="38">
        <v>3097</v>
      </c>
      <c r="H188" s="25"/>
      <c r="I188" s="37"/>
      <c r="J188" s="9">
        <f t="shared" si="30"/>
        <v>46591</v>
      </c>
      <c r="K188" s="38">
        <v>2665</v>
      </c>
      <c r="L188" s="38">
        <v>774</v>
      </c>
      <c r="M188" s="132">
        <f t="shared" si="34"/>
        <v>717</v>
      </c>
      <c r="N188" s="78">
        <f t="shared" ref="N188:P203" si="57">C188+N187</f>
        <v>83175</v>
      </c>
      <c r="O188" s="79">
        <f t="shared" si="57"/>
        <v>97011</v>
      </c>
      <c r="P188" s="79">
        <f t="shared" si="57"/>
        <v>188503</v>
      </c>
      <c r="Q188" s="80">
        <f t="shared" si="56"/>
        <v>10485009.17</v>
      </c>
      <c r="R188" s="80">
        <f t="shared" si="56"/>
        <v>5191380</v>
      </c>
      <c r="S188" s="80">
        <f t="shared" si="56"/>
        <v>16081572.988</v>
      </c>
      <c r="T188" s="84">
        <f>N188/'2016'!N188-1</f>
        <v>-0.223969024071655</v>
      </c>
      <c r="U188" s="84">
        <f>O188/'2016'!O188-1</f>
        <v>0.149296875925553</v>
      </c>
      <c r="V188" s="84">
        <f>P188/'2016'!P188-1</f>
        <v>-0.0323602334618366</v>
      </c>
      <c r="W188" s="85">
        <f>Q188/'2016'!Q188-1</f>
        <v>0.0918892093219035</v>
      </c>
      <c r="X188" s="85">
        <f>R188/'2016'!R188-1</f>
        <v>0.0986561652616846</v>
      </c>
      <c r="Y188" s="85">
        <f>S188/'2016'!S188-1</f>
        <v>0.0855476364681058</v>
      </c>
      <c r="Z188" s="141"/>
      <c r="AA188" s="141"/>
      <c r="AB188" s="109"/>
      <c r="AC188" s="109"/>
      <c r="AD188" s="38">
        <f t="shared" si="32"/>
        <v>10890192.988</v>
      </c>
      <c r="AE188" s="38">
        <f t="shared" si="41"/>
        <v>187051.23</v>
      </c>
      <c r="AF188" s="38">
        <f t="shared" si="42"/>
        <v>141208.82</v>
      </c>
      <c r="AG188" s="38">
        <f t="shared" si="33"/>
        <v>76923.768</v>
      </c>
    </row>
    <row r="189" ht="15" customHeight="1" spans="1:33">
      <c r="A189" s="106">
        <v>42919</v>
      </c>
      <c r="B189" s="21" t="s">
        <v>39</v>
      </c>
      <c r="C189" s="9">
        <v>55312</v>
      </c>
      <c r="D189" s="38">
        <f>33337+11072</f>
        <v>44409</v>
      </c>
      <c r="E189" s="38">
        <v>104123</v>
      </c>
      <c r="F189" s="13">
        <v>5360.2</v>
      </c>
      <c r="G189" s="38">
        <v>3175.5</v>
      </c>
      <c r="H189" s="25"/>
      <c r="I189" s="37"/>
      <c r="J189" s="9">
        <f t="shared" si="30"/>
        <v>59714</v>
      </c>
      <c r="K189" s="38">
        <v>2903</v>
      </c>
      <c r="L189" s="38">
        <v>771</v>
      </c>
      <c r="M189" s="132">
        <f t="shared" si="34"/>
        <v>728</v>
      </c>
      <c r="N189" s="78">
        <f t="shared" si="57"/>
        <v>138487</v>
      </c>
      <c r="O189" s="79">
        <f t="shared" si="57"/>
        <v>141420</v>
      </c>
      <c r="P189" s="79">
        <f t="shared" si="57"/>
        <v>292626</v>
      </c>
      <c r="Q189" s="80">
        <f t="shared" si="56"/>
        <v>10540321.17</v>
      </c>
      <c r="R189" s="80">
        <f t="shared" si="56"/>
        <v>5235789</v>
      </c>
      <c r="S189" s="80">
        <f t="shared" si="56"/>
        <v>16185695.988</v>
      </c>
      <c r="T189" s="84">
        <f>N189/'2016'!N189-1</f>
        <v>-0.129390390333755</v>
      </c>
      <c r="U189" s="84">
        <f>O189/'2016'!O189-1</f>
        <v>0.121544244769775</v>
      </c>
      <c r="V189" s="84">
        <f>P189/'2016'!P189-1</f>
        <v>0.00993974032428402</v>
      </c>
      <c r="W189" s="85">
        <f>Q189/'2016'!Q189-1</f>
        <v>0.0917498922784354</v>
      </c>
      <c r="X189" s="85">
        <f>R189/'2016'!R189-1</f>
        <v>0.09836488917102</v>
      </c>
      <c r="Y189" s="85">
        <f>S189/'2016'!S189-1</f>
        <v>0.0856188806526552</v>
      </c>
      <c r="Z189" s="141"/>
      <c r="AA189" s="141"/>
      <c r="AB189" s="109"/>
      <c r="AC189" s="109"/>
      <c r="AD189" s="38">
        <f t="shared" si="32"/>
        <v>10949906.988</v>
      </c>
      <c r="AE189" s="38">
        <f t="shared" si="41"/>
        <v>189954.23</v>
      </c>
      <c r="AF189" s="38">
        <f t="shared" si="42"/>
        <v>141979.82</v>
      </c>
      <c r="AG189" s="38">
        <f t="shared" si="33"/>
        <v>77651.768</v>
      </c>
    </row>
    <row r="190" ht="15" customHeight="1" spans="1:33">
      <c r="A190" s="106">
        <v>42920</v>
      </c>
      <c r="B190" s="21" t="s">
        <v>34</v>
      </c>
      <c r="C190" s="9">
        <v>52621</v>
      </c>
      <c r="D190" s="38">
        <f>37281+11351</f>
        <v>48632</v>
      </c>
      <c r="E190" s="38">
        <v>105751</v>
      </c>
      <c r="F190" s="13">
        <v>5345.8</v>
      </c>
      <c r="G190" s="38">
        <v>3339.3</v>
      </c>
      <c r="H190" s="25"/>
      <c r="I190" s="37"/>
      <c r="J190" s="9">
        <f t="shared" si="30"/>
        <v>57119</v>
      </c>
      <c r="K190" s="38">
        <v>3096</v>
      </c>
      <c r="L190" s="38">
        <v>772</v>
      </c>
      <c r="M190" s="132">
        <f t="shared" si="34"/>
        <v>630</v>
      </c>
      <c r="N190" s="78">
        <f t="shared" si="57"/>
        <v>191108</v>
      </c>
      <c r="O190" s="79">
        <f t="shared" si="57"/>
        <v>190052</v>
      </c>
      <c r="P190" s="79">
        <f t="shared" si="57"/>
        <v>398377</v>
      </c>
      <c r="Q190" s="80">
        <f t="shared" si="56"/>
        <v>10592942.17</v>
      </c>
      <c r="R190" s="80">
        <f t="shared" si="56"/>
        <v>5284421</v>
      </c>
      <c r="S190" s="80">
        <f t="shared" si="56"/>
        <v>16291446.988</v>
      </c>
      <c r="T190" s="84">
        <f>N190/'2016'!N190-1</f>
        <v>-0.126654876315561</v>
      </c>
      <c r="U190" s="84">
        <f>O190/'2016'!O190-1</f>
        <v>0.126120627847861</v>
      </c>
      <c r="V190" s="84">
        <f>P190/'2016'!P190-1</f>
        <v>0.010116966330026</v>
      </c>
      <c r="W190" s="85">
        <f>Q190/'2016'!Q190-1</f>
        <v>0.090451244220618</v>
      </c>
      <c r="X190" s="85">
        <f>R190/'2016'!R190-1</f>
        <v>0.0987311331768534</v>
      </c>
      <c r="Y190" s="85">
        <f>S190/'2016'!S190-1</f>
        <v>0.0850960796209947</v>
      </c>
      <c r="Z190" s="141"/>
      <c r="AA190" s="141"/>
      <c r="AB190" s="109"/>
      <c r="AC190" s="109"/>
      <c r="AD190" s="38">
        <f t="shared" si="32"/>
        <v>11007025.988</v>
      </c>
      <c r="AE190" s="38">
        <f t="shared" si="41"/>
        <v>193050.23</v>
      </c>
      <c r="AF190" s="38">
        <f t="shared" si="42"/>
        <v>142751.82</v>
      </c>
      <c r="AG190" s="38">
        <f t="shared" si="33"/>
        <v>78281.768</v>
      </c>
    </row>
    <row r="191" ht="15" customHeight="1" spans="1:33">
      <c r="A191" s="106">
        <v>42921</v>
      </c>
      <c r="B191" s="21" t="s">
        <v>35</v>
      </c>
      <c r="C191" s="9">
        <v>53935</v>
      </c>
      <c r="D191" s="38">
        <f>38257+11036</f>
        <v>49293</v>
      </c>
      <c r="E191" s="38">
        <v>108563</v>
      </c>
      <c r="F191" s="13">
        <v>5557.7</v>
      </c>
      <c r="G191" s="38">
        <v>3417</v>
      </c>
      <c r="H191" s="25"/>
      <c r="I191" s="37"/>
      <c r="J191" s="9">
        <f t="shared" si="30"/>
        <v>59270</v>
      </c>
      <c r="K191" s="38">
        <v>3522</v>
      </c>
      <c r="L191" s="38">
        <v>786</v>
      </c>
      <c r="M191" s="132">
        <f t="shared" si="34"/>
        <v>1027</v>
      </c>
      <c r="N191" s="78">
        <f t="shared" si="57"/>
        <v>245043</v>
      </c>
      <c r="O191" s="79">
        <f t="shared" si="57"/>
        <v>239345</v>
      </c>
      <c r="P191" s="79">
        <f t="shared" si="57"/>
        <v>506940</v>
      </c>
      <c r="Q191" s="80">
        <f t="shared" si="56"/>
        <v>10646877.17</v>
      </c>
      <c r="R191" s="80">
        <f t="shared" si="56"/>
        <v>5333714</v>
      </c>
      <c r="S191" s="80">
        <f t="shared" si="56"/>
        <v>16400009.988</v>
      </c>
      <c r="T191" s="84">
        <f>N191/'2016'!N191-1</f>
        <v>-0.123340452706256</v>
      </c>
      <c r="U191" s="84">
        <f>O191/'2016'!O191-1</f>
        <v>0.126695256342059</v>
      </c>
      <c r="V191" s="84">
        <f>P191/'2016'!P191-1</f>
        <v>0.00955305560368269</v>
      </c>
      <c r="W191" s="85">
        <f>Q191/'2016'!Q191-1</f>
        <v>0.0891979382033909</v>
      </c>
      <c r="X191" s="85">
        <f>R191/'2016'!R191-1</f>
        <v>0.0990027056202352</v>
      </c>
      <c r="Y191" s="85">
        <f>S191/'2016'!S191-1</f>
        <v>0.0845430547128492</v>
      </c>
      <c r="Z191" s="141">
        <f>(Z192-Z185)/7*6+Z185</f>
        <v>75.0071428571429</v>
      </c>
      <c r="AA191" s="141">
        <f>Q191/10000-Z191</f>
        <v>989.680574142857</v>
      </c>
      <c r="AB191" s="109"/>
      <c r="AC191" s="109"/>
      <c r="AD191" s="38">
        <f t="shared" si="32"/>
        <v>11066295.988</v>
      </c>
      <c r="AE191" s="38">
        <f t="shared" si="41"/>
        <v>196572.23</v>
      </c>
      <c r="AF191" s="38">
        <f t="shared" si="42"/>
        <v>143537.82</v>
      </c>
      <c r="AG191" s="38">
        <f t="shared" si="33"/>
        <v>79308.768</v>
      </c>
    </row>
    <row r="192" ht="15" customHeight="1" spans="1:33">
      <c r="A192" s="106">
        <v>42922</v>
      </c>
      <c r="B192" s="15" t="s">
        <v>36</v>
      </c>
      <c r="C192" s="33">
        <v>56190</v>
      </c>
      <c r="D192" s="34">
        <f>39564+11203</f>
        <v>50767</v>
      </c>
      <c r="E192" s="34">
        <v>111939</v>
      </c>
      <c r="F192" s="124">
        <v>5617.3</v>
      </c>
      <c r="G192" s="34">
        <v>3433</v>
      </c>
      <c r="H192" s="20"/>
      <c r="I192" s="20"/>
      <c r="J192" s="33">
        <f t="shared" si="30"/>
        <v>61172</v>
      </c>
      <c r="K192" s="34">
        <v>3434</v>
      </c>
      <c r="L192" s="34">
        <v>768</v>
      </c>
      <c r="M192" s="133">
        <f t="shared" si="34"/>
        <v>780</v>
      </c>
      <c r="N192" s="81">
        <f t="shared" si="57"/>
        <v>301233</v>
      </c>
      <c r="O192" s="82">
        <f t="shared" si="57"/>
        <v>290112</v>
      </c>
      <c r="P192" s="82">
        <f t="shared" si="57"/>
        <v>618879</v>
      </c>
      <c r="Q192" s="81">
        <f t="shared" si="56"/>
        <v>10703067.17</v>
      </c>
      <c r="R192" s="81">
        <f t="shared" si="56"/>
        <v>5384481</v>
      </c>
      <c r="S192" s="81">
        <f t="shared" si="56"/>
        <v>16511948.988</v>
      </c>
      <c r="T192" s="86">
        <f>N192/'2016'!N192-1</f>
        <v>-0.121100896017086</v>
      </c>
      <c r="U192" s="86">
        <f>O192/'2016'!O192-1</f>
        <v>0.137007454321704</v>
      </c>
      <c r="V192" s="86">
        <f>P192/'2016'!P192-1</f>
        <v>0.0123203352596806</v>
      </c>
      <c r="W192" s="86">
        <f>Q192/'2016'!Q192-1</f>
        <v>0.0879101918137382</v>
      </c>
      <c r="X192" s="86">
        <f>R192/'2016'!R192-1</f>
        <v>0.0997817789954727</v>
      </c>
      <c r="Y192" s="86">
        <f>S192/'2016'!S192-1</f>
        <v>0.0841164556872267</v>
      </c>
      <c r="Z192" s="143">
        <v>75.54</v>
      </c>
      <c r="AA192" s="143">
        <f>Q192/10000-Z192</f>
        <v>994.766717</v>
      </c>
      <c r="AB192" s="34">
        <v>4258.08</v>
      </c>
      <c r="AC192" s="34">
        <f>AA192*10000/AB192</f>
        <v>2336.18606742945</v>
      </c>
      <c r="AD192" s="34">
        <f t="shared" si="32"/>
        <v>11127467.988</v>
      </c>
      <c r="AE192" s="34">
        <f t="shared" si="41"/>
        <v>200006.23</v>
      </c>
      <c r="AF192" s="34">
        <f t="shared" si="42"/>
        <v>144305.82</v>
      </c>
      <c r="AG192" s="34">
        <f t="shared" si="33"/>
        <v>80088.768</v>
      </c>
    </row>
    <row r="193" ht="15" customHeight="1" spans="1:33">
      <c r="A193" s="106">
        <v>42923</v>
      </c>
      <c r="B193" s="21" t="s">
        <v>37</v>
      </c>
      <c r="C193" s="9">
        <v>61028</v>
      </c>
      <c r="D193" s="38">
        <f>40246+11246</f>
        <v>51492</v>
      </c>
      <c r="E193" s="38">
        <v>117384</v>
      </c>
      <c r="F193" s="13">
        <v>5846.9</v>
      </c>
      <c r="G193" s="38">
        <v>3723.1</v>
      </c>
      <c r="H193" s="25"/>
      <c r="I193" s="37"/>
      <c r="J193" s="9">
        <f t="shared" si="30"/>
        <v>65892</v>
      </c>
      <c r="K193" s="38">
        <v>3309</v>
      </c>
      <c r="L193" s="38">
        <v>768</v>
      </c>
      <c r="M193" s="132">
        <f t="shared" si="34"/>
        <v>787</v>
      </c>
      <c r="N193" s="78">
        <f t="shared" si="57"/>
        <v>362261</v>
      </c>
      <c r="O193" s="79">
        <f t="shared" si="57"/>
        <v>341604</v>
      </c>
      <c r="P193" s="79">
        <f t="shared" si="57"/>
        <v>736263</v>
      </c>
      <c r="Q193" s="80">
        <f t="shared" si="56"/>
        <v>10764095.17</v>
      </c>
      <c r="R193" s="80">
        <f t="shared" si="56"/>
        <v>5435973</v>
      </c>
      <c r="S193" s="80">
        <f t="shared" si="56"/>
        <v>16629332.988</v>
      </c>
      <c r="T193" s="84">
        <f>N193/'2016'!N193-1</f>
        <v>-0.104292096993134</v>
      </c>
      <c r="U193" s="84">
        <f>O193/'2016'!O193-1</f>
        <v>0.1437812644394</v>
      </c>
      <c r="V193" s="84">
        <f>P193/'2016'!P193-1</f>
        <v>0.0215049884636143</v>
      </c>
      <c r="W193" s="85">
        <f>Q193/'2016'!Q193-1</f>
        <v>0.0872942017953326</v>
      </c>
      <c r="X193" s="85">
        <f>R193/'2016'!R193-1</f>
        <v>0.100519246832955</v>
      </c>
      <c r="Y193" s="85">
        <f>S193/'2016'!S193-1</f>
        <v>0.0840359035619145</v>
      </c>
      <c r="Z193" s="141"/>
      <c r="AA193" s="141"/>
      <c r="AB193" s="109"/>
      <c r="AC193" s="109"/>
      <c r="AD193" s="38">
        <f t="shared" si="32"/>
        <v>11193359.988</v>
      </c>
      <c r="AE193" s="38">
        <f t="shared" si="41"/>
        <v>203315.23</v>
      </c>
      <c r="AF193" s="38">
        <f t="shared" si="42"/>
        <v>145073.82</v>
      </c>
      <c r="AG193" s="38">
        <f t="shared" si="33"/>
        <v>80875.768</v>
      </c>
    </row>
    <row r="194" ht="15" customHeight="1" spans="1:33">
      <c r="A194" s="106">
        <v>42924</v>
      </c>
      <c r="B194" s="21" t="s">
        <v>38</v>
      </c>
      <c r="C194" s="74">
        <v>60096</v>
      </c>
      <c r="D194" s="75">
        <f>40843+11177</f>
        <v>52020</v>
      </c>
      <c r="E194" s="75">
        <v>116659</v>
      </c>
      <c r="F194" s="125">
        <v>5757.9</v>
      </c>
      <c r="G194" s="75">
        <v>3832.7</v>
      </c>
      <c r="H194" s="25"/>
      <c r="I194" s="25"/>
      <c r="J194" s="74">
        <f t="shared" si="30"/>
        <v>64639</v>
      </c>
      <c r="K194" s="75">
        <v>3018</v>
      </c>
      <c r="L194" s="75">
        <v>761</v>
      </c>
      <c r="M194" s="134">
        <f t="shared" si="34"/>
        <v>764</v>
      </c>
      <c r="N194" s="78">
        <f t="shared" si="57"/>
        <v>422357</v>
      </c>
      <c r="O194" s="79">
        <f t="shared" si="57"/>
        <v>393624</v>
      </c>
      <c r="P194" s="79">
        <f t="shared" si="57"/>
        <v>852922</v>
      </c>
      <c r="Q194" s="80">
        <f t="shared" si="56"/>
        <v>10824191.17</v>
      </c>
      <c r="R194" s="80">
        <f t="shared" si="56"/>
        <v>5487993</v>
      </c>
      <c r="S194" s="80">
        <f t="shared" si="56"/>
        <v>16745991.988</v>
      </c>
      <c r="T194" s="84">
        <f>N194/'2016'!N194-1</f>
        <v>-0.0893337271905974</v>
      </c>
      <c r="U194" s="84">
        <f>O194/'2016'!O194-1</f>
        <v>0.153774453192325</v>
      </c>
      <c r="V194" s="84">
        <f>P194/'2016'!P194-1</f>
        <v>0.0311326571321493</v>
      </c>
      <c r="W194" s="85">
        <f>Q194/'2016'!Q194-1</f>
        <v>0.0868491139886176</v>
      </c>
      <c r="X194" s="85">
        <f>R194/'2016'!R194-1</f>
        <v>0.101572633432371</v>
      </c>
      <c r="Y194" s="85">
        <f>S194/'2016'!S194-1</f>
        <v>0.0841207112601781</v>
      </c>
      <c r="Z194" s="144"/>
      <c r="AA194" s="144"/>
      <c r="AB194" s="109"/>
      <c r="AC194" s="109"/>
      <c r="AD194" s="38">
        <f t="shared" si="32"/>
        <v>11257998.988</v>
      </c>
      <c r="AE194" s="75">
        <f t="shared" si="41"/>
        <v>206333.23</v>
      </c>
      <c r="AF194" s="75">
        <f t="shared" si="42"/>
        <v>145834.82</v>
      </c>
      <c r="AG194" s="75">
        <f t="shared" si="33"/>
        <v>81639.768</v>
      </c>
    </row>
    <row r="195" ht="15" customHeight="1" spans="1:33">
      <c r="A195" s="106">
        <v>42925</v>
      </c>
      <c r="B195" s="21" t="s">
        <v>1</v>
      </c>
      <c r="C195" s="9">
        <v>53578</v>
      </c>
      <c r="D195" s="38">
        <f>40252+11143</f>
        <v>51395</v>
      </c>
      <c r="E195" s="38">
        <v>109258</v>
      </c>
      <c r="F195" s="13">
        <v>5101.6</v>
      </c>
      <c r="G195" s="38">
        <v>3828.6</v>
      </c>
      <c r="H195" s="25"/>
      <c r="I195" s="37"/>
      <c r="J195" s="9">
        <f t="shared" si="30"/>
        <v>57863</v>
      </c>
      <c r="K195" s="38">
        <v>2808</v>
      </c>
      <c r="L195" s="38">
        <v>764</v>
      </c>
      <c r="M195" s="132">
        <f t="shared" si="34"/>
        <v>713</v>
      </c>
      <c r="N195" s="78">
        <f t="shared" si="57"/>
        <v>475935</v>
      </c>
      <c r="O195" s="79">
        <f t="shared" si="57"/>
        <v>445019</v>
      </c>
      <c r="P195" s="79">
        <f t="shared" si="57"/>
        <v>962180</v>
      </c>
      <c r="Q195" s="80">
        <f t="shared" si="56"/>
        <v>10877769.17</v>
      </c>
      <c r="R195" s="80">
        <f t="shared" si="56"/>
        <v>5539388</v>
      </c>
      <c r="S195" s="80">
        <f t="shared" si="56"/>
        <v>16855249.988</v>
      </c>
      <c r="T195" s="84">
        <f>N195/'2016'!N195-1</f>
        <v>-0.103106013779379</v>
      </c>
      <c r="U195" s="84">
        <f>O195/'2016'!O195-1</f>
        <v>0.198026705432617</v>
      </c>
      <c r="V195" s="84">
        <f>P195/'2016'!P195-1</f>
        <v>0.0361173328738802</v>
      </c>
      <c r="W195" s="85">
        <f>Q195/'2016'!Q195-1</f>
        <v>0.0849453182139932</v>
      </c>
      <c r="X195" s="85">
        <f>R195/'2016'!R195-1</f>
        <v>0.105167728729156</v>
      </c>
      <c r="Y195" s="85">
        <f>S195/'2016'!S195-1</f>
        <v>0.0840726198897073</v>
      </c>
      <c r="Z195" s="141"/>
      <c r="AA195" s="141"/>
      <c r="AB195" s="109"/>
      <c r="AC195" s="109"/>
      <c r="AD195" s="38">
        <f t="shared" si="32"/>
        <v>11315861.988</v>
      </c>
      <c r="AE195" s="38">
        <f t="shared" si="41"/>
        <v>209141.23</v>
      </c>
      <c r="AF195" s="38">
        <f t="shared" si="42"/>
        <v>146598.82</v>
      </c>
      <c r="AG195" s="38">
        <f t="shared" si="33"/>
        <v>82352.7679999981</v>
      </c>
    </row>
    <row r="196" ht="15" customHeight="1" spans="1:33">
      <c r="A196" s="106">
        <v>42926</v>
      </c>
      <c r="B196" s="21" t="s">
        <v>39</v>
      </c>
      <c r="C196" s="9">
        <v>63845</v>
      </c>
      <c r="D196" s="38">
        <f>37664+11081</f>
        <v>48745</v>
      </c>
      <c r="E196" s="38">
        <v>116806</v>
      </c>
      <c r="F196" s="13">
        <v>5913.9</v>
      </c>
      <c r="G196" s="38">
        <v>3745.3</v>
      </c>
      <c r="H196" s="25"/>
      <c r="I196" s="37"/>
      <c r="J196" s="9">
        <f t="shared" si="30"/>
        <v>68061</v>
      </c>
      <c r="K196" s="38">
        <v>2751</v>
      </c>
      <c r="L196" s="38">
        <v>761</v>
      </c>
      <c r="M196" s="132">
        <f t="shared" si="34"/>
        <v>704</v>
      </c>
      <c r="N196" s="78">
        <f t="shared" si="57"/>
        <v>539780</v>
      </c>
      <c r="O196" s="79">
        <f t="shared" si="57"/>
        <v>493764</v>
      </c>
      <c r="P196" s="79">
        <f t="shared" si="57"/>
        <v>1078986</v>
      </c>
      <c r="Q196" s="80">
        <f t="shared" si="56"/>
        <v>10941614.17</v>
      </c>
      <c r="R196" s="80">
        <f t="shared" si="56"/>
        <v>5588133</v>
      </c>
      <c r="S196" s="80">
        <f t="shared" si="56"/>
        <v>16972055.988</v>
      </c>
      <c r="T196" s="84">
        <f>N196/'2016'!N196-1</f>
        <v>-0.0932044934910905</v>
      </c>
      <c r="U196" s="84">
        <f>O196/'2016'!O196-1</f>
        <v>0.237568894603475</v>
      </c>
      <c r="V196" s="84">
        <f>P196/'2016'!P196-1</f>
        <v>0.0538794303312193</v>
      </c>
      <c r="W196" s="85">
        <f>Q196/'2016'!Q196-1</f>
        <v>0.0843252854704406</v>
      </c>
      <c r="X196" s="85">
        <f>R196/'2016'!R196-1</f>
        <v>0.108805167845654</v>
      </c>
      <c r="Y196" s="85">
        <f>S196/'2016'!S196-1</f>
        <v>0.084943327879442</v>
      </c>
      <c r="Z196" s="141"/>
      <c r="AA196" s="141"/>
      <c r="AB196" s="109"/>
      <c r="AC196" s="109"/>
      <c r="AD196" s="38">
        <f t="shared" si="32"/>
        <v>11383922.988</v>
      </c>
      <c r="AE196" s="38">
        <f t="shared" si="41"/>
        <v>211892.23</v>
      </c>
      <c r="AF196" s="38">
        <f t="shared" si="42"/>
        <v>147359.82</v>
      </c>
      <c r="AG196" s="38">
        <f t="shared" si="33"/>
        <v>83056.7679999981</v>
      </c>
    </row>
    <row r="197" ht="15" customHeight="1" spans="1:33">
      <c r="A197" s="106">
        <v>42927</v>
      </c>
      <c r="B197" s="21" t="s">
        <v>34</v>
      </c>
      <c r="C197" s="9">
        <v>67774</v>
      </c>
      <c r="D197" s="38">
        <f>36832+10863</f>
        <v>47695</v>
      </c>
      <c r="E197" s="38">
        <v>119500</v>
      </c>
      <c r="F197" s="13">
        <v>5938.1</v>
      </c>
      <c r="G197" s="38">
        <v>3784.6</v>
      </c>
      <c r="H197" s="25"/>
      <c r="I197" s="37"/>
      <c r="J197" s="9">
        <f t="shared" ref="J197:J260" si="58">E197-D197</f>
        <v>71805</v>
      </c>
      <c r="K197" s="38">
        <v>2472</v>
      </c>
      <c r="L197" s="38">
        <v>762</v>
      </c>
      <c r="M197" s="132">
        <f t="shared" si="34"/>
        <v>797</v>
      </c>
      <c r="N197" s="78">
        <f t="shared" si="57"/>
        <v>607554</v>
      </c>
      <c r="O197" s="79">
        <f t="shared" si="57"/>
        <v>541459</v>
      </c>
      <c r="P197" s="79">
        <f t="shared" si="57"/>
        <v>1198486</v>
      </c>
      <c r="Q197" s="80">
        <f t="shared" si="56"/>
        <v>11009388.17</v>
      </c>
      <c r="R197" s="80">
        <f t="shared" si="56"/>
        <v>5635828</v>
      </c>
      <c r="S197" s="80">
        <f t="shared" si="56"/>
        <v>17091555.988</v>
      </c>
      <c r="T197" s="84">
        <f>N197/'2016'!N197-1</f>
        <v>-0.0771340991047098</v>
      </c>
      <c r="U197" s="84">
        <f>O197/'2016'!O197-1</f>
        <v>0.238571794566799</v>
      </c>
      <c r="V197" s="84">
        <f>P197/'2016'!P197-1</f>
        <v>0.0634567673376092</v>
      </c>
      <c r="W197" s="85">
        <f>Q197/'2016'!Q197-1</f>
        <v>0.0842644560624437</v>
      </c>
      <c r="X197" s="85">
        <f>R197/'2016'!R197-1</f>
        <v>0.109859778446637</v>
      </c>
      <c r="Y197" s="85">
        <f>S197/'2016'!S197-1</f>
        <v>0.0854252903549975</v>
      </c>
      <c r="Z197" s="141"/>
      <c r="AA197" s="141"/>
      <c r="AB197" s="109"/>
      <c r="AC197" s="109"/>
      <c r="AD197" s="38">
        <f t="shared" si="32"/>
        <v>11455727.988</v>
      </c>
      <c r="AE197" s="38">
        <f t="shared" si="41"/>
        <v>214364.23</v>
      </c>
      <c r="AF197" s="38">
        <f t="shared" si="42"/>
        <v>148121.82</v>
      </c>
      <c r="AG197" s="38">
        <f t="shared" si="33"/>
        <v>83853.7679999981</v>
      </c>
    </row>
    <row r="198" ht="15" customHeight="1" spans="1:33">
      <c r="A198" s="106">
        <v>42928</v>
      </c>
      <c r="B198" s="21" t="s">
        <v>35</v>
      </c>
      <c r="C198" s="9">
        <v>73029</v>
      </c>
      <c r="D198" s="38">
        <f>36946+10978</f>
        <v>47924</v>
      </c>
      <c r="E198" s="38">
        <v>124541</v>
      </c>
      <c r="F198" s="13">
        <v>6172</v>
      </c>
      <c r="G198" s="38">
        <v>3983.7</v>
      </c>
      <c r="H198" s="25"/>
      <c r="I198" s="37"/>
      <c r="J198" s="9">
        <f t="shared" si="58"/>
        <v>76617</v>
      </c>
      <c r="K198" s="38">
        <v>2033</v>
      </c>
      <c r="L198" s="38">
        <v>760</v>
      </c>
      <c r="M198" s="132">
        <f t="shared" ref="M198:M261" si="59">J198-K198-L198-C198</f>
        <v>795</v>
      </c>
      <c r="N198" s="78">
        <f t="shared" si="57"/>
        <v>680583</v>
      </c>
      <c r="O198" s="79">
        <f t="shared" si="57"/>
        <v>589383</v>
      </c>
      <c r="P198" s="79">
        <f t="shared" si="57"/>
        <v>1323027</v>
      </c>
      <c r="Q198" s="80">
        <f t="shared" si="56"/>
        <v>11082417.17</v>
      </c>
      <c r="R198" s="80">
        <f t="shared" si="56"/>
        <v>5683752</v>
      </c>
      <c r="S198" s="80">
        <f t="shared" si="56"/>
        <v>17216096.988</v>
      </c>
      <c r="T198" s="84">
        <f>N198/'2016'!N198-1</f>
        <v>-0.0579579350963035</v>
      </c>
      <c r="U198" s="84">
        <f>O198/'2016'!O198-1</f>
        <v>0.226503988229884</v>
      </c>
      <c r="V198" s="84">
        <f>P198/'2016'!P198-1</f>
        <v>0.0701842086743818</v>
      </c>
      <c r="W198" s="85">
        <f>Q198/'2016'!Q198-1</f>
        <v>0.084607469475644</v>
      </c>
      <c r="X198" s="85">
        <f>R198/'2016'!R198-1</f>
        <v>0.109817569194306</v>
      </c>
      <c r="Y198" s="85">
        <f>S198/'2016'!S198-1</f>
        <v>0.0857984025053948</v>
      </c>
      <c r="Z198" s="141">
        <f>(Z199-Z192)/7*6+Z192</f>
        <v>78.3257142857143</v>
      </c>
      <c r="AA198" s="141">
        <f>Q198/10000-Z198</f>
        <v>1029.91600271429</v>
      </c>
      <c r="AB198" s="109"/>
      <c r="AC198" s="109"/>
      <c r="AD198" s="38">
        <f t="shared" ref="AD198:AD261" si="60">S198-R198</f>
        <v>11532344.988</v>
      </c>
      <c r="AE198" s="38">
        <f t="shared" si="41"/>
        <v>216397.23</v>
      </c>
      <c r="AF198" s="38">
        <f t="shared" si="42"/>
        <v>148881.82</v>
      </c>
      <c r="AG198" s="38">
        <f t="shared" ref="AG198:AG261" si="61">AD198-Q198-AE198-AF198</f>
        <v>84648.7679999981</v>
      </c>
    </row>
    <row r="199" ht="15" customHeight="1" spans="1:33">
      <c r="A199" s="106">
        <v>42929</v>
      </c>
      <c r="B199" s="15" t="s">
        <v>36</v>
      </c>
      <c r="C199" s="33">
        <v>73913</v>
      </c>
      <c r="D199" s="34">
        <f>39513+10660</f>
        <v>50173</v>
      </c>
      <c r="E199" s="34">
        <v>126949</v>
      </c>
      <c r="F199" s="124">
        <v>6290.9</v>
      </c>
      <c r="G199" s="34">
        <v>4096.9</v>
      </c>
      <c r="H199" s="20"/>
      <c r="I199" s="20"/>
      <c r="J199" s="33">
        <f t="shared" si="58"/>
        <v>76776</v>
      </c>
      <c r="K199" s="34">
        <v>1382</v>
      </c>
      <c r="L199" s="34">
        <v>754</v>
      </c>
      <c r="M199" s="133">
        <f t="shared" si="59"/>
        <v>727</v>
      </c>
      <c r="N199" s="81">
        <f t="shared" si="57"/>
        <v>754496</v>
      </c>
      <c r="O199" s="82">
        <f t="shared" si="57"/>
        <v>639556</v>
      </c>
      <c r="P199" s="82">
        <f t="shared" si="57"/>
        <v>1449976</v>
      </c>
      <c r="Q199" s="81">
        <f t="shared" si="56"/>
        <v>11156330.17</v>
      </c>
      <c r="R199" s="81">
        <f t="shared" si="56"/>
        <v>5733925</v>
      </c>
      <c r="S199" s="81">
        <f t="shared" si="56"/>
        <v>17343045.988</v>
      </c>
      <c r="T199" s="86">
        <f>N199/'2016'!N199-1</f>
        <v>-0.048270416253029</v>
      </c>
      <c r="U199" s="86">
        <f>O199/'2016'!O199-1</f>
        <v>0.224928512191712</v>
      </c>
      <c r="V199" s="86">
        <f>P199/'2016'!P199-1</f>
        <v>0.0730698668853298</v>
      </c>
      <c r="W199" s="86">
        <f>Q199/'2016'!Q199-1</f>
        <v>0.0843796765891534</v>
      </c>
      <c r="X199" s="86">
        <f>R199/'2016'!R199-1</f>
        <v>0.110597942984557</v>
      </c>
      <c r="Y199" s="86">
        <f>S199/'2016'!S199-1</f>
        <v>0.085930137615279</v>
      </c>
      <c r="Z199" s="143">
        <v>78.79</v>
      </c>
      <c r="AA199" s="143">
        <f>Q199/10000-Z199</f>
        <v>1036.843017</v>
      </c>
      <c r="AB199" s="34">
        <v>4258.08</v>
      </c>
      <c r="AC199" s="34">
        <f>AA199*10000/AB199</f>
        <v>2435.00126113178</v>
      </c>
      <c r="AD199" s="34">
        <f t="shared" si="60"/>
        <v>11609120.988</v>
      </c>
      <c r="AE199" s="34">
        <f t="shared" ref="AE199:AE262" si="62">AE198+K199</f>
        <v>217779.23</v>
      </c>
      <c r="AF199" s="34">
        <f t="shared" ref="AF199:AF262" si="63">AF198+L199</f>
        <v>149635.82</v>
      </c>
      <c r="AG199" s="34">
        <f t="shared" si="61"/>
        <v>85375.7679999981</v>
      </c>
    </row>
    <row r="200" ht="15" customHeight="1" spans="1:33">
      <c r="A200" s="106">
        <v>42930</v>
      </c>
      <c r="B200" s="21" t="s">
        <v>37</v>
      </c>
      <c r="C200" s="9">
        <v>74526</v>
      </c>
      <c r="D200" s="38">
        <f>41302+9500</f>
        <v>50802</v>
      </c>
      <c r="E200" s="38">
        <v>128214</v>
      </c>
      <c r="F200" s="13">
        <v>6326.8</v>
      </c>
      <c r="G200" s="38">
        <v>4178.1</v>
      </c>
      <c r="H200" s="25"/>
      <c r="I200" s="37"/>
      <c r="J200" s="9">
        <f t="shared" si="58"/>
        <v>77412</v>
      </c>
      <c r="K200" s="38">
        <v>1318</v>
      </c>
      <c r="L200" s="38">
        <v>755</v>
      </c>
      <c r="M200" s="132">
        <f t="shared" si="59"/>
        <v>813</v>
      </c>
      <c r="N200" s="78">
        <f t="shared" si="57"/>
        <v>829022</v>
      </c>
      <c r="O200" s="79">
        <f t="shared" si="57"/>
        <v>690358</v>
      </c>
      <c r="P200" s="79">
        <f t="shared" si="57"/>
        <v>1578190</v>
      </c>
      <c r="Q200" s="80">
        <f t="shared" si="56"/>
        <v>11230856.17</v>
      </c>
      <c r="R200" s="80">
        <f t="shared" si="56"/>
        <v>5784727</v>
      </c>
      <c r="S200" s="80">
        <f t="shared" si="56"/>
        <v>17471259.988</v>
      </c>
      <c r="T200" s="84">
        <f>N200/'2016'!N200-1</f>
        <v>-0.0393942202961692</v>
      </c>
      <c r="U200" s="84">
        <f>O200/'2016'!O200-1</f>
        <v>0.220898008846036</v>
      </c>
      <c r="V200" s="84">
        <f>P200/'2016'!P200-1</f>
        <v>0.0760325225424856</v>
      </c>
      <c r="W200" s="85">
        <f>Q200/'2016'!Q200-1</f>
        <v>0.0842194924328117</v>
      </c>
      <c r="X200" s="85">
        <f>R200/'2016'!R200-1</f>
        <v>0.111111815392688</v>
      </c>
      <c r="Y200" s="85">
        <f>S200/'2016'!S200-1</f>
        <v>0.0861079767106008</v>
      </c>
      <c r="Z200" s="141"/>
      <c r="AA200" s="141"/>
      <c r="AB200" s="109"/>
      <c r="AC200" s="109"/>
      <c r="AD200" s="38">
        <f t="shared" si="60"/>
        <v>11686532.988</v>
      </c>
      <c r="AE200" s="38">
        <f t="shared" si="62"/>
        <v>219097.23</v>
      </c>
      <c r="AF200" s="38">
        <f t="shared" si="63"/>
        <v>150390.82</v>
      </c>
      <c r="AG200" s="38">
        <f t="shared" si="61"/>
        <v>86188.7679999981</v>
      </c>
    </row>
    <row r="201" ht="15" customHeight="1" spans="1:33">
      <c r="A201" s="106">
        <v>42931</v>
      </c>
      <c r="B201" s="21" t="s">
        <v>38</v>
      </c>
      <c r="C201" s="9">
        <v>70483</v>
      </c>
      <c r="D201" s="75">
        <f>42086+10937</f>
        <v>53023</v>
      </c>
      <c r="E201" s="75">
        <v>125568</v>
      </c>
      <c r="F201" s="125">
        <v>6070.6</v>
      </c>
      <c r="G201" s="75">
        <v>4151.7</v>
      </c>
      <c r="H201" s="25"/>
      <c r="I201" s="25"/>
      <c r="J201" s="74">
        <f t="shared" si="58"/>
        <v>72545</v>
      </c>
      <c r="K201" s="75">
        <v>369</v>
      </c>
      <c r="L201" s="75">
        <v>753</v>
      </c>
      <c r="M201" s="134">
        <f t="shared" si="59"/>
        <v>940</v>
      </c>
      <c r="N201" s="78">
        <f t="shared" si="57"/>
        <v>899505</v>
      </c>
      <c r="O201" s="79">
        <f t="shared" si="57"/>
        <v>743381</v>
      </c>
      <c r="P201" s="79">
        <f t="shared" si="57"/>
        <v>1703758</v>
      </c>
      <c r="Q201" s="80">
        <f t="shared" si="56"/>
        <v>11301339.17</v>
      </c>
      <c r="R201" s="80">
        <f t="shared" si="56"/>
        <v>5837750</v>
      </c>
      <c r="S201" s="80">
        <f t="shared" si="56"/>
        <v>17596827.988</v>
      </c>
      <c r="T201" s="84">
        <f>N201/'2016'!N201-1</f>
        <v>-0.0392593098940254</v>
      </c>
      <c r="U201" s="84">
        <f>O201/'2016'!O201-1</f>
        <v>0.220822836572412</v>
      </c>
      <c r="V201" s="84">
        <f>P201/'2016'!P201-1</f>
        <v>0.0746319304367131</v>
      </c>
      <c r="W201" s="85">
        <f>Q201/'2016'!Q201-1</f>
        <v>0.0833636977934495</v>
      </c>
      <c r="X201" s="85">
        <f>R201/'2016'!R201-1</f>
        <v>0.112012111888677</v>
      </c>
      <c r="Y201" s="85">
        <f>S201/'2016'!S201-1</f>
        <v>0.0858971082530962</v>
      </c>
      <c r="Z201" s="144"/>
      <c r="AA201" s="144"/>
      <c r="AB201" s="109"/>
      <c r="AC201" s="109"/>
      <c r="AD201" s="38">
        <f t="shared" si="60"/>
        <v>11759077.988</v>
      </c>
      <c r="AE201" s="75">
        <f t="shared" si="62"/>
        <v>219466.23</v>
      </c>
      <c r="AF201" s="75">
        <f t="shared" si="63"/>
        <v>151143.82</v>
      </c>
      <c r="AG201" s="75">
        <f t="shared" si="61"/>
        <v>87128.7679999981</v>
      </c>
    </row>
    <row r="202" ht="15" customHeight="1" spans="1:33">
      <c r="A202" s="106">
        <v>42932</v>
      </c>
      <c r="B202" s="21" t="s">
        <v>1</v>
      </c>
      <c r="C202" s="9">
        <v>65244</v>
      </c>
      <c r="D202" s="38">
        <f>41792+10928</f>
        <v>52720</v>
      </c>
      <c r="E202" s="38">
        <v>120737</v>
      </c>
      <c r="F202" s="13">
        <v>5662.5</v>
      </c>
      <c r="G202" s="38">
        <v>4156.3</v>
      </c>
      <c r="H202" s="25"/>
      <c r="I202" s="37"/>
      <c r="J202" s="9">
        <f t="shared" si="58"/>
        <v>68017</v>
      </c>
      <c r="K202" s="38">
        <v>1067</v>
      </c>
      <c r="L202" s="38">
        <v>746</v>
      </c>
      <c r="M202" s="132">
        <f t="shared" si="59"/>
        <v>960</v>
      </c>
      <c r="N202" s="78">
        <f t="shared" si="57"/>
        <v>964749</v>
      </c>
      <c r="O202" s="79">
        <f t="shared" si="57"/>
        <v>796101</v>
      </c>
      <c r="P202" s="79">
        <f t="shared" si="57"/>
        <v>1824495</v>
      </c>
      <c r="Q202" s="80">
        <f t="shared" si="56"/>
        <v>11366583.17</v>
      </c>
      <c r="R202" s="80">
        <f t="shared" si="56"/>
        <v>5890470</v>
      </c>
      <c r="S202" s="80">
        <f t="shared" si="56"/>
        <v>17717564.988</v>
      </c>
      <c r="T202" s="84">
        <f>N202/'2016'!N202-1</f>
        <v>-0.0352616121222666</v>
      </c>
      <c r="U202" s="84">
        <f>O202/'2016'!O202-1</f>
        <v>0.222979574530841</v>
      </c>
      <c r="V202" s="84">
        <f>P202/'2016'!P202-1</f>
        <v>0.0779053898371174</v>
      </c>
      <c r="W202" s="85">
        <f>Q202/'2016'!Q202-1</f>
        <v>0.0829997926722996</v>
      </c>
      <c r="X202" s="85">
        <f>R202/'2016'!R202-1</f>
        <v>0.113141734533289</v>
      </c>
      <c r="Y202" s="85">
        <f>S202/'2016'!S202-1</f>
        <v>0.0861627503851135</v>
      </c>
      <c r="Z202" s="141"/>
      <c r="AA202" s="141"/>
      <c r="AB202" s="109"/>
      <c r="AC202" s="109"/>
      <c r="AD202" s="38">
        <f t="shared" si="60"/>
        <v>11827094.988</v>
      </c>
      <c r="AE202" s="38">
        <f t="shared" si="62"/>
        <v>220533.23</v>
      </c>
      <c r="AF202" s="38">
        <f t="shared" si="63"/>
        <v>151889.82</v>
      </c>
      <c r="AG202" s="38">
        <f t="shared" si="61"/>
        <v>88088.7679999981</v>
      </c>
    </row>
    <row r="203" ht="15" customHeight="1" spans="1:33">
      <c r="A203" s="106">
        <v>42933</v>
      </c>
      <c r="B203" s="21" t="s">
        <v>39</v>
      </c>
      <c r="C203" s="9">
        <v>73554</v>
      </c>
      <c r="D203" s="38">
        <f>42451+10935</f>
        <v>53386</v>
      </c>
      <c r="E203" s="38">
        <v>129259</v>
      </c>
      <c r="F203" s="13">
        <v>6305.7</v>
      </c>
      <c r="G203" s="38">
        <v>4107</v>
      </c>
      <c r="H203" s="25"/>
      <c r="I203" s="37"/>
      <c r="J203" s="9">
        <f t="shared" si="58"/>
        <v>75873</v>
      </c>
      <c r="K203" s="38">
        <v>632</v>
      </c>
      <c r="L203" s="38">
        <v>747</v>
      </c>
      <c r="M203" s="132">
        <f t="shared" si="59"/>
        <v>940</v>
      </c>
      <c r="N203" s="78">
        <f t="shared" si="57"/>
        <v>1038303</v>
      </c>
      <c r="O203" s="79">
        <f t="shared" si="57"/>
        <v>849487</v>
      </c>
      <c r="P203" s="79">
        <f t="shared" si="57"/>
        <v>1953754</v>
      </c>
      <c r="Q203" s="80">
        <f t="shared" ref="Q203:S216" si="64">Q$186+N203</f>
        <v>11440137.17</v>
      </c>
      <c r="R203" s="80">
        <f t="shared" si="64"/>
        <v>5943856</v>
      </c>
      <c r="S203" s="80">
        <f t="shared" si="64"/>
        <v>17846823.988</v>
      </c>
      <c r="T203" s="84">
        <f>N203/'2016'!N203-1</f>
        <v>-0.0176571431815215</v>
      </c>
      <c r="U203" s="84">
        <f>O203/'2016'!O203-1</f>
        <v>0.224946610544652</v>
      </c>
      <c r="V203" s="84">
        <f>P203/'2016'!P203-1</f>
        <v>0.0894152270802282</v>
      </c>
      <c r="W203" s="85">
        <f>Q203/'2016'!Q203-1</f>
        <v>0.0841248189869677</v>
      </c>
      <c r="X203" s="85">
        <f>R203/'2016'!R203-1</f>
        <v>0.114273336146579</v>
      </c>
      <c r="Y203" s="85">
        <f>S203/'2016'!S203-1</f>
        <v>0.0873697102615822</v>
      </c>
      <c r="Z203" s="141"/>
      <c r="AA203" s="141"/>
      <c r="AB203" s="109"/>
      <c r="AC203" s="109"/>
      <c r="AD203" s="38">
        <f t="shared" si="60"/>
        <v>11902967.988</v>
      </c>
      <c r="AE203" s="38">
        <f t="shared" si="62"/>
        <v>221165.23</v>
      </c>
      <c r="AF203" s="38">
        <f t="shared" si="63"/>
        <v>152636.82</v>
      </c>
      <c r="AG203" s="38">
        <f t="shared" si="61"/>
        <v>89028.7679999981</v>
      </c>
    </row>
    <row r="204" ht="15" customHeight="1" spans="1:33">
      <c r="A204" s="106">
        <v>42934</v>
      </c>
      <c r="B204" s="21" t="s">
        <v>34</v>
      </c>
      <c r="C204" s="9">
        <v>80585</v>
      </c>
      <c r="D204" s="38">
        <f>41287+10783</f>
        <v>52070</v>
      </c>
      <c r="E204" s="38">
        <v>134455</v>
      </c>
      <c r="F204" s="13">
        <v>6528</v>
      </c>
      <c r="G204" s="38">
        <v>4383.5</v>
      </c>
      <c r="H204" s="25"/>
      <c r="I204" s="37"/>
      <c r="J204" s="9">
        <f t="shared" si="58"/>
        <v>82385</v>
      </c>
      <c r="K204" s="38">
        <v>229</v>
      </c>
      <c r="L204" s="38">
        <v>745</v>
      </c>
      <c r="M204" s="132">
        <f t="shared" si="59"/>
        <v>826</v>
      </c>
      <c r="N204" s="78">
        <f t="shared" ref="N204:P216" si="65">C204+N203</f>
        <v>1118888</v>
      </c>
      <c r="O204" s="79">
        <f t="shared" si="65"/>
        <v>901557</v>
      </c>
      <c r="P204" s="79">
        <f t="shared" si="65"/>
        <v>2088209</v>
      </c>
      <c r="Q204" s="80">
        <f t="shared" si="64"/>
        <v>11520722.17</v>
      </c>
      <c r="R204" s="80">
        <f t="shared" si="64"/>
        <v>5995926</v>
      </c>
      <c r="S204" s="80">
        <f t="shared" si="64"/>
        <v>17981278.988</v>
      </c>
      <c r="T204" s="84">
        <f>N204/'2016'!N204-1</f>
        <v>-0.00201935152414656</v>
      </c>
      <c r="U204" s="84">
        <f>O204/'2016'!O204-1</f>
        <v>0.22630784297723</v>
      </c>
      <c r="V204" s="84">
        <f>P204/'2016'!P204-1</f>
        <v>0.098551456566055</v>
      </c>
      <c r="W204" s="85">
        <f>Q204/'2016'!Q204-1</f>
        <v>0.0851608720793271</v>
      </c>
      <c r="X204" s="85">
        <f>R204/'2016'!R204-1</f>
        <v>0.115317765319067</v>
      </c>
      <c r="Y204" s="85">
        <f>S204/'2016'!S204-1</f>
        <v>0.0884342587372868</v>
      </c>
      <c r="Z204" s="141"/>
      <c r="AA204" s="141"/>
      <c r="AB204" s="109"/>
      <c r="AC204" s="109"/>
      <c r="AD204" s="38">
        <f t="shared" si="60"/>
        <v>11985352.988</v>
      </c>
      <c r="AE204" s="38">
        <f t="shared" si="62"/>
        <v>221394.23</v>
      </c>
      <c r="AF204" s="38">
        <f t="shared" si="63"/>
        <v>153381.82</v>
      </c>
      <c r="AG204" s="38">
        <f t="shared" si="61"/>
        <v>89854.7679999981</v>
      </c>
    </row>
    <row r="205" ht="15" customHeight="1" spans="1:33">
      <c r="A205" s="106">
        <v>42935</v>
      </c>
      <c r="B205" s="21" t="s">
        <v>35</v>
      </c>
      <c r="C205" s="9">
        <v>82936</v>
      </c>
      <c r="D205" s="38">
        <f>40562+11092</f>
        <v>51654</v>
      </c>
      <c r="E205" s="38">
        <v>137051</v>
      </c>
      <c r="F205" s="13">
        <v>6641.1</v>
      </c>
      <c r="G205" s="38">
        <v>4490.4</v>
      </c>
      <c r="H205" s="25"/>
      <c r="I205" s="37"/>
      <c r="J205" s="9">
        <f t="shared" si="58"/>
        <v>85397</v>
      </c>
      <c r="K205" s="38">
        <v>862</v>
      </c>
      <c r="L205" s="38">
        <v>746</v>
      </c>
      <c r="M205" s="132">
        <f t="shared" si="59"/>
        <v>853</v>
      </c>
      <c r="N205" s="78">
        <f t="shared" si="65"/>
        <v>1201824</v>
      </c>
      <c r="O205" s="79">
        <f t="shared" si="65"/>
        <v>953211</v>
      </c>
      <c r="P205" s="79">
        <f t="shared" si="65"/>
        <v>2225260</v>
      </c>
      <c r="Q205" s="80">
        <f t="shared" si="64"/>
        <v>11603658.17</v>
      </c>
      <c r="R205" s="80">
        <f t="shared" si="64"/>
        <v>6047580</v>
      </c>
      <c r="S205" s="80">
        <f t="shared" si="64"/>
        <v>18118329.988</v>
      </c>
      <c r="T205" s="84">
        <f>N205/'2016'!N205-1</f>
        <v>0.0111537675200473</v>
      </c>
      <c r="U205" s="84">
        <f>O205/'2016'!O205-1</f>
        <v>0.226941691337367</v>
      </c>
      <c r="V205" s="84">
        <f>P205/'2016'!P205-1</f>
        <v>0.106365207015276</v>
      </c>
      <c r="W205" s="85">
        <f>Q205/'2016'!Q205-1</f>
        <v>0.0860762467828116</v>
      </c>
      <c r="X205" s="85">
        <f>R205/'2016'!R205-1</f>
        <v>0.116263358989977</v>
      </c>
      <c r="Y205" s="85">
        <f>S205/'2016'!S205-1</f>
        <v>0.0894464451338894</v>
      </c>
      <c r="Z205" s="141">
        <f>(Z206-Z199)/7*6+Z199</f>
        <v>83.1785714285714</v>
      </c>
      <c r="AA205" s="141">
        <f>Q205/10000-Z205</f>
        <v>1077.18724557143</v>
      </c>
      <c r="AB205" s="109"/>
      <c r="AC205" s="109"/>
      <c r="AD205" s="38">
        <f t="shared" si="60"/>
        <v>12070749.988</v>
      </c>
      <c r="AE205" s="38">
        <f t="shared" si="62"/>
        <v>222256.23</v>
      </c>
      <c r="AF205" s="38">
        <f t="shared" si="63"/>
        <v>154127.82</v>
      </c>
      <c r="AG205" s="38">
        <f t="shared" si="61"/>
        <v>90707.7679999981</v>
      </c>
    </row>
    <row r="206" ht="15" customHeight="1" spans="1:33">
      <c r="A206" s="106">
        <v>42936</v>
      </c>
      <c r="B206" s="15" t="s">
        <v>36</v>
      </c>
      <c r="C206" s="33">
        <v>84556</v>
      </c>
      <c r="D206" s="34">
        <f>40596+10956</f>
        <v>51552</v>
      </c>
      <c r="E206" s="34">
        <v>138366</v>
      </c>
      <c r="F206" s="124">
        <v>6708</v>
      </c>
      <c r="G206" s="34">
        <v>4540.2</v>
      </c>
      <c r="H206" s="20"/>
      <c r="I206" s="20"/>
      <c r="J206" s="33">
        <f t="shared" si="58"/>
        <v>86814</v>
      </c>
      <c r="K206" s="34">
        <v>670</v>
      </c>
      <c r="L206" s="34">
        <v>744</v>
      </c>
      <c r="M206" s="133">
        <f t="shared" si="59"/>
        <v>844</v>
      </c>
      <c r="N206" s="81">
        <f t="shared" si="65"/>
        <v>1286380</v>
      </c>
      <c r="O206" s="82">
        <f t="shared" si="65"/>
        <v>1004763</v>
      </c>
      <c r="P206" s="82">
        <f t="shared" si="65"/>
        <v>2363626</v>
      </c>
      <c r="Q206" s="81">
        <f t="shared" si="64"/>
        <v>11688214.17</v>
      </c>
      <c r="R206" s="81">
        <f t="shared" si="64"/>
        <v>6099132</v>
      </c>
      <c r="S206" s="81">
        <f t="shared" si="64"/>
        <v>18256695.988</v>
      </c>
      <c r="T206" s="86">
        <f>N206/'2016'!N206-1</f>
        <v>0.0194938432361191</v>
      </c>
      <c r="U206" s="86">
        <f>O206/'2016'!O206-1</f>
        <v>0.226572733387616</v>
      </c>
      <c r="V206" s="86">
        <f>P206/'2016'!P206-1</f>
        <v>0.110614815991249</v>
      </c>
      <c r="W206" s="86">
        <f>Q206/'2016'!Q206-1</f>
        <v>0.0865445680553198</v>
      </c>
      <c r="X206" s="86">
        <f>R206/'2016'!R206-1</f>
        <v>0.117064712709592</v>
      </c>
      <c r="Y206" s="86">
        <f>S206/'2016'!S206-1</f>
        <v>0.0901045488395509</v>
      </c>
      <c r="Z206" s="143">
        <v>83.91</v>
      </c>
      <c r="AA206" s="143">
        <f>Q206/10000-Z206</f>
        <v>1084.911417</v>
      </c>
      <c r="AB206" s="34">
        <v>4258.08</v>
      </c>
      <c r="AC206" s="34">
        <f>AA206*10000/AB206</f>
        <v>2547.88875972269</v>
      </c>
      <c r="AD206" s="34">
        <f t="shared" si="60"/>
        <v>12157563.988</v>
      </c>
      <c r="AE206" s="34">
        <f t="shared" si="62"/>
        <v>222926.23</v>
      </c>
      <c r="AF206" s="34">
        <f t="shared" si="63"/>
        <v>154871.82</v>
      </c>
      <c r="AG206" s="34">
        <f t="shared" si="61"/>
        <v>91551.7679999981</v>
      </c>
    </row>
    <row r="207" ht="15" customHeight="1" spans="1:33">
      <c r="A207" s="106">
        <v>42937</v>
      </c>
      <c r="B207" s="21" t="s">
        <v>37</v>
      </c>
      <c r="C207" s="9">
        <v>86409</v>
      </c>
      <c r="D207" s="38">
        <f>41315+10905</f>
        <v>52220</v>
      </c>
      <c r="E207" s="38">
        <v>140793</v>
      </c>
      <c r="F207" s="13">
        <v>6834.2</v>
      </c>
      <c r="G207" s="38">
        <v>4589.8</v>
      </c>
      <c r="H207" s="25"/>
      <c r="I207" s="37"/>
      <c r="J207" s="9">
        <f t="shared" si="58"/>
        <v>88573</v>
      </c>
      <c r="K207" s="38">
        <v>551</v>
      </c>
      <c r="L207" s="38">
        <v>741</v>
      </c>
      <c r="M207" s="132">
        <f t="shared" si="59"/>
        <v>872</v>
      </c>
      <c r="N207" s="78">
        <f t="shared" si="65"/>
        <v>1372789</v>
      </c>
      <c r="O207" s="79">
        <f t="shared" si="65"/>
        <v>1056983</v>
      </c>
      <c r="P207" s="79">
        <f t="shared" si="65"/>
        <v>2504419</v>
      </c>
      <c r="Q207" s="80">
        <f t="shared" si="64"/>
        <v>11774623.17</v>
      </c>
      <c r="R207" s="80">
        <f t="shared" si="64"/>
        <v>6151352</v>
      </c>
      <c r="S207" s="80">
        <f t="shared" si="64"/>
        <v>18397488.988</v>
      </c>
      <c r="T207" s="84">
        <f>N207/'2016'!N207-1</f>
        <v>0.0258504733237881</v>
      </c>
      <c r="U207" s="84">
        <f>O207/'2016'!O207-1</f>
        <v>0.224140626719123</v>
      </c>
      <c r="V207" s="84">
        <f>P207/'2016'!P207-1</f>
        <v>0.11256629745774</v>
      </c>
      <c r="W207" s="85">
        <f>Q207/'2016'!Q207-1</f>
        <v>0.0868568239301133</v>
      </c>
      <c r="X207" s="85">
        <f>R207/'2016'!R207-1</f>
        <v>0.117564267168873</v>
      </c>
      <c r="Y207" s="85">
        <f>S207/'2016'!S207-1</f>
        <v>0.0905142475275289</v>
      </c>
      <c r="Z207" s="141"/>
      <c r="AA207" s="141"/>
      <c r="AB207" s="109"/>
      <c r="AC207" s="109"/>
      <c r="AD207" s="38">
        <f t="shared" si="60"/>
        <v>12246136.988</v>
      </c>
      <c r="AE207" s="38">
        <f t="shared" si="62"/>
        <v>223477.23</v>
      </c>
      <c r="AF207" s="38">
        <f t="shared" si="63"/>
        <v>155612.82</v>
      </c>
      <c r="AG207" s="38">
        <f t="shared" si="61"/>
        <v>92423.7679999981</v>
      </c>
    </row>
    <row r="208" ht="15" customHeight="1" spans="1:33">
      <c r="A208" s="106">
        <v>42938</v>
      </c>
      <c r="B208" s="21" t="s">
        <v>38</v>
      </c>
      <c r="C208" s="74">
        <v>84545</v>
      </c>
      <c r="D208" s="75">
        <f>41050+10851</f>
        <v>51901</v>
      </c>
      <c r="E208" s="75">
        <v>138840</v>
      </c>
      <c r="F208" s="125">
        <v>6676.3</v>
      </c>
      <c r="G208" s="75">
        <v>4672.1</v>
      </c>
      <c r="H208" s="25"/>
      <c r="I208" s="25"/>
      <c r="J208" s="74">
        <f t="shared" si="58"/>
        <v>86939</v>
      </c>
      <c r="K208" s="75">
        <v>800</v>
      </c>
      <c r="L208" s="75">
        <v>744</v>
      </c>
      <c r="M208" s="134">
        <f t="shared" si="59"/>
        <v>850</v>
      </c>
      <c r="N208" s="78">
        <f t="shared" si="65"/>
        <v>1457334</v>
      </c>
      <c r="O208" s="79">
        <f t="shared" si="65"/>
        <v>1108884</v>
      </c>
      <c r="P208" s="79">
        <f t="shared" si="65"/>
        <v>2643259</v>
      </c>
      <c r="Q208" s="80">
        <f t="shared" si="64"/>
        <v>11859168.17</v>
      </c>
      <c r="R208" s="80">
        <f t="shared" si="64"/>
        <v>6203253</v>
      </c>
      <c r="S208" s="80">
        <f t="shared" si="64"/>
        <v>18536328.988</v>
      </c>
      <c r="T208" s="84">
        <f>N208/'2016'!N208-1</f>
        <v>0.0276318127586119</v>
      </c>
      <c r="U208" s="84">
        <f>O208/'2016'!O208-1</f>
        <v>0.220350846301147</v>
      </c>
      <c r="V208" s="84">
        <f>P208/'2016'!P208-1</f>
        <v>0.111441469397778</v>
      </c>
      <c r="W208" s="85">
        <f>Q208/'2016'!Q208-1</f>
        <v>0.0866413700924873</v>
      </c>
      <c r="X208" s="85">
        <f>R208/'2016'!R208-1</f>
        <v>0.117812003330054</v>
      </c>
      <c r="Y208" s="85">
        <f>S208/'2016'!S208-1</f>
        <v>0.0905218873553713</v>
      </c>
      <c r="Z208" s="144"/>
      <c r="AA208" s="144"/>
      <c r="AB208" s="109"/>
      <c r="AC208" s="109"/>
      <c r="AD208" s="38">
        <f t="shared" si="60"/>
        <v>12333075.988</v>
      </c>
      <c r="AE208" s="75">
        <f t="shared" si="62"/>
        <v>224277.23</v>
      </c>
      <c r="AF208" s="75">
        <f t="shared" si="63"/>
        <v>156356.82</v>
      </c>
      <c r="AG208" s="75">
        <f t="shared" si="61"/>
        <v>93273.7679999981</v>
      </c>
    </row>
    <row r="209" ht="15" customHeight="1" spans="1:33">
      <c r="A209" s="106">
        <v>42939</v>
      </c>
      <c r="B209" s="21" t="s">
        <v>1</v>
      </c>
      <c r="C209" s="9">
        <v>79757</v>
      </c>
      <c r="D209" s="38">
        <f>40437+10871</f>
        <v>51308</v>
      </c>
      <c r="E209" s="38">
        <v>133183</v>
      </c>
      <c r="F209" s="13">
        <v>6201.9</v>
      </c>
      <c r="G209" s="38">
        <v>4584.9</v>
      </c>
      <c r="H209" s="25"/>
      <c r="I209" s="37"/>
      <c r="J209" s="9">
        <f t="shared" si="58"/>
        <v>81875</v>
      </c>
      <c r="K209" s="38">
        <v>551</v>
      </c>
      <c r="L209" s="38">
        <v>739</v>
      </c>
      <c r="M209" s="132">
        <f t="shared" si="59"/>
        <v>828</v>
      </c>
      <c r="N209" s="78">
        <f t="shared" si="65"/>
        <v>1537091</v>
      </c>
      <c r="O209" s="79">
        <f t="shared" si="65"/>
        <v>1160192</v>
      </c>
      <c r="P209" s="79">
        <f t="shared" si="65"/>
        <v>2776442</v>
      </c>
      <c r="Q209" s="80">
        <f t="shared" si="64"/>
        <v>11938925.17</v>
      </c>
      <c r="R209" s="80">
        <f t="shared" si="64"/>
        <v>6254561</v>
      </c>
      <c r="S209" s="80">
        <f t="shared" si="64"/>
        <v>18669511.988</v>
      </c>
      <c r="T209" s="84">
        <f>N209/'2016'!N209-1</f>
        <v>0.0271575881869837</v>
      </c>
      <c r="U209" s="84">
        <f>O209/'2016'!O209-1</f>
        <v>0.215236120058028</v>
      </c>
      <c r="V209" s="84">
        <f>P209/'2016'!P209-1</f>
        <v>0.108441940821977</v>
      </c>
      <c r="W209" s="85">
        <f>Q209/'2016'!Q209-1</f>
        <v>0.0861564422608572</v>
      </c>
      <c r="X209" s="85">
        <f>R209/'2016'!R209-1</f>
        <v>0.117783113409782</v>
      </c>
      <c r="Y209" s="85">
        <f>S209/'2016'!S209-1</f>
        <v>0.090237783046587</v>
      </c>
      <c r="Z209" s="141"/>
      <c r="AA209" s="141"/>
      <c r="AB209" s="109"/>
      <c r="AC209" s="148"/>
      <c r="AD209" s="38">
        <f t="shared" si="60"/>
        <v>12414950.988</v>
      </c>
      <c r="AE209" s="38">
        <f t="shared" si="62"/>
        <v>224828.23</v>
      </c>
      <c r="AF209" s="38">
        <f t="shared" si="63"/>
        <v>157095.82</v>
      </c>
      <c r="AG209" s="38">
        <f t="shared" si="61"/>
        <v>94101.7679999981</v>
      </c>
    </row>
    <row r="210" ht="15" customHeight="1" spans="1:33">
      <c r="A210" s="106">
        <v>42940</v>
      </c>
      <c r="B210" s="21" t="s">
        <v>39</v>
      </c>
      <c r="C210" s="9">
        <v>88643</v>
      </c>
      <c r="D210" s="38">
        <f>40446+10855</f>
        <v>51301</v>
      </c>
      <c r="E210" s="38">
        <v>142382</v>
      </c>
      <c r="F210" s="13">
        <v>6933.1</v>
      </c>
      <c r="G210" s="38">
        <v>4521.3</v>
      </c>
      <c r="H210" s="25"/>
      <c r="I210" s="37"/>
      <c r="J210" s="9">
        <f t="shared" si="58"/>
        <v>91081</v>
      </c>
      <c r="K210" s="38">
        <v>874</v>
      </c>
      <c r="L210" s="38">
        <v>741</v>
      </c>
      <c r="M210" s="132">
        <f t="shared" si="59"/>
        <v>823</v>
      </c>
      <c r="N210" s="78">
        <f t="shared" si="65"/>
        <v>1625734</v>
      </c>
      <c r="O210" s="79">
        <f t="shared" si="65"/>
        <v>1211493</v>
      </c>
      <c r="P210" s="79">
        <f t="shared" si="65"/>
        <v>2918824</v>
      </c>
      <c r="Q210" s="80">
        <f t="shared" si="64"/>
        <v>12027568.17</v>
      </c>
      <c r="R210" s="80">
        <f t="shared" si="64"/>
        <v>6305862</v>
      </c>
      <c r="S210" s="80">
        <f t="shared" si="64"/>
        <v>18811893.988</v>
      </c>
      <c r="T210" s="84">
        <f>N210/'2016'!N210-1</f>
        <v>0.0337636935692684</v>
      </c>
      <c r="U210" s="84">
        <f>O210/'2016'!O210-1</f>
        <v>0.213890433606372</v>
      </c>
      <c r="V210" s="84">
        <f>P210/'2016'!P210-1</f>
        <v>0.111300040548335</v>
      </c>
      <c r="W210" s="85">
        <f>Q210/'2016'!Q210-1</f>
        <v>0.0866889797667836</v>
      </c>
      <c r="X210" s="85">
        <f>R210/'2016'!R210-1</f>
        <v>0.118293616134567</v>
      </c>
      <c r="Y210" s="85">
        <f>S210/'2016'!S210-1</f>
        <v>0.0908015022900754</v>
      </c>
      <c r="Z210" s="141"/>
      <c r="AA210" s="141"/>
      <c r="AB210" s="109"/>
      <c r="AC210" s="109"/>
      <c r="AD210" s="38">
        <f t="shared" si="60"/>
        <v>12506031.988</v>
      </c>
      <c r="AE210" s="38">
        <f t="shared" si="62"/>
        <v>225702.23</v>
      </c>
      <c r="AF210" s="38">
        <f t="shared" si="63"/>
        <v>157836.82</v>
      </c>
      <c r="AG210" s="38">
        <f t="shared" si="61"/>
        <v>94924.7679999981</v>
      </c>
    </row>
    <row r="211" ht="15" customHeight="1" spans="1:33">
      <c r="A211" s="106">
        <v>42941</v>
      </c>
      <c r="B211" s="21" t="s">
        <v>34</v>
      </c>
      <c r="C211" s="9">
        <v>91399</v>
      </c>
      <c r="D211" s="38">
        <f>40650+10848</f>
        <v>51498</v>
      </c>
      <c r="E211" s="38">
        <v>145277</v>
      </c>
      <c r="F211" s="13">
        <v>6982.6</v>
      </c>
      <c r="G211" s="38">
        <v>4772.1</v>
      </c>
      <c r="H211" s="25"/>
      <c r="I211" s="37"/>
      <c r="J211" s="9">
        <f t="shared" si="58"/>
        <v>93779</v>
      </c>
      <c r="K211" s="38">
        <v>849</v>
      </c>
      <c r="L211" s="38">
        <v>741</v>
      </c>
      <c r="M211" s="132">
        <f t="shared" si="59"/>
        <v>790</v>
      </c>
      <c r="N211" s="78">
        <f t="shared" si="65"/>
        <v>1717133</v>
      </c>
      <c r="O211" s="79">
        <f t="shared" si="65"/>
        <v>1262991</v>
      </c>
      <c r="P211" s="79">
        <f t="shared" si="65"/>
        <v>3064101</v>
      </c>
      <c r="Q211" s="80">
        <f t="shared" si="64"/>
        <v>12118967.17</v>
      </c>
      <c r="R211" s="80">
        <f t="shared" si="64"/>
        <v>6357360</v>
      </c>
      <c r="S211" s="80">
        <f t="shared" si="64"/>
        <v>18957170.988</v>
      </c>
      <c r="T211" s="84">
        <f>N211/'2016'!N211-1</f>
        <v>0.0385296720085011</v>
      </c>
      <c r="U211" s="84">
        <f>O211/'2016'!O211-1</f>
        <v>0.210841277039199</v>
      </c>
      <c r="V211" s="84">
        <f>P211/'2016'!P211-1</f>
        <v>0.112492361851629</v>
      </c>
      <c r="W211" s="85">
        <f>Q211/'2016'!Q211-1</f>
        <v>0.0870122688579067</v>
      </c>
      <c r="X211" s="85">
        <f>R211/'2016'!R211-1</f>
        <v>0.118491647150911</v>
      </c>
      <c r="Y211" s="85">
        <f>S211/'2016'!S211-1</f>
        <v>0.0911412748999076</v>
      </c>
      <c r="Z211" s="141"/>
      <c r="AA211" s="141"/>
      <c r="AB211" s="109"/>
      <c r="AC211" s="109"/>
      <c r="AD211" s="38">
        <f t="shared" si="60"/>
        <v>12599810.988</v>
      </c>
      <c r="AE211" s="38">
        <f t="shared" si="62"/>
        <v>226551.23</v>
      </c>
      <c r="AF211" s="38">
        <f t="shared" si="63"/>
        <v>158577.82</v>
      </c>
      <c r="AG211" s="38">
        <f t="shared" si="61"/>
        <v>95714.7679999981</v>
      </c>
    </row>
    <row r="212" ht="15" customHeight="1" spans="1:33">
      <c r="A212" s="106">
        <v>42942</v>
      </c>
      <c r="B212" s="21" t="s">
        <v>35</v>
      </c>
      <c r="C212" s="9">
        <v>90501</v>
      </c>
      <c r="D212" s="38">
        <f>41029+10832</f>
        <v>51861</v>
      </c>
      <c r="E212" s="38">
        <v>144544</v>
      </c>
      <c r="F212" s="13">
        <v>6961.8</v>
      </c>
      <c r="G212" s="38">
        <v>4796.9</v>
      </c>
      <c r="H212" s="25"/>
      <c r="I212" s="37"/>
      <c r="J212" s="9">
        <f t="shared" si="58"/>
        <v>92683</v>
      </c>
      <c r="K212" s="38">
        <v>620</v>
      </c>
      <c r="L212" s="38">
        <v>737</v>
      </c>
      <c r="M212" s="132">
        <f t="shared" si="59"/>
        <v>825</v>
      </c>
      <c r="N212" s="78">
        <f t="shared" si="65"/>
        <v>1807634</v>
      </c>
      <c r="O212" s="79">
        <f t="shared" si="65"/>
        <v>1314852</v>
      </c>
      <c r="P212" s="79">
        <f t="shared" si="65"/>
        <v>3208645</v>
      </c>
      <c r="Q212" s="80">
        <f t="shared" si="64"/>
        <v>12209468.17</v>
      </c>
      <c r="R212" s="80">
        <f t="shared" si="64"/>
        <v>6409221</v>
      </c>
      <c r="S212" s="80">
        <f t="shared" si="64"/>
        <v>19101714.988</v>
      </c>
      <c r="T212" s="84">
        <f>N212/'2016'!N212-1</f>
        <v>0.0414509981056503</v>
      </c>
      <c r="U212" s="84">
        <f>O212/'2016'!O212-1</f>
        <v>0.207339614654621</v>
      </c>
      <c r="V212" s="84">
        <f>P212/'2016'!P212-1</f>
        <v>0.112407541910578</v>
      </c>
      <c r="W212" s="85">
        <f>Q212/'2016'!Q212-1</f>
        <v>0.0871086334164326</v>
      </c>
      <c r="X212" s="85">
        <f>R212/'2016'!R212-1</f>
        <v>0.118567173410678</v>
      </c>
      <c r="Y212" s="85">
        <f>S212/'2016'!S212-1</f>
        <v>0.0912860512971512</v>
      </c>
      <c r="Z212" s="141">
        <f>(Z213-Z206)/7*6+Z206</f>
        <v>90.0985714285714</v>
      </c>
      <c r="AA212" s="141">
        <f>Q212/10000-Z212</f>
        <v>1130.84824557143</v>
      </c>
      <c r="AB212" s="109"/>
      <c r="AC212" s="109"/>
      <c r="AD212" s="38">
        <f t="shared" si="60"/>
        <v>12692493.988</v>
      </c>
      <c r="AE212" s="38">
        <f t="shared" si="62"/>
        <v>227171.23</v>
      </c>
      <c r="AF212" s="38">
        <f t="shared" si="63"/>
        <v>159314.82</v>
      </c>
      <c r="AG212" s="38">
        <f t="shared" si="61"/>
        <v>96539.7679999981</v>
      </c>
    </row>
    <row r="213" ht="15" customHeight="1" spans="1:33">
      <c r="A213" s="106">
        <v>42943</v>
      </c>
      <c r="B213" s="15" t="s">
        <v>36</v>
      </c>
      <c r="C213" s="33">
        <v>88591</v>
      </c>
      <c r="D213" s="34">
        <f>10108+38471</f>
        <v>48579</v>
      </c>
      <c r="E213" s="34">
        <v>142561</v>
      </c>
      <c r="F213" s="124">
        <v>6853.6</v>
      </c>
      <c r="G213" s="34">
        <v>4735.1</v>
      </c>
      <c r="H213" s="20"/>
      <c r="I213" s="20"/>
      <c r="J213" s="33">
        <f t="shared" si="58"/>
        <v>93982</v>
      </c>
      <c r="K213" s="34">
        <v>1165</v>
      </c>
      <c r="L213" s="34">
        <v>740</v>
      </c>
      <c r="M213" s="133">
        <f t="shared" si="59"/>
        <v>3486</v>
      </c>
      <c r="N213" s="81">
        <f t="shared" si="65"/>
        <v>1896225</v>
      </c>
      <c r="O213" s="82">
        <f t="shared" si="65"/>
        <v>1363431</v>
      </c>
      <c r="P213" s="82">
        <f t="shared" si="65"/>
        <v>3351206</v>
      </c>
      <c r="Q213" s="81">
        <f t="shared" si="64"/>
        <v>12298059.17</v>
      </c>
      <c r="R213" s="81">
        <f t="shared" si="64"/>
        <v>6457800</v>
      </c>
      <c r="S213" s="81">
        <f t="shared" si="64"/>
        <v>19244275.988</v>
      </c>
      <c r="T213" s="86">
        <f>N213/'2016'!N213-1</f>
        <v>0.044120991334714</v>
      </c>
      <c r="U213" s="86">
        <f>O213/'2016'!O213-1</f>
        <v>0.198731311461717</v>
      </c>
      <c r="V213" s="86">
        <f>P213/'2016'!P213-1</f>
        <v>0.111422639657208</v>
      </c>
      <c r="W213" s="86">
        <f>Q213/'2016'!Q213-1</f>
        <v>0.0872127466550112</v>
      </c>
      <c r="X213" s="86">
        <f>R213/'2016'!R213-1</f>
        <v>0.117615449115165</v>
      </c>
      <c r="Y213" s="86">
        <f>S213/'2016'!S213-1</f>
        <v>0.0912743415503607</v>
      </c>
      <c r="Z213" s="143">
        <v>91.13</v>
      </c>
      <c r="AA213" s="143">
        <f>Q213/10000-Z213</f>
        <v>1138.675917</v>
      </c>
      <c r="AB213" s="34">
        <v>4258.08</v>
      </c>
      <c r="AC213" s="34">
        <f>AA213*10000/AB213</f>
        <v>2674.15341421486</v>
      </c>
      <c r="AD213" s="34">
        <f t="shared" si="60"/>
        <v>12786475.988</v>
      </c>
      <c r="AE213" s="34">
        <f t="shared" si="62"/>
        <v>228336.23</v>
      </c>
      <c r="AF213" s="34">
        <f t="shared" si="63"/>
        <v>160054.82</v>
      </c>
      <c r="AG213" s="34">
        <f t="shared" si="61"/>
        <v>100025.767999998</v>
      </c>
    </row>
    <row r="214" ht="15" customHeight="1" spans="1:33">
      <c r="A214" s="106">
        <v>42944</v>
      </c>
      <c r="B214" s="21" t="s">
        <v>37</v>
      </c>
      <c r="C214" s="9">
        <v>86875</v>
      </c>
      <c r="D214" s="38">
        <f>40601+10094</f>
        <v>50695</v>
      </c>
      <c r="E214" s="38">
        <v>140764</v>
      </c>
      <c r="F214" s="13">
        <v>6749.9</v>
      </c>
      <c r="G214" s="38">
        <v>4679</v>
      </c>
      <c r="H214" s="25"/>
      <c r="I214" s="37"/>
      <c r="J214" s="9">
        <f t="shared" si="58"/>
        <v>90069</v>
      </c>
      <c r="K214" s="38">
        <v>1593</v>
      </c>
      <c r="L214" s="38">
        <v>739</v>
      </c>
      <c r="M214" s="132">
        <f t="shared" si="59"/>
        <v>862</v>
      </c>
      <c r="N214" s="78">
        <f t="shared" si="65"/>
        <v>1983100</v>
      </c>
      <c r="O214" s="79">
        <f t="shared" si="65"/>
        <v>1414126</v>
      </c>
      <c r="P214" s="79">
        <f t="shared" si="65"/>
        <v>3491970</v>
      </c>
      <c r="Q214" s="80">
        <f t="shared" si="64"/>
        <v>12384934.17</v>
      </c>
      <c r="R214" s="80">
        <f t="shared" si="64"/>
        <v>6508495</v>
      </c>
      <c r="S214" s="80">
        <f t="shared" si="64"/>
        <v>19385039.988</v>
      </c>
      <c r="T214" s="84">
        <f>N214/'2016'!N214-1</f>
        <v>0.0454877589731857</v>
      </c>
      <c r="U214" s="84">
        <f>O214/'2016'!O214-1</f>
        <v>0.19307336663067</v>
      </c>
      <c r="V214" s="84">
        <f>P214/'2016'!P214-1</f>
        <v>0.110238541187438</v>
      </c>
      <c r="W214" s="85">
        <f>Q214/'2016'!Q214-1</f>
        <v>0.0871349833821515</v>
      </c>
      <c r="X214" s="85">
        <f>R214/'2016'!R214-1</f>
        <v>0.117131072693818</v>
      </c>
      <c r="Y214" s="85">
        <f>S214/'2016'!S214-1</f>
        <v>0.0912121429679162</v>
      </c>
      <c r="Z214" s="141"/>
      <c r="AA214" s="141"/>
      <c r="AB214" s="109"/>
      <c r="AC214" s="109"/>
      <c r="AD214" s="38">
        <f t="shared" si="60"/>
        <v>12876544.988</v>
      </c>
      <c r="AE214" s="38">
        <f t="shared" si="62"/>
        <v>229929.23</v>
      </c>
      <c r="AF214" s="38">
        <f t="shared" si="63"/>
        <v>160793.82</v>
      </c>
      <c r="AG214" s="38">
        <f t="shared" si="61"/>
        <v>100887.767999998</v>
      </c>
    </row>
    <row r="215" ht="15" customHeight="1" spans="1:33">
      <c r="A215" s="106">
        <v>42945</v>
      </c>
      <c r="B215" s="21" t="s">
        <v>38</v>
      </c>
      <c r="C215" s="74">
        <v>77655</v>
      </c>
      <c r="D215" s="75">
        <f>41443+10132</f>
        <v>51575</v>
      </c>
      <c r="E215" s="75">
        <v>133648</v>
      </c>
      <c r="F215" s="125">
        <v>6334.2</v>
      </c>
      <c r="G215" s="75">
        <v>4617.7</v>
      </c>
      <c r="H215" s="25"/>
      <c r="I215" s="25"/>
      <c r="J215" s="74">
        <f t="shared" si="58"/>
        <v>82073</v>
      </c>
      <c r="K215" s="75">
        <v>2761</v>
      </c>
      <c r="L215" s="75">
        <v>741</v>
      </c>
      <c r="M215" s="134">
        <f t="shared" si="59"/>
        <v>916</v>
      </c>
      <c r="N215" s="78">
        <f t="shared" si="65"/>
        <v>2060755</v>
      </c>
      <c r="O215" s="79">
        <f t="shared" si="65"/>
        <v>1465701</v>
      </c>
      <c r="P215" s="79">
        <f t="shared" si="65"/>
        <v>3625618</v>
      </c>
      <c r="Q215" s="80">
        <f t="shared" si="64"/>
        <v>12462589.17</v>
      </c>
      <c r="R215" s="80">
        <f t="shared" si="64"/>
        <v>6560070</v>
      </c>
      <c r="S215" s="80">
        <f t="shared" si="64"/>
        <v>19518687.988</v>
      </c>
      <c r="T215" s="84">
        <f>N215/'2016'!N215-1</f>
        <v>0.0417924195409098</v>
      </c>
      <c r="U215" s="84">
        <f>O215/'2016'!O215-1</f>
        <v>0.188948312379185</v>
      </c>
      <c r="V215" s="84">
        <f>P215/'2016'!P215-1</f>
        <v>0.106925762213645</v>
      </c>
      <c r="W215" s="85">
        <f>Q215/'2016'!Q215-1</f>
        <v>0.0862029006399683</v>
      </c>
      <c r="X215" s="85">
        <f>R215/'2016'!R215-1</f>
        <v>0.11687932264716</v>
      </c>
      <c r="Y215" s="85">
        <f>S215/'2016'!S215-1</f>
        <v>0.0907441670882034</v>
      </c>
      <c r="Z215" s="144"/>
      <c r="AA215" s="144"/>
      <c r="AB215" s="109"/>
      <c r="AC215" s="109"/>
      <c r="AD215" s="38">
        <f t="shared" si="60"/>
        <v>12958617.988</v>
      </c>
      <c r="AE215" s="75">
        <f t="shared" si="62"/>
        <v>232690.23</v>
      </c>
      <c r="AF215" s="75">
        <f t="shared" si="63"/>
        <v>161534.82</v>
      </c>
      <c r="AG215" s="75">
        <f t="shared" si="61"/>
        <v>101803.767999998</v>
      </c>
    </row>
    <row r="216" ht="15" customHeight="1" spans="1:33">
      <c r="A216" s="106">
        <v>42946</v>
      </c>
      <c r="B216" s="21" t="s">
        <v>1</v>
      </c>
      <c r="C216" s="9">
        <v>60555</v>
      </c>
      <c r="D216" s="38">
        <f>41877+9975</f>
        <v>51852</v>
      </c>
      <c r="E216" s="38">
        <v>116669</v>
      </c>
      <c r="F216" s="13">
        <v>5397.7</v>
      </c>
      <c r="G216" s="38">
        <v>4309.7</v>
      </c>
      <c r="H216" s="25"/>
      <c r="I216" s="37"/>
      <c r="J216" s="9">
        <f t="shared" si="58"/>
        <v>64817</v>
      </c>
      <c r="K216" s="38">
        <v>2800</v>
      </c>
      <c r="L216" s="38">
        <v>743</v>
      </c>
      <c r="M216" s="132">
        <f t="shared" si="59"/>
        <v>719</v>
      </c>
      <c r="N216" s="78">
        <f t="shared" si="65"/>
        <v>2121310</v>
      </c>
      <c r="O216" s="79">
        <f t="shared" si="65"/>
        <v>1517553</v>
      </c>
      <c r="P216" s="79">
        <f t="shared" si="65"/>
        <v>3742287</v>
      </c>
      <c r="Q216" s="80">
        <f t="shared" si="64"/>
        <v>12523144.17</v>
      </c>
      <c r="R216" s="80">
        <f t="shared" si="64"/>
        <v>6611922</v>
      </c>
      <c r="S216" s="80">
        <f t="shared" si="64"/>
        <v>19635356.988</v>
      </c>
      <c r="T216" s="84">
        <f>N216/'2016'!N216-1</f>
        <v>0.0318654383376602</v>
      </c>
      <c r="U216" s="84">
        <f>O216/'2016'!O216-1</f>
        <v>0.185502147109624</v>
      </c>
      <c r="V216" s="84">
        <f>P216/'2016'!P216-1</f>
        <v>0.100072783840812</v>
      </c>
      <c r="W216" s="85">
        <f>Q216/'2016'!Q216-1</f>
        <v>0.0841373878779548</v>
      </c>
      <c r="X216" s="85">
        <f>R216/'2016'!R216-1</f>
        <v>0.116710266508785</v>
      </c>
      <c r="Y216" s="85">
        <f>S216/'2016'!S216-1</f>
        <v>0.0895640906181219</v>
      </c>
      <c r="Z216" s="141"/>
      <c r="AA216" s="141"/>
      <c r="AB216" s="109"/>
      <c r="AC216" s="109"/>
      <c r="AD216" s="38">
        <f t="shared" si="60"/>
        <v>13023434.988</v>
      </c>
      <c r="AE216" s="38">
        <f t="shared" si="62"/>
        <v>235490.23</v>
      </c>
      <c r="AF216" s="38">
        <f t="shared" si="63"/>
        <v>162277.82</v>
      </c>
      <c r="AG216" s="38">
        <f t="shared" si="61"/>
        <v>102522.767999998</v>
      </c>
    </row>
    <row r="217" s="105" customFormat="1" ht="15" customHeight="1" spans="1:33">
      <c r="A217" s="112">
        <v>42947</v>
      </c>
      <c r="B217" s="26" t="s">
        <v>39</v>
      </c>
      <c r="C217" s="43">
        <v>72054</v>
      </c>
      <c r="D217" s="44">
        <f>35104+10191</f>
        <v>45295</v>
      </c>
      <c r="E217" s="44">
        <v>120317</v>
      </c>
      <c r="F217" s="127">
        <v>6035.7</v>
      </c>
      <c r="G217" s="44">
        <v>3919.1</v>
      </c>
      <c r="H217" s="31"/>
      <c r="I217" s="31"/>
      <c r="J217" s="43">
        <f t="shared" si="58"/>
        <v>75022</v>
      </c>
      <c r="K217" s="44">
        <v>1307</v>
      </c>
      <c r="L217" s="44">
        <v>746</v>
      </c>
      <c r="M217" s="135">
        <f t="shared" si="59"/>
        <v>915</v>
      </c>
      <c r="N217" s="91">
        <f>C217+N216</f>
        <v>2193364</v>
      </c>
      <c r="O217" s="92">
        <f>D217+O216</f>
        <v>1562848</v>
      </c>
      <c r="P217" s="92">
        <f t="shared" ref="P217" si="66">E217+P216</f>
        <v>3862604</v>
      </c>
      <c r="Q217" s="147" t="s">
        <v>56</v>
      </c>
      <c r="R217" s="147">
        <v>6660436</v>
      </c>
      <c r="S217" s="147" t="s">
        <v>57</v>
      </c>
      <c r="T217" s="93">
        <f>N217/'2016'!N217-1</f>
        <v>0.0312298419325416</v>
      </c>
      <c r="U217" s="93">
        <f>O217/'2016'!O217-1</f>
        <v>0.179465196732496</v>
      </c>
      <c r="V217" s="93">
        <f>P217/'2016'!P217-1</f>
        <v>0.0978112299714102</v>
      </c>
      <c r="W217" s="93">
        <f>Q217/'2016'!Q217-1</f>
        <v>0.0837012057157602</v>
      </c>
      <c r="X217" s="93">
        <f>R217/'2016'!R217-1</f>
        <v>0.116427371263901</v>
      </c>
      <c r="Y217" s="93">
        <f>S217/'2016'!S217-1</f>
        <v>0.0892172461226983</v>
      </c>
      <c r="Z217" s="146">
        <f>[15]日发电量查询!$D$12/10000</f>
        <v>94.687922</v>
      </c>
      <c r="AA217" s="146">
        <f>[15]日发电量查询!$D$11/10000</f>
        <v>1164.831992</v>
      </c>
      <c r="AB217" s="44">
        <v>4258.08</v>
      </c>
      <c r="AC217" s="44">
        <f>AA217*10000/AB217</f>
        <v>2735.58033667756</v>
      </c>
      <c r="AD217" s="149" t="str">
        <f>[15]日发电量查询!$D$4</f>
        <v>13095678.948</v>
      </c>
      <c r="AE217" s="44" t="str">
        <f>[15]日发电量查询!$D$14</f>
        <v>236796.680</v>
      </c>
      <c r="AF217" s="44">
        <f t="shared" si="63"/>
        <v>163023.82</v>
      </c>
      <c r="AG217" s="44">
        <f t="shared" si="61"/>
        <v>100659.308</v>
      </c>
    </row>
    <row r="218" ht="15" customHeight="1" spans="1:33">
      <c r="A218" s="106">
        <v>42948</v>
      </c>
      <c r="B218" s="21" t="s">
        <v>34</v>
      </c>
      <c r="C218" s="9">
        <v>63339</v>
      </c>
      <c r="D218" s="38">
        <f>37742+10223</f>
        <v>47965</v>
      </c>
      <c r="E218" s="38">
        <v>113859</v>
      </c>
      <c r="F218" s="13">
        <v>5527.1</v>
      </c>
      <c r="G218" s="38">
        <v>3831.7</v>
      </c>
      <c r="H218" s="25"/>
      <c r="I218" s="37"/>
      <c r="J218" s="9">
        <f t="shared" si="58"/>
        <v>65894</v>
      </c>
      <c r="K218" s="38">
        <v>1037</v>
      </c>
      <c r="L218" s="38">
        <v>747</v>
      </c>
      <c r="M218" s="132">
        <f t="shared" si="59"/>
        <v>771</v>
      </c>
      <c r="N218" s="78">
        <f>C218</f>
        <v>63339</v>
      </c>
      <c r="O218" s="79">
        <f>D218</f>
        <v>47965</v>
      </c>
      <c r="P218" s="79">
        <f>E218</f>
        <v>113859</v>
      </c>
      <c r="Q218" s="80">
        <f>Q$217+N218</f>
        <v>12658538.14</v>
      </c>
      <c r="R218" s="80">
        <f>R$217+O218</f>
        <v>6708401</v>
      </c>
      <c r="S218" s="80">
        <f>S$217+P218</f>
        <v>19869973.948</v>
      </c>
      <c r="T218" s="84">
        <f>N218/'2016'!N218-1</f>
        <v>-0.136659169903905</v>
      </c>
      <c r="U218" s="84">
        <f>O218/'2016'!O218-1</f>
        <v>0.0544539219134716</v>
      </c>
      <c r="V218" s="84">
        <f>P218/'2016'!P218-1</f>
        <v>-0.0530531113291971</v>
      </c>
      <c r="W218" s="85">
        <f>Q218/'2016'!Q218-1</f>
        <v>0.0823189317561004</v>
      </c>
      <c r="X218" s="85">
        <f>R218/'2016'!R218-1</f>
        <v>0.11595841589956</v>
      </c>
      <c r="Y218" s="85">
        <f>S218/'2016'!S218-1</f>
        <v>0.0882803322937067</v>
      </c>
      <c r="Z218" s="141"/>
      <c r="AA218" s="141"/>
      <c r="AB218" s="109"/>
      <c r="AC218" s="109"/>
      <c r="AD218" s="38">
        <f t="shared" si="60"/>
        <v>13161572.948</v>
      </c>
      <c r="AE218" s="38">
        <f t="shared" si="62"/>
        <v>237833.68</v>
      </c>
      <c r="AF218" s="38">
        <f t="shared" si="63"/>
        <v>163770.82</v>
      </c>
      <c r="AG218" s="38">
        <f t="shared" si="61"/>
        <v>101430.307999998</v>
      </c>
    </row>
    <row r="219" ht="15" customHeight="1" spans="1:33">
      <c r="A219" s="106">
        <v>42949</v>
      </c>
      <c r="B219" s="21" t="s">
        <v>35</v>
      </c>
      <c r="C219" s="9">
        <v>71398</v>
      </c>
      <c r="D219" s="38">
        <f>36632+9993</f>
        <v>46625</v>
      </c>
      <c r="E219" s="38">
        <v>121120</v>
      </c>
      <c r="F219" s="13">
        <v>5986.4</v>
      </c>
      <c r="G219" s="38">
        <v>3784.5</v>
      </c>
      <c r="H219" s="25"/>
      <c r="I219" s="37"/>
      <c r="J219" s="9">
        <f t="shared" si="58"/>
        <v>74495</v>
      </c>
      <c r="K219" s="38">
        <v>1504</v>
      </c>
      <c r="L219" s="38">
        <v>743</v>
      </c>
      <c r="M219" s="132">
        <f t="shared" si="59"/>
        <v>850</v>
      </c>
      <c r="N219" s="78">
        <f t="shared" ref="N219:P234" si="67">N218+C219</f>
        <v>134737</v>
      </c>
      <c r="O219" s="79">
        <f t="shared" si="67"/>
        <v>94590</v>
      </c>
      <c r="P219" s="79">
        <f t="shared" si="67"/>
        <v>234979</v>
      </c>
      <c r="Q219" s="80">
        <f t="shared" ref="Q219:S247" si="68">Q$217+N219</f>
        <v>12729936.14</v>
      </c>
      <c r="R219" s="80">
        <f t="shared" si="68"/>
        <v>6755026</v>
      </c>
      <c r="S219" s="80">
        <f t="shared" si="68"/>
        <v>19991093.948</v>
      </c>
      <c r="T219" s="84">
        <f>N219/'2016'!N219-1</f>
        <v>-0.102477334949807</v>
      </c>
      <c r="U219" s="84">
        <f>O219/'2016'!O219-1</f>
        <v>0.0486928756735183</v>
      </c>
      <c r="V219" s="84">
        <f>P219/'2016'!P219-1</f>
        <v>-0.033338407046153</v>
      </c>
      <c r="W219" s="85">
        <f>Q219/'2016'!Q219-1</f>
        <v>0.0813270897494096</v>
      </c>
      <c r="X219" s="85">
        <f>R219/'2016'!R219-1</f>
        <v>0.115418542065235</v>
      </c>
      <c r="Y219" s="85">
        <f>S219/'2016'!S219-1</f>
        <v>0.0875964844002473</v>
      </c>
      <c r="Z219" s="141">
        <f>(Z220-Z213)/7*6+Z213</f>
        <v>95.7328571428571</v>
      </c>
      <c r="AA219" s="141">
        <f>Q219/10000-Z219</f>
        <v>1177.26075685714</v>
      </c>
      <c r="AB219" s="109"/>
      <c r="AC219" s="109"/>
      <c r="AD219" s="38">
        <f t="shared" si="60"/>
        <v>13236067.948</v>
      </c>
      <c r="AE219" s="38">
        <f t="shared" si="62"/>
        <v>239337.68</v>
      </c>
      <c r="AF219" s="38">
        <f t="shared" si="63"/>
        <v>164513.82</v>
      </c>
      <c r="AG219" s="38">
        <f t="shared" si="61"/>
        <v>102280.307999998</v>
      </c>
    </row>
    <row r="220" ht="15" customHeight="1" spans="1:33">
      <c r="A220" s="106">
        <v>42950</v>
      </c>
      <c r="B220" s="15" t="s">
        <v>36</v>
      </c>
      <c r="C220" s="33">
        <v>79745</v>
      </c>
      <c r="D220" s="34">
        <f>10106+34027</f>
        <v>44133</v>
      </c>
      <c r="E220" s="34">
        <v>128977</v>
      </c>
      <c r="F220" s="124">
        <v>6409</v>
      </c>
      <c r="G220" s="34">
        <v>4067.2</v>
      </c>
      <c r="H220" s="20"/>
      <c r="I220" s="20"/>
      <c r="J220" s="33">
        <f t="shared" si="58"/>
        <v>84844</v>
      </c>
      <c r="K220" s="34">
        <v>1093</v>
      </c>
      <c r="L220" s="34">
        <v>744</v>
      </c>
      <c r="M220" s="133">
        <f t="shared" si="59"/>
        <v>3262</v>
      </c>
      <c r="N220" s="81">
        <f t="shared" si="67"/>
        <v>214482</v>
      </c>
      <c r="O220" s="82">
        <f t="shared" si="67"/>
        <v>138723</v>
      </c>
      <c r="P220" s="82">
        <f t="shared" si="67"/>
        <v>363956</v>
      </c>
      <c r="Q220" s="81">
        <f t="shared" si="68"/>
        <v>12809681.14</v>
      </c>
      <c r="R220" s="81">
        <f t="shared" si="68"/>
        <v>6799159</v>
      </c>
      <c r="S220" s="81">
        <f t="shared" si="68"/>
        <v>20120070.948</v>
      </c>
      <c r="T220" s="86">
        <f>N220/'2016'!N220-1</f>
        <v>-0.0359319656951761</v>
      </c>
      <c r="U220" s="86">
        <f>O220/'2016'!O220-1</f>
        <v>0.0529339881137618</v>
      </c>
      <c r="V220" s="86">
        <f>P220/'2016'!P220-1</f>
        <v>0.0161231332761929</v>
      </c>
      <c r="W220" s="86">
        <f>Q220/'2016'!Q220-1</f>
        <v>0.0814541978394523</v>
      </c>
      <c r="X220" s="86">
        <f>R220/'2016'!R220-1</f>
        <v>0.115055488252175</v>
      </c>
      <c r="Y220" s="86">
        <f>S220/'2016'!S220-1</f>
        <v>0.087801761375593</v>
      </c>
      <c r="Z220" s="143">
        <v>96.5</v>
      </c>
      <c r="AA220" s="143">
        <f>Q220/10000-Z220</f>
        <v>1184.468114</v>
      </c>
      <c r="AB220" s="34">
        <v>4258.08</v>
      </c>
      <c r="AC220" s="34">
        <f>AA220*10000/AB220</f>
        <v>2781.69530398677</v>
      </c>
      <c r="AD220" s="34">
        <f t="shared" si="60"/>
        <v>13320911.948</v>
      </c>
      <c r="AE220" s="34">
        <f t="shared" si="62"/>
        <v>240430.68</v>
      </c>
      <c r="AF220" s="34">
        <f t="shared" si="63"/>
        <v>165257.82</v>
      </c>
      <c r="AG220" s="34">
        <f t="shared" si="61"/>
        <v>105542.307999998</v>
      </c>
    </row>
    <row r="221" ht="15" customHeight="1" spans="1:33">
      <c r="A221" s="106">
        <v>42951</v>
      </c>
      <c r="B221" s="21" t="s">
        <v>37</v>
      </c>
      <c r="C221" s="9">
        <v>84748</v>
      </c>
      <c r="D221" s="38">
        <f>10172+34003</f>
        <v>44175</v>
      </c>
      <c r="E221" s="38">
        <v>134664</v>
      </c>
      <c r="F221" s="13">
        <v>6712.7</v>
      </c>
      <c r="G221" s="38">
        <v>4319.1</v>
      </c>
      <c r="H221" s="25"/>
      <c r="I221" s="37"/>
      <c r="J221" s="9">
        <f t="shared" si="58"/>
        <v>90489</v>
      </c>
      <c r="K221" s="38">
        <v>1768</v>
      </c>
      <c r="L221" s="38">
        <v>732</v>
      </c>
      <c r="M221" s="132">
        <f t="shared" si="59"/>
        <v>3241</v>
      </c>
      <c r="N221" s="78">
        <f t="shared" si="67"/>
        <v>299230</v>
      </c>
      <c r="O221" s="79">
        <f t="shared" si="67"/>
        <v>182898</v>
      </c>
      <c r="P221" s="79">
        <f t="shared" si="67"/>
        <v>498620</v>
      </c>
      <c r="Q221" s="80">
        <f t="shared" si="68"/>
        <v>12894429.14</v>
      </c>
      <c r="R221" s="80">
        <f t="shared" si="68"/>
        <v>6843334</v>
      </c>
      <c r="S221" s="80">
        <f t="shared" si="68"/>
        <v>20254734.948</v>
      </c>
      <c r="T221" s="84">
        <f>N221/'2016'!N221-1</f>
        <v>0.0174914820834722</v>
      </c>
      <c r="U221" s="84">
        <f>O221/'2016'!O221-1</f>
        <v>0.0454600017148246</v>
      </c>
      <c r="V221" s="84">
        <f>P221/'2016'!P221-1</f>
        <v>0.0516170124813875</v>
      </c>
      <c r="W221" s="85">
        <f>Q221/'2016'!Q221-1</f>
        <v>0.0820672200349146</v>
      </c>
      <c r="X221" s="85">
        <f>R221/'2016'!R221-1</f>
        <v>0.114405582471189</v>
      </c>
      <c r="Y221" s="85">
        <f>S221/'2016'!S221-1</f>
        <v>0.0882593718999212</v>
      </c>
      <c r="Z221" s="141"/>
      <c r="AA221" s="141"/>
      <c r="AB221" s="109"/>
      <c r="AC221" s="109"/>
      <c r="AD221" s="38">
        <f t="shared" si="60"/>
        <v>13411400.948</v>
      </c>
      <c r="AE221" s="38">
        <f t="shared" si="62"/>
        <v>242198.68</v>
      </c>
      <c r="AF221" s="38">
        <f t="shared" si="63"/>
        <v>165989.82</v>
      </c>
      <c r="AG221" s="38">
        <f t="shared" si="61"/>
        <v>108783.307999998</v>
      </c>
    </row>
    <row r="222" ht="15" customHeight="1" spans="1:33">
      <c r="A222" s="106">
        <v>42952</v>
      </c>
      <c r="B222" s="21" t="s">
        <v>38</v>
      </c>
      <c r="C222" s="74">
        <v>84368</v>
      </c>
      <c r="D222" s="75">
        <f>10132+33262</f>
        <v>43394</v>
      </c>
      <c r="E222" s="75">
        <v>134242</v>
      </c>
      <c r="F222" s="125">
        <v>6594.1</v>
      </c>
      <c r="G222" s="75">
        <v>4405.7</v>
      </c>
      <c r="H222" s="25"/>
      <c r="I222" s="25"/>
      <c r="J222" s="74">
        <f t="shared" si="58"/>
        <v>90848</v>
      </c>
      <c r="K222" s="75">
        <v>2466</v>
      </c>
      <c r="L222" s="75">
        <v>741</v>
      </c>
      <c r="M222" s="134">
        <f t="shared" si="59"/>
        <v>3273</v>
      </c>
      <c r="N222" s="78">
        <f t="shared" si="67"/>
        <v>383598</v>
      </c>
      <c r="O222" s="79">
        <f t="shared" si="67"/>
        <v>226292</v>
      </c>
      <c r="P222" s="79">
        <f t="shared" si="67"/>
        <v>632862</v>
      </c>
      <c r="Q222" s="80">
        <f t="shared" si="68"/>
        <v>12978797.14</v>
      </c>
      <c r="R222" s="80">
        <f t="shared" si="68"/>
        <v>6886728</v>
      </c>
      <c r="S222" s="80">
        <f t="shared" si="68"/>
        <v>20388976.948</v>
      </c>
      <c r="T222" s="84">
        <f>N222/'2016'!N222-1</f>
        <v>0.0479531205179691</v>
      </c>
      <c r="U222" s="84">
        <f>O222/'2016'!O222-1</f>
        <v>0.0308960867386452</v>
      </c>
      <c r="V222" s="84">
        <f>P222/'2016'!P222-1</f>
        <v>0.0684803841290156</v>
      </c>
      <c r="W222" s="85">
        <f>Q222/'2016'!Q222-1</f>
        <v>0.0826097032173339</v>
      </c>
      <c r="X222" s="85">
        <f>R222/'2016'!R222-1</f>
        <v>0.113391981515055</v>
      </c>
      <c r="Y222" s="85">
        <f>S222/'2016'!S222-1</f>
        <v>0.0885614889732151</v>
      </c>
      <c r="Z222" s="144"/>
      <c r="AA222" s="144"/>
      <c r="AB222" s="109"/>
      <c r="AC222" s="109"/>
      <c r="AD222" s="38">
        <f t="shared" si="60"/>
        <v>13502248.948</v>
      </c>
      <c r="AE222" s="75">
        <f t="shared" si="62"/>
        <v>244664.68</v>
      </c>
      <c r="AF222" s="75">
        <f t="shared" si="63"/>
        <v>166730.82</v>
      </c>
      <c r="AG222" s="75">
        <f t="shared" si="61"/>
        <v>112056.307999998</v>
      </c>
    </row>
    <row r="223" ht="15" customHeight="1" spans="1:33">
      <c r="A223" s="106">
        <v>42953</v>
      </c>
      <c r="B223" s="21" t="s">
        <v>1</v>
      </c>
      <c r="C223" s="9">
        <v>73988</v>
      </c>
      <c r="D223" s="38">
        <f>9763+37912</f>
        <v>47675</v>
      </c>
      <c r="E223" s="38">
        <v>126811</v>
      </c>
      <c r="F223" s="13">
        <v>6075.3</v>
      </c>
      <c r="G223" s="38">
        <v>4326.9</v>
      </c>
      <c r="H223" s="25"/>
      <c r="I223" s="37"/>
      <c r="J223" s="9">
        <f t="shared" si="58"/>
        <v>79136</v>
      </c>
      <c r="K223" s="38">
        <v>1358</v>
      </c>
      <c r="L223" s="38">
        <v>742</v>
      </c>
      <c r="M223" s="132">
        <f t="shared" si="59"/>
        <v>3048</v>
      </c>
      <c r="N223" s="78">
        <f t="shared" si="67"/>
        <v>457586</v>
      </c>
      <c r="O223" s="79">
        <f t="shared" si="67"/>
        <v>273967</v>
      </c>
      <c r="P223" s="79">
        <f t="shared" si="67"/>
        <v>759673</v>
      </c>
      <c r="Q223" s="80">
        <f t="shared" si="68"/>
        <v>13052785.14</v>
      </c>
      <c r="R223" s="80">
        <f t="shared" si="68"/>
        <v>6934403</v>
      </c>
      <c r="S223" s="80">
        <f t="shared" si="68"/>
        <v>20515787.948</v>
      </c>
      <c r="T223" s="84">
        <f>N223/'2016'!N223-1</f>
        <v>0.046793752902448</v>
      </c>
      <c r="U223" s="84">
        <f>O223/'2016'!O223-1</f>
        <v>0.0421434222939046</v>
      </c>
      <c r="V223" s="84">
        <f>P223/'2016'!P223-1</f>
        <v>0.0729632464894763</v>
      </c>
      <c r="W223" s="85">
        <f>Q223/'2016'!Q223-1</f>
        <v>0.0823633921808842</v>
      </c>
      <c r="X223" s="85">
        <f>R223/'2016'!R223-1</f>
        <v>0.11329216714274</v>
      </c>
      <c r="Y223" s="85">
        <f>S223/'2016'!S223-1</f>
        <v>0.0886066066770308</v>
      </c>
      <c r="Z223" s="141"/>
      <c r="AA223" s="141"/>
      <c r="AB223" s="109"/>
      <c r="AC223" s="109"/>
      <c r="AD223" s="38">
        <f t="shared" si="60"/>
        <v>13581384.948</v>
      </c>
      <c r="AE223" s="38">
        <f t="shared" si="62"/>
        <v>246022.68</v>
      </c>
      <c r="AF223" s="38">
        <f t="shared" si="63"/>
        <v>167472.82</v>
      </c>
      <c r="AG223" s="38">
        <f t="shared" si="61"/>
        <v>115104.307999998</v>
      </c>
    </row>
    <row r="224" ht="15" customHeight="1" spans="1:33">
      <c r="A224" s="106">
        <v>42954</v>
      </c>
      <c r="B224" s="21" t="s">
        <v>39</v>
      </c>
      <c r="C224" s="9">
        <v>82856</v>
      </c>
      <c r="D224" s="38">
        <f>10133+36545</f>
        <v>46678</v>
      </c>
      <c r="E224" s="38">
        <v>135238</v>
      </c>
      <c r="F224" s="13">
        <v>6652.6</v>
      </c>
      <c r="G224" s="38">
        <v>4259.9</v>
      </c>
      <c r="H224" s="25"/>
      <c r="I224" s="37"/>
      <c r="J224" s="9">
        <f t="shared" si="58"/>
        <v>88560</v>
      </c>
      <c r="K224" s="38">
        <v>1683</v>
      </c>
      <c r="L224" s="38">
        <v>740</v>
      </c>
      <c r="M224" s="132">
        <f t="shared" si="59"/>
        <v>3281</v>
      </c>
      <c r="N224" s="78">
        <f t="shared" si="67"/>
        <v>540442</v>
      </c>
      <c r="O224" s="79">
        <f t="shared" si="67"/>
        <v>320645</v>
      </c>
      <c r="P224" s="79">
        <f t="shared" si="67"/>
        <v>894911</v>
      </c>
      <c r="Q224" s="80">
        <f t="shared" si="68"/>
        <v>13135641.14</v>
      </c>
      <c r="R224" s="80">
        <f t="shared" si="68"/>
        <v>6981081</v>
      </c>
      <c r="S224" s="80">
        <f t="shared" si="68"/>
        <v>20651025.948</v>
      </c>
      <c r="T224" s="84">
        <f>N224/'2016'!N224-1</f>
        <v>0.0730805581809084</v>
      </c>
      <c r="U224" s="84">
        <f>O224/'2016'!O224-1</f>
        <v>0.0528726649438667</v>
      </c>
      <c r="V224" s="84">
        <f>P224/'2016'!P224-1</f>
        <v>0.0934938587187621</v>
      </c>
      <c r="W224" s="85">
        <f>Q224/'2016'!Q224-1</f>
        <v>0.0832600933512684</v>
      </c>
      <c r="X224" s="85">
        <f>R224/'2016'!R224-1</f>
        <v>0.113340619428677</v>
      </c>
      <c r="Y224" s="85">
        <f>S224/'2016'!S224-1</f>
        <v>0.0894018793651186</v>
      </c>
      <c r="Z224" s="141"/>
      <c r="AA224" s="141"/>
      <c r="AB224" s="109"/>
      <c r="AC224" s="109"/>
      <c r="AD224" s="38">
        <f t="shared" si="60"/>
        <v>13669944.948</v>
      </c>
      <c r="AE224" s="38">
        <f t="shared" si="62"/>
        <v>247705.68</v>
      </c>
      <c r="AF224" s="38">
        <f t="shared" si="63"/>
        <v>168212.82</v>
      </c>
      <c r="AG224" s="38">
        <f t="shared" si="61"/>
        <v>118385.307999998</v>
      </c>
    </row>
    <row r="225" ht="15" customHeight="1" spans="1:33">
      <c r="A225" s="106">
        <v>42955</v>
      </c>
      <c r="B225" s="21" t="s">
        <v>34</v>
      </c>
      <c r="C225" s="9">
        <v>85355</v>
      </c>
      <c r="D225" s="38">
        <f>10197+37236</f>
        <v>47433</v>
      </c>
      <c r="E225" s="38">
        <v>137831</v>
      </c>
      <c r="F225" s="13">
        <v>6854.9</v>
      </c>
      <c r="G225" s="38">
        <v>4469.6</v>
      </c>
      <c r="H225" s="25"/>
      <c r="I225" s="37"/>
      <c r="J225" s="9">
        <f t="shared" si="58"/>
        <v>90398</v>
      </c>
      <c r="K225" s="38">
        <v>1058</v>
      </c>
      <c r="L225" s="38">
        <v>744</v>
      </c>
      <c r="M225" s="132">
        <f t="shared" si="59"/>
        <v>3241</v>
      </c>
      <c r="N225" s="78">
        <f t="shared" si="67"/>
        <v>625797</v>
      </c>
      <c r="O225" s="79">
        <f t="shared" si="67"/>
        <v>368078</v>
      </c>
      <c r="P225" s="79">
        <f t="shared" si="67"/>
        <v>1032742</v>
      </c>
      <c r="Q225" s="80">
        <f t="shared" si="68"/>
        <v>13220996.14</v>
      </c>
      <c r="R225" s="80">
        <f t="shared" si="68"/>
        <v>7028514</v>
      </c>
      <c r="S225" s="80">
        <f t="shared" si="68"/>
        <v>20788856.948</v>
      </c>
      <c r="T225" s="84">
        <f>N225/'2016'!N225-1</f>
        <v>0.085574864779536</v>
      </c>
      <c r="U225" s="84">
        <f>O225/'2016'!O225-1</f>
        <v>0.0620596127766397</v>
      </c>
      <c r="V225" s="84">
        <f>P225/'2016'!P225-1</f>
        <v>0.10468103859541</v>
      </c>
      <c r="W225" s="85">
        <f>Q225/'2016'!Q225-1</f>
        <v>0.0837897468590705</v>
      </c>
      <c r="X225" s="85">
        <f>R225/'2016'!R225-1</f>
        <v>0.113442424123371</v>
      </c>
      <c r="Y225" s="85">
        <f>S225/'2016'!S225-1</f>
        <v>0.0899752247644889</v>
      </c>
      <c r="Z225" s="141"/>
      <c r="AA225" s="141"/>
      <c r="AB225" s="109"/>
      <c r="AC225" s="109"/>
      <c r="AD225" s="38">
        <f t="shared" si="60"/>
        <v>13760342.948</v>
      </c>
      <c r="AE225" s="38">
        <f t="shared" si="62"/>
        <v>248763.68</v>
      </c>
      <c r="AF225" s="38">
        <f t="shared" si="63"/>
        <v>168956.82</v>
      </c>
      <c r="AG225" s="38">
        <f t="shared" si="61"/>
        <v>121626.307999998</v>
      </c>
    </row>
    <row r="226" ht="15" customHeight="1" spans="1:33">
      <c r="A226" s="106">
        <v>42956</v>
      </c>
      <c r="B226" s="21" t="s">
        <v>35</v>
      </c>
      <c r="C226" s="9">
        <v>78299</v>
      </c>
      <c r="D226" s="38">
        <f>40116+9942</f>
        <v>50058</v>
      </c>
      <c r="E226" s="38">
        <v>131107</v>
      </c>
      <c r="F226" s="13">
        <v>6551.7</v>
      </c>
      <c r="G226" s="38">
        <v>4429.8</v>
      </c>
      <c r="H226" s="25"/>
      <c r="I226" s="37"/>
      <c r="J226" s="9">
        <f t="shared" si="58"/>
        <v>81049</v>
      </c>
      <c r="K226" s="38">
        <v>1389</v>
      </c>
      <c r="L226" s="38">
        <v>741</v>
      </c>
      <c r="M226" s="132">
        <f t="shared" si="59"/>
        <v>620</v>
      </c>
      <c r="N226" s="78">
        <f t="shared" si="67"/>
        <v>704096</v>
      </c>
      <c r="O226" s="79">
        <f t="shared" si="67"/>
        <v>418136</v>
      </c>
      <c r="P226" s="79">
        <f t="shared" si="67"/>
        <v>1163849</v>
      </c>
      <c r="Q226" s="80">
        <f t="shared" si="68"/>
        <v>13299295.14</v>
      </c>
      <c r="R226" s="80">
        <f t="shared" si="68"/>
        <v>7078572</v>
      </c>
      <c r="S226" s="80">
        <f t="shared" si="68"/>
        <v>20919963.948</v>
      </c>
      <c r="T226" s="84">
        <f>N226/'2016'!N226-1</f>
        <v>0.0931029022272041</v>
      </c>
      <c r="U226" s="84">
        <f>O226/'2016'!O226-1</f>
        <v>0.0723388103988163</v>
      </c>
      <c r="V226" s="84">
        <f>P226/'2016'!P226-1</f>
        <v>0.11088638090402</v>
      </c>
      <c r="W226" s="85">
        <f>Q226/'2016'!Q226-1</f>
        <v>0.0841948973779598</v>
      </c>
      <c r="X226" s="85">
        <f>R226/'2016'!R226-1</f>
        <v>0.113722523619063</v>
      </c>
      <c r="Y226" s="85">
        <f>S226/'2016'!S226-1</f>
        <v>0.0904005429320065</v>
      </c>
      <c r="Z226" s="141">
        <f>(Z227-Z220)/7*6+Z220</f>
        <v>101.24</v>
      </c>
      <c r="AA226" s="141">
        <f>Q226/10000-Z226</f>
        <v>1228.689514</v>
      </c>
      <c r="AB226" s="109"/>
      <c r="AC226" s="109"/>
      <c r="AD226" s="38">
        <f t="shared" si="60"/>
        <v>13841391.948</v>
      </c>
      <c r="AE226" s="38">
        <f t="shared" si="62"/>
        <v>250152.68</v>
      </c>
      <c r="AF226" s="38">
        <f t="shared" si="63"/>
        <v>169697.82</v>
      </c>
      <c r="AG226" s="38">
        <f t="shared" si="61"/>
        <v>122246.307999998</v>
      </c>
    </row>
    <row r="227" ht="15" customHeight="1" spans="1:33">
      <c r="A227" s="106">
        <v>42957</v>
      </c>
      <c r="B227" s="15" t="s">
        <v>36</v>
      </c>
      <c r="C227" s="33">
        <v>75004</v>
      </c>
      <c r="D227" s="34">
        <v>50248</v>
      </c>
      <c r="E227" s="34">
        <v>127251</v>
      </c>
      <c r="F227" s="124">
        <v>6132</v>
      </c>
      <c r="G227" s="34">
        <v>4210</v>
      </c>
      <c r="H227" s="20"/>
      <c r="I227" s="20"/>
      <c r="J227" s="33">
        <f t="shared" si="58"/>
        <v>77003</v>
      </c>
      <c r="K227" s="34">
        <v>512</v>
      </c>
      <c r="L227" s="34">
        <v>742</v>
      </c>
      <c r="M227" s="133">
        <f t="shared" si="59"/>
        <v>745</v>
      </c>
      <c r="N227" s="81">
        <f t="shared" si="67"/>
        <v>779100</v>
      </c>
      <c r="O227" s="82">
        <f t="shared" si="67"/>
        <v>468384</v>
      </c>
      <c r="P227" s="82">
        <f t="shared" si="67"/>
        <v>1291100</v>
      </c>
      <c r="Q227" s="81">
        <f t="shared" si="68"/>
        <v>13374299.14</v>
      </c>
      <c r="R227" s="81">
        <f t="shared" si="68"/>
        <v>7128820</v>
      </c>
      <c r="S227" s="81">
        <f t="shared" si="68"/>
        <v>21047214.948</v>
      </c>
      <c r="T227" s="86">
        <f>N227/'2016'!N227-1</f>
        <v>0.0891842092754709</v>
      </c>
      <c r="U227" s="86">
        <f>O227/'2016'!O227-1</f>
        <v>0.0797084411003997</v>
      </c>
      <c r="V227" s="86">
        <f>P227/'2016'!P227-1</f>
        <v>0.108505813838679</v>
      </c>
      <c r="W227" s="86">
        <f>Q227/'2016'!Q227-1</f>
        <v>0.0840190952979312</v>
      </c>
      <c r="X227" s="86">
        <f>R227/'2016'!R227-1</f>
        <v>0.1139383472919</v>
      </c>
      <c r="Y227" s="86">
        <f>S227/'2016'!S227-1</f>
        <v>0.0903811190661257</v>
      </c>
      <c r="Z227" s="143">
        <v>102.03</v>
      </c>
      <c r="AA227" s="143">
        <f>Q227/10000-Z227</f>
        <v>1235.399914</v>
      </c>
      <c r="AB227" s="34">
        <v>4258.08</v>
      </c>
      <c r="AC227" s="34">
        <f>AA227*10000/AB227</f>
        <v>2901.30742963965</v>
      </c>
      <c r="AD227" s="34">
        <f t="shared" si="60"/>
        <v>13918394.948</v>
      </c>
      <c r="AE227" s="34">
        <f t="shared" si="62"/>
        <v>250664.68</v>
      </c>
      <c r="AF227" s="34">
        <f t="shared" si="63"/>
        <v>170439.82</v>
      </c>
      <c r="AG227" s="34">
        <f t="shared" si="61"/>
        <v>122991.307999998</v>
      </c>
    </row>
    <row r="228" ht="15" customHeight="1" spans="1:33">
      <c r="A228" s="106">
        <v>42958</v>
      </c>
      <c r="B228" s="21" t="s">
        <v>37</v>
      </c>
      <c r="C228" s="9">
        <v>78959</v>
      </c>
      <c r="D228" s="38">
        <f>39602+10268</f>
        <v>49870</v>
      </c>
      <c r="E228" s="38">
        <v>131315</v>
      </c>
      <c r="F228" s="13">
        <v>6441.7</v>
      </c>
      <c r="G228" s="38">
        <v>4208.4</v>
      </c>
      <c r="H228" s="25"/>
      <c r="I228" s="37"/>
      <c r="J228" s="9">
        <f t="shared" si="58"/>
        <v>81445</v>
      </c>
      <c r="K228" s="38">
        <v>905</v>
      </c>
      <c r="L228" s="38">
        <v>744</v>
      </c>
      <c r="M228" s="132">
        <f t="shared" si="59"/>
        <v>837</v>
      </c>
      <c r="N228" s="78">
        <f t="shared" si="67"/>
        <v>858059</v>
      </c>
      <c r="O228" s="79">
        <f t="shared" si="67"/>
        <v>518254</v>
      </c>
      <c r="P228" s="79">
        <f t="shared" si="67"/>
        <v>1422415</v>
      </c>
      <c r="Q228" s="80">
        <f t="shared" si="68"/>
        <v>13453258.14</v>
      </c>
      <c r="R228" s="80">
        <f t="shared" si="68"/>
        <v>7178690</v>
      </c>
      <c r="S228" s="80">
        <f t="shared" si="68"/>
        <v>21178529.948</v>
      </c>
      <c r="T228" s="84">
        <f>N228/'2016'!N228-1</f>
        <v>0.0875548176126137</v>
      </c>
      <c r="U228" s="84">
        <f>O228/'2016'!O228-1</f>
        <v>0.0878182092960773</v>
      </c>
      <c r="V228" s="84">
        <f>P228/'2016'!P228-1</f>
        <v>0.108696990789276</v>
      </c>
      <c r="W228" s="85">
        <f>Q228/'2016'!Q228-1</f>
        <v>0.0839461764538343</v>
      </c>
      <c r="X228" s="85">
        <f>R228/'2016'!R228-1</f>
        <v>0.114311676764566</v>
      </c>
      <c r="Y228" s="85">
        <f>S228/'2016'!S228-1</f>
        <v>0.0905040969462945</v>
      </c>
      <c r="Z228" s="141"/>
      <c r="AA228" s="141"/>
      <c r="AB228" s="109"/>
      <c r="AC228" s="109"/>
      <c r="AD228" s="38">
        <f t="shared" si="60"/>
        <v>13999839.948</v>
      </c>
      <c r="AE228" s="38">
        <f t="shared" si="62"/>
        <v>251569.68</v>
      </c>
      <c r="AF228" s="38">
        <f t="shared" si="63"/>
        <v>171183.82</v>
      </c>
      <c r="AG228" s="38">
        <f t="shared" si="61"/>
        <v>123828.307999998</v>
      </c>
    </row>
    <row r="229" ht="15" customHeight="1" spans="1:33">
      <c r="A229" s="106">
        <v>42959</v>
      </c>
      <c r="B229" s="21" t="s">
        <v>38</v>
      </c>
      <c r="C229" s="74">
        <v>74181</v>
      </c>
      <c r="D229" s="75">
        <f>37481+10271</f>
        <v>47752</v>
      </c>
      <c r="E229" s="75">
        <v>124679</v>
      </c>
      <c r="F229" s="125">
        <v>5988.7</v>
      </c>
      <c r="G229" s="75">
        <v>4328.4</v>
      </c>
      <c r="H229" s="25"/>
      <c r="I229" s="25"/>
      <c r="J229" s="74">
        <f t="shared" si="58"/>
        <v>76927</v>
      </c>
      <c r="K229" s="75">
        <v>1453</v>
      </c>
      <c r="L229" s="75">
        <v>743</v>
      </c>
      <c r="M229" s="134">
        <f t="shared" si="59"/>
        <v>550</v>
      </c>
      <c r="N229" s="78">
        <f t="shared" si="67"/>
        <v>932240</v>
      </c>
      <c r="O229" s="79">
        <f t="shared" si="67"/>
        <v>566006</v>
      </c>
      <c r="P229" s="79">
        <f t="shared" si="67"/>
        <v>1547094</v>
      </c>
      <c r="Q229" s="80">
        <f t="shared" si="68"/>
        <v>13527439.14</v>
      </c>
      <c r="R229" s="80">
        <f t="shared" si="68"/>
        <v>7226442</v>
      </c>
      <c r="S229" s="80">
        <f t="shared" si="68"/>
        <v>21303208.948</v>
      </c>
      <c r="T229" s="84">
        <f>N229/'2016'!N229-1</f>
        <v>0.0762236583569418</v>
      </c>
      <c r="U229" s="84">
        <f>O229/'2016'!O229-1</f>
        <v>0.0916662005597142</v>
      </c>
      <c r="V229" s="84">
        <f>P229/'2016'!P229-1</f>
        <v>0.101637117004982</v>
      </c>
      <c r="W229" s="85">
        <f>Q229/'2016'!Q229-1</f>
        <v>0.0831825604220808</v>
      </c>
      <c r="X229" s="85">
        <f>R229/'2016'!R229-1</f>
        <v>0.11444749778967</v>
      </c>
      <c r="Y229" s="85">
        <f>S229/'2016'!S229-1</f>
        <v>0.0901097712016254</v>
      </c>
      <c r="Z229" s="144"/>
      <c r="AA229" s="144"/>
      <c r="AB229" s="109"/>
      <c r="AC229" s="109"/>
      <c r="AD229" s="38">
        <f t="shared" si="60"/>
        <v>14076766.948</v>
      </c>
      <c r="AE229" s="75">
        <f t="shared" si="62"/>
        <v>253022.68</v>
      </c>
      <c r="AF229" s="75">
        <f t="shared" si="63"/>
        <v>171926.82</v>
      </c>
      <c r="AG229" s="75">
        <f t="shared" si="61"/>
        <v>124378.307999998</v>
      </c>
    </row>
    <row r="230" ht="15" customHeight="1" spans="1:33">
      <c r="A230" s="106">
        <v>42960</v>
      </c>
      <c r="B230" s="21" t="s">
        <v>1</v>
      </c>
      <c r="C230" s="9">
        <v>69216</v>
      </c>
      <c r="D230" s="38">
        <f>39041+10261</f>
        <v>49302</v>
      </c>
      <c r="E230" s="38">
        <v>120825</v>
      </c>
      <c r="F230" s="13">
        <v>5886.6</v>
      </c>
      <c r="G230" s="38">
        <v>4058.2</v>
      </c>
      <c r="H230" s="25"/>
      <c r="I230" s="37"/>
      <c r="J230" s="9">
        <f t="shared" si="58"/>
        <v>71523</v>
      </c>
      <c r="K230" s="38">
        <v>809</v>
      </c>
      <c r="L230" s="38">
        <v>744</v>
      </c>
      <c r="M230" s="132">
        <f t="shared" si="59"/>
        <v>754</v>
      </c>
      <c r="N230" s="78">
        <f t="shared" si="67"/>
        <v>1001456</v>
      </c>
      <c r="O230" s="79">
        <f t="shared" si="67"/>
        <v>615308</v>
      </c>
      <c r="P230" s="79">
        <f t="shared" si="67"/>
        <v>1667919</v>
      </c>
      <c r="Q230" s="80">
        <f t="shared" si="68"/>
        <v>13596655.14</v>
      </c>
      <c r="R230" s="80">
        <f t="shared" si="68"/>
        <v>7275744</v>
      </c>
      <c r="S230" s="80">
        <f t="shared" si="68"/>
        <v>21424033.948</v>
      </c>
      <c r="T230" s="84">
        <f>N230/'2016'!N230-1</f>
        <v>0.0627692856263558</v>
      </c>
      <c r="U230" s="84">
        <f>O230/'2016'!O230-1</f>
        <v>0.0985877269724509</v>
      </c>
      <c r="V230" s="84">
        <f>P230/'2016'!P230-1</f>
        <v>0.0942131811857045</v>
      </c>
      <c r="W230" s="85">
        <f>Q230/'2016'!Q230-1</f>
        <v>0.0821313857180344</v>
      </c>
      <c r="X230" s="85">
        <f>R230/'2016'!R230-1</f>
        <v>0.11489628004434</v>
      </c>
      <c r="Y230" s="85">
        <f>S230/'2016'!S230-1</f>
        <v>0.0896045550085391</v>
      </c>
      <c r="Z230" s="141"/>
      <c r="AA230" s="141"/>
      <c r="AB230" s="109"/>
      <c r="AC230" s="109"/>
      <c r="AD230" s="38">
        <f t="shared" si="60"/>
        <v>14148289.948</v>
      </c>
      <c r="AE230" s="38">
        <f t="shared" si="62"/>
        <v>253831.68</v>
      </c>
      <c r="AF230" s="38">
        <f t="shared" si="63"/>
        <v>172670.82</v>
      </c>
      <c r="AG230" s="38">
        <f t="shared" si="61"/>
        <v>125132.307999998</v>
      </c>
    </row>
    <row r="231" ht="15" customHeight="1" spans="1:33">
      <c r="A231" s="106">
        <v>42961</v>
      </c>
      <c r="B231" s="21" t="s">
        <v>39</v>
      </c>
      <c r="C231" s="9">
        <v>77110</v>
      </c>
      <c r="D231" s="38">
        <f>39048+10247</f>
        <v>49295</v>
      </c>
      <c r="E231" s="38">
        <v>129104</v>
      </c>
      <c r="F231" s="13">
        <v>6469.4</v>
      </c>
      <c r="G231" s="38">
        <v>4049.8</v>
      </c>
      <c r="H231" s="25"/>
      <c r="I231" s="37"/>
      <c r="J231" s="9">
        <f t="shared" si="58"/>
        <v>79809</v>
      </c>
      <c r="K231" s="38">
        <v>1197</v>
      </c>
      <c r="L231" s="38">
        <v>743</v>
      </c>
      <c r="M231" s="132">
        <f t="shared" si="59"/>
        <v>759</v>
      </c>
      <c r="N231" s="78">
        <f t="shared" si="67"/>
        <v>1078566</v>
      </c>
      <c r="O231" s="79">
        <f t="shared" si="67"/>
        <v>664603</v>
      </c>
      <c r="P231" s="79">
        <f t="shared" si="67"/>
        <v>1797023</v>
      </c>
      <c r="Q231" s="80">
        <f t="shared" si="68"/>
        <v>13673765.14</v>
      </c>
      <c r="R231" s="80">
        <f t="shared" si="68"/>
        <v>7325039</v>
      </c>
      <c r="S231" s="80">
        <f t="shared" si="68"/>
        <v>21553137.948</v>
      </c>
      <c r="T231" s="84">
        <f>N231/'2016'!N231-1</f>
        <v>0.0654650418454681</v>
      </c>
      <c r="U231" s="84">
        <f>O231/'2016'!O231-1</f>
        <v>0.101233123670274</v>
      </c>
      <c r="V231" s="84">
        <f>P231/'2016'!P231-1</f>
        <v>0.0960063673678497</v>
      </c>
      <c r="W231" s="85">
        <f>Q231/'2016'!Q231-1</f>
        <v>0.0822401172264893</v>
      </c>
      <c r="X231" s="85">
        <f>R231/'2016'!R231-1</f>
        <v>0.115031519071276</v>
      </c>
      <c r="Y231" s="85">
        <f>S231/'2016'!S231-1</f>
        <v>0.0897800829171462</v>
      </c>
      <c r="Z231" s="141"/>
      <c r="AA231" s="141"/>
      <c r="AB231" s="109"/>
      <c r="AC231" s="109"/>
      <c r="AD231" s="38">
        <f t="shared" si="60"/>
        <v>14228098.948</v>
      </c>
      <c r="AE231" s="38">
        <f t="shared" si="62"/>
        <v>255028.68</v>
      </c>
      <c r="AF231" s="38">
        <f t="shared" si="63"/>
        <v>173413.82</v>
      </c>
      <c r="AG231" s="38">
        <f t="shared" si="61"/>
        <v>125891.307999998</v>
      </c>
    </row>
    <row r="232" ht="15" customHeight="1" spans="1:33">
      <c r="A232" s="106">
        <v>42962</v>
      </c>
      <c r="B232" s="21" t="s">
        <v>34</v>
      </c>
      <c r="C232" s="9">
        <v>78711</v>
      </c>
      <c r="D232" s="38">
        <f>37732+10140</f>
        <v>47872</v>
      </c>
      <c r="E232" s="38">
        <v>128497</v>
      </c>
      <c r="F232" s="13">
        <v>6262.3</v>
      </c>
      <c r="G232" s="38">
        <v>4191.6</v>
      </c>
      <c r="H232" s="25"/>
      <c r="I232" s="37"/>
      <c r="J232" s="9">
        <f t="shared" si="58"/>
        <v>80625</v>
      </c>
      <c r="K232" s="38">
        <v>315</v>
      </c>
      <c r="L232" s="38">
        <v>740</v>
      </c>
      <c r="M232" s="132">
        <f t="shared" si="59"/>
        <v>859</v>
      </c>
      <c r="N232" s="78">
        <f t="shared" si="67"/>
        <v>1157277</v>
      </c>
      <c r="O232" s="79">
        <f t="shared" si="67"/>
        <v>712475</v>
      </c>
      <c r="P232" s="79">
        <f t="shared" si="67"/>
        <v>1925520</v>
      </c>
      <c r="Q232" s="80">
        <f t="shared" si="68"/>
        <v>13752476.14</v>
      </c>
      <c r="R232" s="80">
        <f t="shared" si="68"/>
        <v>7372911</v>
      </c>
      <c r="S232" s="80">
        <f t="shared" si="68"/>
        <v>21681634.948</v>
      </c>
      <c r="T232" s="84">
        <f>N232/'2016'!N232-1</f>
        <v>0.0634879938246078</v>
      </c>
      <c r="U232" s="84">
        <f>O232/'2016'!O232-1</f>
        <v>0.0977349658958371</v>
      </c>
      <c r="V232" s="84">
        <f>P232/'2016'!P232-1</f>
        <v>0.0922005044887244</v>
      </c>
      <c r="W232" s="85">
        <f>Q232/'2016'!Q232-1</f>
        <v>0.0819706935505151</v>
      </c>
      <c r="X232" s="85">
        <f>R232/'2016'!R232-1</f>
        <v>0.114593306100828</v>
      </c>
      <c r="Y232" s="85">
        <f>S232/'2016'!S232-1</f>
        <v>0.0894815261669553</v>
      </c>
      <c r="Z232" s="141"/>
      <c r="AA232" s="141"/>
      <c r="AB232" s="109"/>
      <c r="AC232" s="109"/>
      <c r="AD232" s="38">
        <f t="shared" si="60"/>
        <v>14308723.948</v>
      </c>
      <c r="AE232" s="38">
        <f t="shared" si="62"/>
        <v>255343.68</v>
      </c>
      <c r="AF232" s="38">
        <f t="shared" si="63"/>
        <v>174153.82</v>
      </c>
      <c r="AG232" s="38">
        <f t="shared" si="61"/>
        <v>126750.307999998</v>
      </c>
    </row>
    <row r="233" ht="15" customHeight="1" spans="1:33">
      <c r="A233" s="106">
        <v>42963</v>
      </c>
      <c r="B233" s="21" t="s">
        <v>35</v>
      </c>
      <c r="C233" s="9">
        <v>74121</v>
      </c>
      <c r="D233" s="38">
        <f>37652+9932</f>
        <v>47584</v>
      </c>
      <c r="E233" s="38">
        <v>123977</v>
      </c>
      <c r="F233" s="13">
        <v>6277.8</v>
      </c>
      <c r="G233" s="38">
        <v>4079.6</v>
      </c>
      <c r="H233" s="25"/>
      <c r="I233" s="37"/>
      <c r="J233" s="9">
        <f t="shared" si="58"/>
        <v>76393</v>
      </c>
      <c r="K233" s="38">
        <v>766</v>
      </c>
      <c r="L233" s="38">
        <v>741</v>
      </c>
      <c r="M233" s="132">
        <f t="shared" si="59"/>
        <v>765</v>
      </c>
      <c r="N233" s="78">
        <f t="shared" si="67"/>
        <v>1231398</v>
      </c>
      <c r="O233" s="79">
        <f t="shared" si="67"/>
        <v>760059</v>
      </c>
      <c r="P233" s="79">
        <f t="shared" si="67"/>
        <v>2049497</v>
      </c>
      <c r="Q233" s="80">
        <f t="shared" si="68"/>
        <v>13826597.14</v>
      </c>
      <c r="R233" s="80">
        <f t="shared" si="68"/>
        <v>7420495</v>
      </c>
      <c r="S233" s="80">
        <f t="shared" si="68"/>
        <v>21805611.948</v>
      </c>
      <c r="T233" s="84">
        <f>N233/'2016'!N233-1</f>
        <v>0.0565867747108626</v>
      </c>
      <c r="U233" s="84">
        <f>O233/'2016'!O233-1</f>
        <v>0.0935030817128684</v>
      </c>
      <c r="V233" s="84">
        <f>P233/'2016'!P233-1</f>
        <v>0.0856456197485558</v>
      </c>
      <c r="W233" s="85">
        <f>Q233/'2016'!Q233-1</f>
        <v>0.0812300701291226</v>
      </c>
      <c r="X233" s="85">
        <f>R233/'2016'!R233-1</f>
        <v>0.114035216777993</v>
      </c>
      <c r="Y233" s="85">
        <f>S233/'2016'!S233-1</f>
        <v>0.0888805507209411</v>
      </c>
      <c r="Z233" s="141">
        <f>(Z234-Z227)/7*6+Z227</f>
        <v>106.17</v>
      </c>
      <c r="AA233" s="141">
        <f>Q233/10000-Z233</f>
        <v>1276.489714</v>
      </c>
      <c r="AB233" s="109"/>
      <c r="AC233" s="109"/>
      <c r="AD233" s="38">
        <f t="shared" si="60"/>
        <v>14385116.948</v>
      </c>
      <c r="AE233" s="38">
        <f t="shared" si="62"/>
        <v>256109.68</v>
      </c>
      <c r="AF233" s="38">
        <f t="shared" si="63"/>
        <v>174894.82</v>
      </c>
      <c r="AG233" s="38">
        <f t="shared" si="61"/>
        <v>127515.307999998</v>
      </c>
    </row>
    <row r="234" ht="15" customHeight="1" spans="1:33">
      <c r="A234" s="106">
        <v>42964</v>
      </c>
      <c r="B234" s="15" t="s">
        <v>36</v>
      </c>
      <c r="C234" s="33">
        <v>72219</v>
      </c>
      <c r="D234" s="34">
        <f>38039+10101</f>
        <v>48140</v>
      </c>
      <c r="E234" s="34">
        <v>122878</v>
      </c>
      <c r="F234" s="124">
        <v>6181.2</v>
      </c>
      <c r="G234" s="34">
        <v>3946.2</v>
      </c>
      <c r="H234" s="20"/>
      <c r="I234" s="20"/>
      <c r="J234" s="33">
        <f t="shared" si="58"/>
        <v>74738</v>
      </c>
      <c r="K234" s="34">
        <v>953</v>
      </c>
      <c r="L234" s="34">
        <v>739</v>
      </c>
      <c r="M234" s="133">
        <f t="shared" si="59"/>
        <v>827</v>
      </c>
      <c r="N234" s="81">
        <f t="shared" si="67"/>
        <v>1303617</v>
      </c>
      <c r="O234" s="82">
        <f t="shared" si="67"/>
        <v>808199</v>
      </c>
      <c r="P234" s="82">
        <f t="shared" si="67"/>
        <v>2172375</v>
      </c>
      <c r="Q234" s="81">
        <f t="shared" si="68"/>
        <v>13898816.14</v>
      </c>
      <c r="R234" s="81">
        <f t="shared" si="68"/>
        <v>7468635</v>
      </c>
      <c r="S234" s="81">
        <f t="shared" si="68"/>
        <v>21928489.948</v>
      </c>
      <c r="T234" s="86">
        <f>N234/'2016'!N234-1</f>
        <v>0.0465137001917031</v>
      </c>
      <c r="U234" s="86">
        <f>O234/'2016'!O234-1</f>
        <v>0.0998194181918142</v>
      </c>
      <c r="V234" s="86">
        <f>P234/'2016'!P234-1</f>
        <v>0.0789123937290848</v>
      </c>
      <c r="W234" s="86">
        <f>Q234/'2016'!Q234-1</f>
        <v>0.0801013190248387</v>
      </c>
      <c r="X234" s="86">
        <f>R234/'2016'!R234-1</f>
        <v>0.114606022211129</v>
      </c>
      <c r="Y234" s="86">
        <f>S234/'2016'!S234-1</f>
        <v>0.088187606044994</v>
      </c>
      <c r="Z234" s="143">
        <v>106.86</v>
      </c>
      <c r="AA234" s="143">
        <f>Q234/10000-Z234</f>
        <v>1283.021614</v>
      </c>
      <c r="AB234" s="34">
        <v>4258.08</v>
      </c>
      <c r="AC234" s="34">
        <f>AA234*10000/AB234</f>
        <v>3013.14586386353</v>
      </c>
      <c r="AD234" s="34">
        <f t="shared" si="60"/>
        <v>14459854.948</v>
      </c>
      <c r="AE234" s="34">
        <f t="shared" si="62"/>
        <v>257062.68</v>
      </c>
      <c r="AF234" s="34">
        <f t="shared" si="63"/>
        <v>175633.82</v>
      </c>
      <c r="AG234" s="34">
        <f t="shared" si="61"/>
        <v>128342.307999998</v>
      </c>
    </row>
    <row r="235" ht="15" customHeight="1" spans="1:33">
      <c r="A235" s="106">
        <v>42965</v>
      </c>
      <c r="B235" s="21" t="s">
        <v>37</v>
      </c>
      <c r="C235" s="9">
        <v>71209</v>
      </c>
      <c r="D235" s="38">
        <f>37922+10018</f>
        <v>47940</v>
      </c>
      <c r="E235" s="38">
        <v>121425</v>
      </c>
      <c r="F235" s="13">
        <v>6012.7</v>
      </c>
      <c r="G235" s="38">
        <v>3836.4</v>
      </c>
      <c r="H235" s="25"/>
      <c r="I235" s="37"/>
      <c r="J235" s="9">
        <f t="shared" si="58"/>
        <v>73485</v>
      </c>
      <c r="K235" s="38">
        <v>657</v>
      </c>
      <c r="L235" s="38">
        <v>743</v>
      </c>
      <c r="M235" s="132">
        <f t="shared" si="59"/>
        <v>876</v>
      </c>
      <c r="N235" s="78">
        <f t="shared" ref="N235:P248" si="69">N234+C235</f>
        <v>1374826</v>
      </c>
      <c r="O235" s="79">
        <f t="shared" si="69"/>
        <v>856139</v>
      </c>
      <c r="P235" s="79">
        <f t="shared" si="69"/>
        <v>2293800</v>
      </c>
      <c r="Q235" s="80">
        <f t="shared" si="68"/>
        <v>13970025.14</v>
      </c>
      <c r="R235" s="80">
        <f t="shared" si="68"/>
        <v>7516575</v>
      </c>
      <c r="S235" s="80">
        <f t="shared" si="68"/>
        <v>22049914.948</v>
      </c>
      <c r="T235" s="84">
        <f>N235/'2016'!N235-1</f>
        <v>0.0359251568024064</v>
      </c>
      <c r="U235" s="84">
        <f>O235/'2016'!O235-1</f>
        <v>0.100365015101857</v>
      </c>
      <c r="V235" s="84">
        <f>P235/'2016'!P235-1</f>
        <v>0.0718330972042063</v>
      </c>
      <c r="W235" s="85">
        <f>Q235/'2016'!Q235-1</f>
        <v>0.0788048238628418</v>
      </c>
      <c r="X235" s="85">
        <f>R235/'2016'!R235-1</f>
        <v>0.114574241781237</v>
      </c>
      <c r="Y235" s="85">
        <f>S235/'2016'!S235-1</f>
        <v>0.087382579032427</v>
      </c>
      <c r="Z235" s="141"/>
      <c r="AA235" s="141"/>
      <c r="AB235" s="109"/>
      <c r="AC235" s="109"/>
      <c r="AD235" s="38">
        <f t="shared" si="60"/>
        <v>14533339.948</v>
      </c>
      <c r="AE235" s="38">
        <f t="shared" si="62"/>
        <v>257719.68</v>
      </c>
      <c r="AF235" s="38">
        <f t="shared" si="63"/>
        <v>176376.82</v>
      </c>
      <c r="AG235" s="38">
        <f t="shared" si="61"/>
        <v>129218.307999998</v>
      </c>
    </row>
    <row r="236" ht="15" customHeight="1" spans="1:33">
      <c r="A236" s="106">
        <v>42966</v>
      </c>
      <c r="B236" s="21" t="s">
        <v>38</v>
      </c>
      <c r="C236" s="74">
        <v>75105</v>
      </c>
      <c r="D236" s="75">
        <f>37817+10015</f>
        <v>47832</v>
      </c>
      <c r="E236" s="75">
        <v>125044</v>
      </c>
      <c r="F236" s="125">
        <v>6200.5</v>
      </c>
      <c r="G236" s="75">
        <v>4025.4</v>
      </c>
      <c r="H236" s="25"/>
      <c r="I236" s="25"/>
      <c r="J236" s="74">
        <f t="shared" si="58"/>
        <v>77212</v>
      </c>
      <c r="K236" s="75">
        <v>497</v>
      </c>
      <c r="L236" s="75">
        <v>744</v>
      </c>
      <c r="M236" s="134">
        <f t="shared" si="59"/>
        <v>866</v>
      </c>
      <c r="N236" s="78">
        <f t="shared" si="69"/>
        <v>1449931</v>
      </c>
      <c r="O236" s="79">
        <f t="shared" si="69"/>
        <v>903971</v>
      </c>
      <c r="P236" s="79">
        <f t="shared" si="69"/>
        <v>2418844</v>
      </c>
      <c r="Q236" s="80">
        <f t="shared" si="68"/>
        <v>14045130.14</v>
      </c>
      <c r="R236" s="80">
        <f t="shared" si="68"/>
        <v>7564407</v>
      </c>
      <c r="S236" s="80">
        <f t="shared" si="68"/>
        <v>22174958.948</v>
      </c>
      <c r="T236" s="84">
        <f>N236/'2016'!N236-1</f>
        <v>0.0269185876860227</v>
      </c>
      <c r="U236" s="84">
        <f>O236/'2016'!O236-1</f>
        <v>0.101225884024038</v>
      </c>
      <c r="V236" s="84">
        <f>P236/'2016'!P236-1</f>
        <v>0.0655770853111364</v>
      </c>
      <c r="W236" s="85">
        <f>Q236/'2016'!Q236-1</f>
        <v>0.0775503077837232</v>
      </c>
      <c r="X236" s="85">
        <f>R236/'2016'!R236-1</f>
        <v>0.114588700735627</v>
      </c>
      <c r="Y236" s="85">
        <f>S236/'2016'!S236-1</f>
        <v>0.0865877327303852</v>
      </c>
      <c r="Z236" s="144"/>
      <c r="AA236" s="144"/>
      <c r="AB236" s="109"/>
      <c r="AC236" s="109"/>
      <c r="AD236" s="38">
        <f t="shared" si="60"/>
        <v>14610551.948</v>
      </c>
      <c r="AE236" s="75">
        <f t="shared" si="62"/>
        <v>258216.68</v>
      </c>
      <c r="AF236" s="75">
        <f t="shared" si="63"/>
        <v>177120.82</v>
      </c>
      <c r="AG236" s="75">
        <f t="shared" si="61"/>
        <v>130084.307999998</v>
      </c>
    </row>
    <row r="237" ht="15" customHeight="1" spans="1:33">
      <c r="A237" s="106">
        <v>42967</v>
      </c>
      <c r="B237" s="21" t="s">
        <v>1</v>
      </c>
      <c r="C237" s="9">
        <v>65754</v>
      </c>
      <c r="D237" s="38">
        <f>36937+10041</f>
        <v>46978</v>
      </c>
      <c r="E237" s="38">
        <v>114471</v>
      </c>
      <c r="F237" s="13">
        <v>5391.6</v>
      </c>
      <c r="G237" s="38">
        <v>4061.2</v>
      </c>
      <c r="H237" s="25"/>
      <c r="I237" s="37"/>
      <c r="J237" s="9">
        <f t="shared" si="58"/>
        <v>67493</v>
      </c>
      <c r="K237" s="38">
        <v>384</v>
      </c>
      <c r="L237" s="38">
        <v>743</v>
      </c>
      <c r="M237" s="132">
        <f t="shared" si="59"/>
        <v>612</v>
      </c>
      <c r="N237" s="78">
        <f t="shared" si="69"/>
        <v>1515685</v>
      </c>
      <c r="O237" s="79">
        <f t="shared" si="69"/>
        <v>950949</v>
      </c>
      <c r="P237" s="79">
        <f t="shared" si="69"/>
        <v>2533315</v>
      </c>
      <c r="Q237" s="80">
        <f t="shared" si="68"/>
        <v>14110884.14</v>
      </c>
      <c r="R237" s="80">
        <f t="shared" si="68"/>
        <v>7611385</v>
      </c>
      <c r="S237" s="80">
        <f t="shared" si="68"/>
        <v>22289429.948</v>
      </c>
      <c r="T237" s="84">
        <f>N237/'2016'!N237-1</f>
        <v>0.0153363732766341</v>
      </c>
      <c r="U237" s="84">
        <f>O237/'2016'!O237-1</f>
        <v>0.100553894155988</v>
      </c>
      <c r="V237" s="84">
        <f>P237/'2016'!P237-1</f>
        <v>0.0574473564807452</v>
      </c>
      <c r="W237" s="85">
        <f>Q237/'2016'!Q237-1</f>
        <v>0.0759198111013633</v>
      </c>
      <c r="X237" s="85">
        <f>R237/'2016'!R237-1</f>
        <v>0.114419190174046</v>
      </c>
      <c r="Y237" s="85">
        <f>S237/'2016'!S237-1</f>
        <v>0.0855105989223703</v>
      </c>
      <c r="Z237" s="141"/>
      <c r="AA237" s="141"/>
      <c r="AB237" s="109"/>
      <c r="AC237" s="109"/>
      <c r="AD237" s="38">
        <f t="shared" si="60"/>
        <v>14678044.948</v>
      </c>
      <c r="AE237" s="38">
        <f t="shared" si="62"/>
        <v>258600.68</v>
      </c>
      <c r="AF237" s="38">
        <f t="shared" si="63"/>
        <v>177863.82</v>
      </c>
      <c r="AG237" s="38">
        <f t="shared" si="61"/>
        <v>130696.307999998</v>
      </c>
    </row>
    <row r="238" ht="15" customHeight="1" spans="1:33">
      <c r="A238" s="106">
        <v>42968</v>
      </c>
      <c r="B238" s="21" t="s">
        <v>39</v>
      </c>
      <c r="C238" s="9">
        <v>69880</v>
      </c>
      <c r="D238" s="38">
        <f>37954+10063</f>
        <v>48017</v>
      </c>
      <c r="E238" s="38">
        <v>120102</v>
      </c>
      <c r="F238" s="13">
        <v>5967.1</v>
      </c>
      <c r="G238" s="38">
        <v>3714.2</v>
      </c>
      <c r="H238" s="25"/>
      <c r="I238" s="37"/>
      <c r="J238" s="9">
        <f t="shared" si="58"/>
        <v>72085</v>
      </c>
      <c r="K238" s="38">
        <v>623</v>
      </c>
      <c r="L238" s="38">
        <v>745</v>
      </c>
      <c r="M238" s="132">
        <f t="shared" si="59"/>
        <v>837</v>
      </c>
      <c r="N238" s="78">
        <f t="shared" si="69"/>
        <v>1585565</v>
      </c>
      <c r="O238" s="79">
        <f t="shared" si="69"/>
        <v>998966</v>
      </c>
      <c r="P238" s="79">
        <f t="shared" si="69"/>
        <v>2653417</v>
      </c>
      <c r="Q238" s="80">
        <f t="shared" si="68"/>
        <v>14180764.14</v>
      </c>
      <c r="R238" s="80">
        <f t="shared" si="68"/>
        <v>7659402</v>
      </c>
      <c r="S238" s="80">
        <f t="shared" si="68"/>
        <v>22409531.948</v>
      </c>
      <c r="T238" s="84">
        <f>N238/'2016'!N238-1</f>
        <v>0.0105634767822123</v>
      </c>
      <c r="U238" s="84">
        <f>O238/'2016'!O238-1</f>
        <v>0.105778692834332</v>
      </c>
      <c r="V238" s="84">
        <f>P238/'2016'!P238-1</f>
        <v>0.0561708618281502</v>
      </c>
      <c r="W238" s="85">
        <f>Q238/'2016'!Q238-1</f>
        <v>0.0750021597433841</v>
      </c>
      <c r="X238" s="85">
        <f>R238/'2016'!R238-1</f>
        <v>0.115026917774029</v>
      </c>
      <c r="Y238" s="85">
        <f>S238/'2016'!S238-1</f>
        <v>0.0851968300080908</v>
      </c>
      <c r="Z238" s="141"/>
      <c r="AA238" s="141"/>
      <c r="AB238" s="109"/>
      <c r="AC238" s="109"/>
      <c r="AD238" s="38">
        <f t="shared" si="60"/>
        <v>14750129.948</v>
      </c>
      <c r="AE238" s="38">
        <f t="shared" si="62"/>
        <v>259223.68</v>
      </c>
      <c r="AF238" s="38">
        <f t="shared" si="63"/>
        <v>178608.82</v>
      </c>
      <c r="AG238" s="38">
        <f t="shared" si="61"/>
        <v>131533.307999998</v>
      </c>
    </row>
    <row r="239" ht="15" customHeight="1" spans="1:33">
      <c r="A239" s="106">
        <v>42969</v>
      </c>
      <c r="B239" s="21" t="s">
        <v>34</v>
      </c>
      <c r="C239" s="9">
        <v>71191</v>
      </c>
      <c r="D239" s="38">
        <f>38065+9971</f>
        <v>48036</v>
      </c>
      <c r="E239" s="38">
        <v>122374</v>
      </c>
      <c r="F239" s="13">
        <v>5952</v>
      </c>
      <c r="G239" s="38">
        <v>3976</v>
      </c>
      <c r="H239" s="25"/>
      <c r="I239" s="37"/>
      <c r="J239" s="9">
        <f t="shared" si="58"/>
        <v>74338</v>
      </c>
      <c r="K239" s="38">
        <v>1489</v>
      </c>
      <c r="L239" s="38">
        <v>741</v>
      </c>
      <c r="M239" s="132">
        <f t="shared" si="59"/>
        <v>917</v>
      </c>
      <c r="N239" s="78">
        <f t="shared" si="69"/>
        <v>1656756</v>
      </c>
      <c r="O239" s="79">
        <f t="shared" si="69"/>
        <v>1047002</v>
      </c>
      <c r="P239" s="79">
        <f t="shared" si="69"/>
        <v>2775791</v>
      </c>
      <c r="Q239" s="80">
        <f t="shared" si="68"/>
        <v>14251955.14</v>
      </c>
      <c r="R239" s="80">
        <f t="shared" si="68"/>
        <v>7707438</v>
      </c>
      <c r="S239" s="80">
        <f t="shared" si="68"/>
        <v>22531905.948</v>
      </c>
      <c r="T239" s="84">
        <f>N239/'2016'!N239-1</f>
        <v>0.00498685196250004</v>
      </c>
      <c r="U239" s="84">
        <f>O239/'2016'!O239-1</f>
        <v>0.109555405071729</v>
      </c>
      <c r="V239" s="84">
        <f>P239/'2016'!P239-1</f>
        <v>0.0540051223341744</v>
      </c>
      <c r="W239" s="85">
        <f>Q239/'2016'!Q239-1</f>
        <v>0.0739231866713748</v>
      </c>
      <c r="X239" s="85">
        <f>R239/'2016'!R239-1</f>
        <v>0.115488870276755</v>
      </c>
      <c r="Y239" s="85">
        <f>S239/'2016'!S239-1</f>
        <v>0.0847527843814226</v>
      </c>
      <c r="Z239" s="141"/>
      <c r="AA239" s="141"/>
      <c r="AB239" s="109"/>
      <c r="AC239" s="109"/>
      <c r="AD239" s="38">
        <f t="shared" si="60"/>
        <v>14824467.948</v>
      </c>
      <c r="AE239" s="38">
        <f t="shared" si="62"/>
        <v>260712.68</v>
      </c>
      <c r="AF239" s="38">
        <f t="shared" si="63"/>
        <v>179349.82</v>
      </c>
      <c r="AG239" s="38">
        <f t="shared" si="61"/>
        <v>132450.307999998</v>
      </c>
    </row>
    <row r="240" ht="15" customHeight="1" spans="1:33">
      <c r="A240" s="106">
        <v>42970</v>
      </c>
      <c r="B240" s="21" t="s">
        <v>35</v>
      </c>
      <c r="C240" s="9">
        <v>69816</v>
      </c>
      <c r="D240" s="38">
        <f>39046+10049</f>
        <v>49095</v>
      </c>
      <c r="E240" s="38">
        <v>121654</v>
      </c>
      <c r="F240" s="13">
        <v>5850</v>
      </c>
      <c r="G240" s="38">
        <v>3959.5</v>
      </c>
      <c r="H240" s="25"/>
      <c r="I240" s="37"/>
      <c r="J240" s="9">
        <f t="shared" si="58"/>
        <v>72559</v>
      </c>
      <c r="K240" s="38">
        <v>1032</v>
      </c>
      <c r="L240" s="38">
        <v>743</v>
      </c>
      <c r="M240" s="132">
        <f t="shared" si="59"/>
        <v>968</v>
      </c>
      <c r="N240" s="78">
        <f t="shared" si="69"/>
        <v>1726572</v>
      </c>
      <c r="O240" s="79">
        <f t="shared" si="69"/>
        <v>1096097</v>
      </c>
      <c r="P240" s="79">
        <f t="shared" si="69"/>
        <v>2897445</v>
      </c>
      <c r="Q240" s="80">
        <f t="shared" si="68"/>
        <v>14321771.14</v>
      </c>
      <c r="R240" s="80">
        <f t="shared" si="68"/>
        <v>7756533</v>
      </c>
      <c r="S240" s="80">
        <f t="shared" si="68"/>
        <v>22653559.948</v>
      </c>
      <c r="T240" s="84">
        <f>N240/'2016'!N240-1</f>
        <v>0.000565021844613822</v>
      </c>
      <c r="U240" s="84">
        <f>O240/'2016'!O240-1</f>
        <v>0.113191163506811</v>
      </c>
      <c r="V240" s="84">
        <f>P240/'2016'!P240-1</f>
        <v>0.0524448967894282</v>
      </c>
      <c r="W240" s="85">
        <f>Q240/'2016'!Q240-1</f>
        <v>0.0729535522507212</v>
      </c>
      <c r="X240" s="85">
        <f>R240/'2016'!R240-1</f>
        <v>0.115968912704309</v>
      </c>
      <c r="Y240" s="85">
        <f>S240/'2016'!S240-1</f>
        <v>0.0843712979475888</v>
      </c>
      <c r="Z240" s="141">
        <f>(Z241-Z234)/7*6+Z234</f>
        <v>110.605714285714</v>
      </c>
      <c r="AA240" s="141">
        <f>Q240/10000-Z240</f>
        <v>1321.57139971429</v>
      </c>
      <c r="AB240" s="109"/>
      <c r="AC240" s="109"/>
      <c r="AD240" s="38">
        <f t="shared" si="60"/>
        <v>14897026.948</v>
      </c>
      <c r="AE240" s="38">
        <f t="shared" si="62"/>
        <v>261744.68</v>
      </c>
      <c r="AF240" s="38">
        <f t="shared" si="63"/>
        <v>180092.82</v>
      </c>
      <c r="AG240" s="38">
        <f t="shared" si="61"/>
        <v>133418.307999998</v>
      </c>
    </row>
    <row r="241" ht="15" customHeight="1" spans="1:33">
      <c r="A241" s="106">
        <v>42971</v>
      </c>
      <c r="B241" s="15" t="s">
        <v>36</v>
      </c>
      <c r="C241" s="33">
        <v>73819</v>
      </c>
      <c r="D241" s="34">
        <f>37780+10071</f>
        <v>47851</v>
      </c>
      <c r="E241" s="34">
        <v>124638</v>
      </c>
      <c r="F241" s="124">
        <v>6057.8</v>
      </c>
      <c r="G241" s="34">
        <v>3957</v>
      </c>
      <c r="H241" s="20"/>
      <c r="I241" s="20"/>
      <c r="J241" s="33">
        <f t="shared" si="58"/>
        <v>76787</v>
      </c>
      <c r="K241" s="34">
        <v>1124</v>
      </c>
      <c r="L241" s="34">
        <v>744</v>
      </c>
      <c r="M241" s="133">
        <f t="shared" si="59"/>
        <v>1100</v>
      </c>
      <c r="N241" s="81">
        <f t="shared" si="69"/>
        <v>1800391</v>
      </c>
      <c r="O241" s="82">
        <f t="shared" si="69"/>
        <v>1143948</v>
      </c>
      <c r="P241" s="82">
        <f t="shared" si="69"/>
        <v>3022083</v>
      </c>
      <c r="Q241" s="81">
        <f t="shared" si="68"/>
        <v>14395590.14</v>
      </c>
      <c r="R241" s="81">
        <f t="shared" si="68"/>
        <v>7804384</v>
      </c>
      <c r="S241" s="81">
        <f t="shared" si="68"/>
        <v>22778197.948</v>
      </c>
      <c r="T241" s="86">
        <f>N241/'2016'!N241-1</f>
        <v>0.00254423879426802</v>
      </c>
      <c r="U241" s="86">
        <f>O241/'2016'!O241-1</f>
        <v>0.116187305524305</v>
      </c>
      <c r="V241" s="86">
        <f>P241/'2016'!P241-1</f>
        <v>0.0548286404288447</v>
      </c>
      <c r="W241" s="86">
        <f>Q241/'2016'!Q241-1</f>
        <v>0.0728395904879435</v>
      </c>
      <c r="X241" s="86">
        <f>R241/'2016'!R241-1</f>
        <v>0.116392176541497</v>
      </c>
      <c r="Y241" s="86">
        <f>S241/'2016'!S241-1</f>
        <v>0.0845263072842823</v>
      </c>
      <c r="Z241" s="143">
        <v>111.23</v>
      </c>
      <c r="AA241" s="143">
        <f>Q241/10000-Z241</f>
        <v>1328.329014</v>
      </c>
      <c r="AB241" s="34">
        <v>4258.08</v>
      </c>
      <c r="AC241" s="34">
        <f>AA241*10000/AB241</f>
        <v>3119.54921936648</v>
      </c>
      <c r="AD241" s="34">
        <f t="shared" si="60"/>
        <v>14973813.948</v>
      </c>
      <c r="AE241" s="34">
        <f t="shared" si="62"/>
        <v>262868.68</v>
      </c>
      <c r="AF241" s="34">
        <f t="shared" si="63"/>
        <v>180836.82</v>
      </c>
      <c r="AG241" s="34">
        <f t="shared" si="61"/>
        <v>134518.307999998</v>
      </c>
    </row>
    <row r="242" ht="15" customHeight="1" spans="1:33">
      <c r="A242" s="106">
        <v>42972</v>
      </c>
      <c r="B242" s="21" t="s">
        <v>37</v>
      </c>
      <c r="C242" s="9">
        <v>76120</v>
      </c>
      <c r="D242" s="38">
        <f>36244+10101</f>
        <v>46345</v>
      </c>
      <c r="E242" s="38">
        <v>125250</v>
      </c>
      <c r="F242" s="13">
        <v>6116.3</v>
      </c>
      <c r="G242" s="38">
        <v>4122.9</v>
      </c>
      <c r="H242" s="25"/>
      <c r="I242" s="37"/>
      <c r="J242" s="9">
        <f t="shared" si="58"/>
        <v>78905</v>
      </c>
      <c r="K242" s="38">
        <v>1140</v>
      </c>
      <c r="L242" s="38">
        <v>741</v>
      </c>
      <c r="M242" s="132">
        <f t="shared" si="59"/>
        <v>904</v>
      </c>
      <c r="N242" s="78">
        <f t="shared" si="69"/>
        <v>1876511</v>
      </c>
      <c r="O242" s="79">
        <f t="shared" si="69"/>
        <v>1190293</v>
      </c>
      <c r="P242" s="79">
        <f t="shared" si="69"/>
        <v>3147333</v>
      </c>
      <c r="Q242" s="80">
        <f t="shared" si="68"/>
        <v>14471710.14</v>
      </c>
      <c r="R242" s="80">
        <f t="shared" si="68"/>
        <v>7850729</v>
      </c>
      <c r="S242" s="80">
        <f t="shared" si="68"/>
        <v>22903447.948</v>
      </c>
      <c r="T242" s="84">
        <f>N242/'2016'!N242-1</f>
        <v>0.00445780739895385</v>
      </c>
      <c r="U242" s="84">
        <f>O242/'2016'!O242-1</f>
        <v>0.121488555623917</v>
      </c>
      <c r="V242" s="84">
        <f>P242/'2016'!P242-1</f>
        <v>0.0577005864626632</v>
      </c>
      <c r="W242" s="85">
        <f>Q242/'2016'!Q242-1</f>
        <v>0.0727275310894853</v>
      </c>
      <c r="X242" s="85">
        <f>R242/'2016'!R242-1</f>
        <v>0.117191785802565</v>
      </c>
      <c r="Y242" s="85">
        <f>S242/'2016'!S242-1</f>
        <v>0.0847754449858829</v>
      </c>
      <c r="Z242" s="141"/>
      <c r="AA242" s="141"/>
      <c r="AB242" s="109"/>
      <c r="AC242" s="109"/>
      <c r="AD242" s="38">
        <f t="shared" si="60"/>
        <v>15052718.948</v>
      </c>
      <c r="AE242" s="38">
        <f t="shared" si="62"/>
        <v>264008.68</v>
      </c>
      <c r="AF242" s="38">
        <f t="shared" si="63"/>
        <v>181577.82</v>
      </c>
      <c r="AG242" s="38">
        <f t="shared" si="61"/>
        <v>135422.307999998</v>
      </c>
    </row>
    <row r="243" ht="15" customHeight="1" spans="1:33">
      <c r="A243" s="106">
        <v>42973</v>
      </c>
      <c r="B243" s="21" t="s">
        <v>38</v>
      </c>
      <c r="C243" s="74">
        <v>63176</v>
      </c>
      <c r="D243" s="75">
        <f>37919+10188</f>
        <v>48107</v>
      </c>
      <c r="E243" s="75">
        <v>113275</v>
      </c>
      <c r="F243" s="125">
        <v>5389.3</v>
      </c>
      <c r="G243" s="75">
        <v>3985.8</v>
      </c>
      <c r="H243" s="25"/>
      <c r="I243" s="25"/>
      <c r="J243" s="74">
        <f t="shared" si="58"/>
        <v>65168</v>
      </c>
      <c r="K243" s="75">
        <v>681</v>
      </c>
      <c r="L243" s="75">
        <v>740</v>
      </c>
      <c r="M243" s="134">
        <f t="shared" si="59"/>
        <v>571</v>
      </c>
      <c r="N243" s="78">
        <f t="shared" si="69"/>
        <v>1939687</v>
      </c>
      <c r="O243" s="79">
        <f t="shared" si="69"/>
        <v>1238400</v>
      </c>
      <c r="P243" s="79">
        <f t="shared" si="69"/>
        <v>3260608</v>
      </c>
      <c r="Q243" s="80">
        <f t="shared" si="68"/>
        <v>14534886.14</v>
      </c>
      <c r="R243" s="80">
        <f t="shared" si="68"/>
        <v>7898836</v>
      </c>
      <c r="S243" s="80">
        <f t="shared" si="68"/>
        <v>23016722.948</v>
      </c>
      <c r="T243" s="84">
        <f>N243/'2016'!N243-1</f>
        <v>0.00125280034688169</v>
      </c>
      <c r="U243" s="84">
        <f>O243/'2016'!O243-1</f>
        <v>0.12871487462825</v>
      </c>
      <c r="V243" s="84">
        <f>P243/'2016'!P243-1</f>
        <v>0.0580045018458086</v>
      </c>
      <c r="W243" s="85">
        <f>Q243/'2016'!Q243-1</f>
        <v>0.0719218466610978</v>
      </c>
      <c r="X243" s="85">
        <f>R243/'2016'!R243-1</f>
        <v>0.118336123686381</v>
      </c>
      <c r="Y243" s="85">
        <f>S243/'2016'!S243-1</f>
        <v>0.0846840678413059</v>
      </c>
      <c r="Z243" s="144"/>
      <c r="AA243" s="144"/>
      <c r="AB243" s="109"/>
      <c r="AC243" s="109"/>
      <c r="AD243" s="38">
        <f t="shared" si="60"/>
        <v>15117886.948</v>
      </c>
      <c r="AE243" s="75">
        <f t="shared" si="62"/>
        <v>264689.68</v>
      </c>
      <c r="AF243" s="75">
        <f t="shared" si="63"/>
        <v>182317.82</v>
      </c>
      <c r="AG243" s="75">
        <f t="shared" si="61"/>
        <v>135993.307999998</v>
      </c>
    </row>
    <row r="244" ht="15" customHeight="1" spans="1:33">
      <c r="A244" s="106">
        <v>42974</v>
      </c>
      <c r="B244" s="21" t="s">
        <v>1</v>
      </c>
      <c r="C244" s="9">
        <v>58281</v>
      </c>
      <c r="D244" s="38">
        <f>39233+10146</f>
        <v>49379</v>
      </c>
      <c r="E244" s="38">
        <v>110119</v>
      </c>
      <c r="F244" s="13">
        <v>5185.6</v>
      </c>
      <c r="G244" s="38">
        <v>3686</v>
      </c>
      <c r="H244" s="25"/>
      <c r="I244" s="37"/>
      <c r="J244" s="9">
        <f t="shared" si="58"/>
        <v>60740</v>
      </c>
      <c r="K244" s="38">
        <v>712</v>
      </c>
      <c r="L244" s="38">
        <v>746</v>
      </c>
      <c r="M244" s="132">
        <f t="shared" si="59"/>
        <v>1001</v>
      </c>
      <c r="N244" s="78">
        <f t="shared" si="69"/>
        <v>1997968</v>
      </c>
      <c r="O244" s="79">
        <f t="shared" si="69"/>
        <v>1287779</v>
      </c>
      <c r="P244" s="79">
        <f t="shared" si="69"/>
        <v>3370727</v>
      </c>
      <c r="Q244" s="80">
        <f t="shared" si="68"/>
        <v>14593167.14</v>
      </c>
      <c r="R244" s="80">
        <f t="shared" si="68"/>
        <v>7948215</v>
      </c>
      <c r="S244" s="80">
        <f t="shared" si="68"/>
        <v>23126841.948</v>
      </c>
      <c r="T244" s="84">
        <f>N244/'2016'!N244-1</f>
        <v>0.00231569737808468</v>
      </c>
      <c r="U244" s="84">
        <f>O244/'2016'!O244-1</f>
        <v>0.138621818959892</v>
      </c>
      <c r="V244" s="84">
        <f>P244/'2016'!P244-1</f>
        <v>0.0619500001890305</v>
      </c>
      <c r="W244" s="85">
        <f>Q244/'2016'!Q244-1</f>
        <v>0.0717863241102599</v>
      </c>
      <c r="X244" s="85">
        <f>R244/'2016'!R244-1</f>
        <v>0.119964417996389</v>
      </c>
      <c r="Y244" s="85">
        <f>S244/'2016'!S244-1</f>
        <v>0.0851562112960007</v>
      </c>
      <c r="Z244" s="141"/>
      <c r="AA244" s="141"/>
      <c r="AB244" s="109"/>
      <c r="AC244" s="109"/>
      <c r="AD244" s="38">
        <f t="shared" si="60"/>
        <v>15178626.948</v>
      </c>
      <c r="AE244" s="38">
        <f t="shared" si="62"/>
        <v>265401.68</v>
      </c>
      <c r="AF244" s="38">
        <f t="shared" si="63"/>
        <v>183063.82</v>
      </c>
      <c r="AG244" s="38">
        <f t="shared" si="61"/>
        <v>136994.307999998</v>
      </c>
    </row>
    <row r="245" ht="15" customHeight="1" spans="1:33">
      <c r="A245" s="106">
        <v>42975</v>
      </c>
      <c r="B245" s="21" t="s">
        <v>39</v>
      </c>
      <c r="C245" s="9">
        <v>71868</v>
      </c>
      <c r="D245" s="38">
        <f>36576+10134</f>
        <v>46710</v>
      </c>
      <c r="E245" s="38">
        <v>121716</v>
      </c>
      <c r="F245" s="13">
        <v>6004.5</v>
      </c>
      <c r="G245" s="38">
        <v>3758.1</v>
      </c>
      <c r="H245" s="25"/>
      <c r="I245" s="37"/>
      <c r="J245" s="9">
        <f t="shared" si="58"/>
        <v>75006</v>
      </c>
      <c r="K245" s="38">
        <v>1412</v>
      </c>
      <c r="L245" s="38">
        <v>745</v>
      </c>
      <c r="M245" s="132">
        <f t="shared" si="59"/>
        <v>981</v>
      </c>
      <c r="N245" s="78">
        <f t="shared" si="69"/>
        <v>2069836</v>
      </c>
      <c r="O245" s="79">
        <f t="shared" si="69"/>
        <v>1334489</v>
      </c>
      <c r="P245" s="79">
        <f t="shared" si="69"/>
        <v>3492443</v>
      </c>
      <c r="Q245" s="80">
        <f t="shared" si="68"/>
        <v>14665035.14</v>
      </c>
      <c r="R245" s="80">
        <f t="shared" si="68"/>
        <v>7994925</v>
      </c>
      <c r="S245" s="80">
        <f t="shared" si="68"/>
        <v>23248557.948</v>
      </c>
      <c r="T245" s="84">
        <f>N245/'2016'!N245-1</f>
        <v>0.0156520954023136</v>
      </c>
      <c r="U245" s="84">
        <f>O245/'2016'!O245-1</f>
        <v>0.146278151474884</v>
      </c>
      <c r="V245" s="84">
        <f>P245/'2016'!P245-1</f>
        <v>0.0735652415553532</v>
      </c>
      <c r="W245" s="85">
        <f>Q245/'2016'!Q245-1</f>
        <v>0.0735491905063195</v>
      </c>
      <c r="X245" s="85">
        <f>R245/'2016'!R245-1</f>
        <v>0.121301406261198</v>
      </c>
      <c r="Y245" s="85">
        <f>S245/'2016'!S245-1</f>
        <v>0.0868369049543742</v>
      </c>
      <c r="Z245" s="141"/>
      <c r="AA245" s="141"/>
      <c r="AB245" s="109"/>
      <c r="AC245" s="109"/>
      <c r="AD245" s="38">
        <f t="shared" si="60"/>
        <v>15253632.948</v>
      </c>
      <c r="AE245" s="38">
        <f t="shared" si="62"/>
        <v>266813.68</v>
      </c>
      <c r="AF245" s="38">
        <f t="shared" si="63"/>
        <v>183808.82</v>
      </c>
      <c r="AG245" s="38">
        <f t="shared" si="61"/>
        <v>137975.307999998</v>
      </c>
    </row>
    <row r="246" ht="15" customHeight="1" spans="1:33">
      <c r="A246" s="106">
        <v>42976</v>
      </c>
      <c r="B246" s="21" t="s">
        <v>34</v>
      </c>
      <c r="C246" s="9">
        <v>74415</v>
      </c>
      <c r="D246" s="38">
        <f>35115+10088</f>
        <v>45203</v>
      </c>
      <c r="E246" s="38">
        <v>122756</v>
      </c>
      <c r="F246" s="13">
        <v>6058</v>
      </c>
      <c r="G246" s="38">
        <v>4070.6</v>
      </c>
      <c r="H246" s="25"/>
      <c r="I246" s="37"/>
      <c r="J246" s="9">
        <f t="shared" si="58"/>
        <v>77553</v>
      </c>
      <c r="K246" s="38">
        <v>1640</v>
      </c>
      <c r="L246" s="38">
        <v>744</v>
      </c>
      <c r="M246" s="132">
        <f t="shared" si="59"/>
        <v>754</v>
      </c>
      <c r="N246" s="78">
        <f t="shared" si="69"/>
        <v>2144251</v>
      </c>
      <c r="O246" s="79">
        <f t="shared" si="69"/>
        <v>1379692</v>
      </c>
      <c r="P246" s="79">
        <f t="shared" si="69"/>
        <v>3615199</v>
      </c>
      <c r="Q246" s="80">
        <f t="shared" si="68"/>
        <v>14739450.14</v>
      </c>
      <c r="R246" s="80">
        <f t="shared" si="68"/>
        <v>8040128</v>
      </c>
      <c r="S246" s="80">
        <f t="shared" si="68"/>
        <v>23371313.948</v>
      </c>
      <c r="T246" s="84">
        <f>N246/'2016'!N246-1</f>
        <v>0.0289596151834395</v>
      </c>
      <c r="U246" s="84">
        <f>O246/'2016'!O246-1</f>
        <v>0.152669191965606</v>
      </c>
      <c r="V246" s="84">
        <f>P246/'2016'!P246-1</f>
        <v>0.0846138222297292</v>
      </c>
      <c r="W246" s="85">
        <f>Q246/'2016'!Q246-1</f>
        <v>0.0753783054251067</v>
      </c>
      <c r="X246" s="85">
        <f>R246/'2016'!R246-1</f>
        <v>0.122483631405699</v>
      </c>
      <c r="Y246" s="85">
        <f>S246/'2016'!S246-1</f>
        <v>0.0885026109511233</v>
      </c>
      <c r="Z246" s="141"/>
      <c r="AA246" s="141"/>
      <c r="AB246" s="109"/>
      <c r="AC246" s="109"/>
      <c r="AD246" s="38">
        <f t="shared" si="60"/>
        <v>15331185.948</v>
      </c>
      <c r="AE246" s="38">
        <f t="shared" si="62"/>
        <v>268453.68</v>
      </c>
      <c r="AF246" s="38">
        <f t="shared" si="63"/>
        <v>184552.82</v>
      </c>
      <c r="AG246" s="38">
        <f t="shared" si="61"/>
        <v>138729.307999998</v>
      </c>
    </row>
    <row r="247" ht="15" customHeight="1" spans="1:33">
      <c r="A247" s="106">
        <v>42977</v>
      </c>
      <c r="B247" s="21" t="s">
        <v>35</v>
      </c>
      <c r="C247" s="9">
        <v>68039</v>
      </c>
      <c r="D247" s="38">
        <f>31268+10216</f>
        <v>41484</v>
      </c>
      <c r="E247" s="38">
        <v>111748</v>
      </c>
      <c r="F247" s="13">
        <v>5456.5</v>
      </c>
      <c r="G247" s="38">
        <v>3820.3</v>
      </c>
      <c r="H247" s="25"/>
      <c r="I247" s="37"/>
      <c r="J247" s="9">
        <f t="shared" si="58"/>
        <v>70264</v>
      </c>
      <c r="K247" s="38">
        <v>864</v>
      </c>
      <c r="L247" s="38">
        <v>743</v>
      </c>
      <c r="M247" s="132">
        <f t="shared" si="59"/>
        <v>618</v>
      </c>
      <c r="N247" s="78">
        <f t="shared" si="69"/>
        <v>2212290</v>
      </c>
      <c r="O247" s="79">
        <f t="shared" si="69"/>
        <v>1421176</v>
      </c>
      <c r="P247" s="79">
        <f t="shared" si="69"/>
        <v>3726947</v>
      </c>
      <c r="Q247" s="80">
        <f t="shared" si="68"/>
        <v>14807489.14</v>
      </c>
      <c r="R247" s="80">
        <f t="shared" si="68"/>
        <v>8081612</v>
      </c>
      <c r="S247" s="80">
        <f t="shared" si="68"/>
        <v>23483061.948</v>
      </c>
      <c r="T247" s="84">
        <f>N247/'2016'!N247-1</f>
        <v>0.038155666333956</v>
      </c>
      <c r="U247" s="84">
        <f>O247/'2016'!O247-1</f>
        <v>0.157464026140299</v>
      </c>
      <c r="V247" s="84">
        <f>P247/'2016'!P247-1</f>
        <v>0.0920173189905011</v>
      </c>
      <c r="W247" s="85">
        <f>Q247/'2016'!Q247-1</f>
        <v>0.0766442687655071</v>
      </c>
      <c r="X247" s="85">
        <f>R247/'2016'!R247-1</f>
        <v>0.1234316102848</v>
      </c>
      <c r="Y247" s="85">
        <f>S247/'2016'!S247-1</f>
        <v>0.0896606807261915</v>
      </c>
      <c r="Z247" s="141">
        <f>(Z248-Z241)/7*6+Z241</f>
        <v>114.483032</v>
      </c>
      <c r="AA247" s="141">
        <f>Q247/10000-Z247</f>
        <v>1366.265882</v>
      </c>
      <c r="AB247" s="109"/>
      <c r="AC247" s="109"/>
      <c r="AD247" s="38">
        <f t="shared" si="60"/>
        <v>15401449.948</v>
      </c>
      <c r="AE247" s="38">
        <f t="shared" si="62"/>
        <v>269317.68</v>
      </c>
      <c r="AF247" s="38">
        <f t="shared" si="63"/>
        <v>185295.82</v>
      </c>
      <c r="AG247" s="38">
        <f t="shared" si="61"/>
        <v>139347.307999998</v>
      </c>
    </row>
    <row r="248" s="105" customFormat="1" ht="15" customHeight="1" spans="1:33">
      <c r="A248" s="112">
        <v>42978</v>
      </c>
      <c r="B248" s="26" t="s">
        <v>36</v>
      </c>
      <c r="C248" s="43">
        <v>56943</v>
      </c>
      <c r="D248" s="44">
        <f>32077+9785</f>
        <v>41862</v>
      </c>
      <c r="E248" s="44">
        <v>100313</v>
      </c>
      <c r="F248" s="127">
        <v>4850.4</v>
      </c>
      <c r="G248" s="44">
        <v>3500.7</v>
      </c>
      <c r="H248" s="31"/>
      <c r="I248" s="31"/>
      <c r="J248" s="43">
        <f t="shared" si="58"/>
        <v>58451</v>
      </c>
      <c r="K248" s="44">
        <v>290</v>
      </c>
      <c r="L248" s="44">
        <v>748</v>
      </c>
      <c r="M248" s="135">
        <f t="shared" si="59"/>
        <v>470</v>
      </c>
      <c r="N248" s="91">
        <f t="shared" si="69"/>
        <v>2269233</v>
      </c>
      <c r="O248" s="92">
        <f t="shared" si="69"/>
        <v>1463038</v>
      </c>
      <c r="P248" s="92">
        <f t="shared" si="69"/>
        <v>3827260</v>
      </c>
      <c r="Q248" s="91" t="s">
        <v>58</v>
      </c>
      <c r="R248" s="91">
        <v>8138008</v>
      </c>
      <c r="S248" s="91" t="s">
        <v>59</v>
      </c>
      <c r="T248" s="93">
        <f>N248/'2016'!N248-1</f>
        <v>0.0419750217993322</v>
      </c>
      <c r="U248" s="93">
        <f>O248/'2016'!O248-1</f>
        <v>0.163319262015154</v>
      </c>
      <c r="V248" s="93">
        <f>P248/'2016'!P248-1</f>
        <v>0.0959006878478683</v>
      </c>
      <c r="W248" s="93">
        <f>Q248/'2016'!Q248-1</f>
        <v>0.0771163873593228</v>
      </c>
      <c r="X248" s="93">
        <f>R248/'2016'!R248-1</f>
        <v>0.126603501438155</v>
      </c>
      <c r="Y248" s="93">
        <f>S248/'2016'!S248-1</f>
        <v>0.0902963566936923</v>
      </c>
      <c r="Z248" s="146">
        <v>115.025204</v>
      </c>
      <c r="AA248" s="146">
        <v>1371.41803</v>
      </c>
      <c r="AB248" s="44">
        <v>4258.08</v>
      </c>
      <c r="AC248" s="44">
        <f>AA248*10000/AB248</f>
        <v>3220.74275260211</v>
      </c>
      <c r="AD248" s="44" t="s">
        <v>60</v>
      </c>
      <c r="AE248" s="44" t="s">
        <v>61</v>
      </c>
      <c r="AF248" s="44">
        <f t="shared" si="63"/>
        <v>186043.82</v>
      </c>
      <c r="AG248" s="44">
        <f t="shared" si="61"/>
        <v>125293.878</v>
      </c>
    </row>
    <row r="249" ht="15" customHeight="1" spans="1:33">
      <c r="A249" s="106">
        <v>42979</v>
      </c>
      <c r="B249" s="21" t="s">
        <v>37</v>
      </c>
      <c r="C249" s="9">
        <v>52789</v>
      </c>
      <c r="D249" s="38">
        <f>31777+9782</f>
        <v>41559</v>
      </c>
      <c r="E249" s="38">
        <v>96105</v>
      </c>
      <c r="F249" s="13">
        <v>4648.3</v>
      </c>
      <c r="G249" s="38">
        <v>3279.1</v>
      </c>
      <c r="H249" s="25"/>
      <c r="I249" s="37"/>
      <c r="J249" s="9">
        <f t="shared" si="58"/>
        <v>54546</v>
      </c>
      <c r="K249" s="38">
        <v>287</v>
      </c>
      <c r="L249" s="38">
        <v>753</v>
      </c>
      <c r="M249" s="132">
        <f t="shared" si="59"/>
        <v>717</v>
      </c>
      <c r="N249" s="78">
        <f>C249</f>
        <v>52789</v>
      </c>
      <c r="O249" s="79">
        <f>D249</f>
        <v>41559</v>
      </c>
      <c r="P249" s="79">
        <f>E249</f>
        <v>96105</v>
      </c>
      <c r="Q249" s="80">
        <f t="shared" ref="Q249:S264" si="70">Q$248+N249</f>
        <v>14917221.34</v>
      </c>
      <c r="R249" s="80">
        <f t="shared" si="70"/>
        <v>8179567</v>
      </c>
      <c r="S249" s="80">
        <f t="shared" si="70"/>
        <v>23679480.508</v>
      </c>
      <c r="T249" s="84">
        <f>N249/'2016'!N249-1</f>
        <v>0.240955358612097</v>
      </c>
      <c r="U249" s="84">
        <f>O249/'2016'!O249-1</f>
        <v>0.416462167689162</v>
      </c>
      <c r="V249" s="84">
        <f>P249/'2016'!P249-1</f>
        <v>0.31425641025641</v>
      </c>
      <c r="W249" s="85">
        <f>Q249/'2016'!Q249-1</f>
        <v>0.0776198672676938</v>
      </c>
      <c r="X249" s="85">
        <f>R249/'2016'!R249-1</f>
        <v>0.127776071930001</v>
      </c>
      <c r="Y249" s="85">
        <f>S249/'2016'!S249-1</f>
        <v>0.0910509436619551</v>
      </c>
      <c r="Z249" s="141"/>
      <c r="AA249" s="141"/>
      <c r="AB249" s="109"/>
      <c r="AC249" s="109"/>
      <c r="AD249" s="38">
        <f t="shared" si="60"/>
        <v>15499913.508</v>
      </c>
      <c r="AE249" s="38">
        <f t="shared" si="62"/>
        <v>269884.47</v>
      </c>
      <c r="AF249" s="38">
        <f t="shared" si="63"/>
        <v>186796.82</v>
      </c>
      <c r="AG249" s="38">
        <f t="shared" si="61"/>
        <v>126010.878000001</v>
      </c>
    </row>
    <row r="250" ht="15" customHeight="1" spans="1:33">
      <c r="A250" s="106">
        <v>42980</v>
      </c>
      <c r="B250" s="21" t="s">
        <v>38</v>
      </c>
      <c r="C250" s="74">
        <v>54136</v>
      </c>
      <c r="D250" s="75">
        <f>31722+9840</f>
        <v>41562</v>
      </c>
      <c r="E250" s="75">
        <v>97864</v>
      </c>
      <c r="F250" s="125">
        <v>4781.3</v>
      </c>
      <c r="G250" s="75">
        <v>3219.3</v>
      </c>
      <c r="H250" s="25"/>
      <c r="I250" s="25"/>
      <c r="J250" s="74">
        <f t="shared" si="58"/>
        <v>56302</v>
      </c>
      <c r="K250" s="75">
        <v>620</v>
      </c>
      <c r="L250" s="75">
        <v>756</v>
      </c>
      <c r="M250" s="134">
        <f t="shared" si="59"/>
        <v>790</v>
      </c>
      <c r="N250" s="78">
        <f t="shared" ref="N250:P265" si="71">C250+N249</f>
        <v>106925</v>
      </c>
      <c r="O250" s="79">
        <f t="shared" si="71"/>
        <v>83121</v>
      </c>
      <c r="P250" s="79">
        <f t="shared" si="71"/>
        <v>193969</v>
      </c>
      <c r="Q250" s="80">
        <f t="shared" si="70"/>
        <v>14971357.34</v>
      </c>
      <c r="R250" s="80">
        <f t="shared" si="70"/>
        <v>8221129</v>
      </c>
      <c r="S250" s="80">
        <f t="shared" si="70"/>
        <v>23777344.508</v>
      </c>
      <c r="T250" s="84">
        <f>N250/'2016'!N250-1</f>
        <v>0.195480819758276</v>
      </c>
      <c r="U250" s="84">
        <f>O250/'2016'!O250-1</f>
        <v>0.488236768602736</v>
      </c>
      <c r="V250" s="84">
        <f>P250/'2016'!P250-1</f>
        <v>0.312152883477084</v>
      </c>
      <c r="W250" s="85">
        <f>Q250/'2016'!Q250-1</f>
        <v>0.0778785831263866</v>
      </c>
      <c r="X250" s="85">
        <f>R250/'2016'!R250-1</f>
        <v>0.129378195086616</v>
      </c>
      <c r="Y250" s="85">
        <f>S250/'2016'!S250-1</f>
        <v>0.0918022726711676</v>
      </c>
      <c r="Z250" s="144"/>
      <c r="AA250" s="144"/>
      <c r="AB250" s="109"/>
      <c r="AC250" s="109"/>
      <c r="AD250" s="38">
        <f t="shared" si="60"/>
        <v>15556215.508</v>
      </c>
      <c r="AE250" s="75">
        <f t="shared" si="62"/>
        <v>270504.47</v>
      </c>
      <c r="AF250" s="75">
        <f t="shared" si="63"/>
        <v>187552.82</v>
      </c>
      <c r="AG250" s="75">
        <f t="shared" si="61"/>
        <v>126800.878000001</v>
      </c>
    </row>
    <row r="251" ht="15" customHeight="1" spans="1:33">
      <c r="A251" s="106">
        <v>42981</v>
      </c>
      <c r="B251" s="21" t="s">
        <v>1</v>
      </c>
      <c r="C251" s="9">
        <v>53471</v>
      </c>
      <c r="D251" s="38">
        <f>31093+9973</f>
        <v>41066</v>
      </c>
      <c r="E251" s="38">
        <v>96713</v>
      </c>
      <c r="F251" s="13">
        <v>4561.2</v>
      </c>
      <c r="G251" s="38">
        <v>3353.3</v>
      </c>
      <c r="H251" s="25"/>
      <c r="I251" s="37"/>
      <c r="J251" s="9">
        <f t="shared" si="58"/>
        <v>55647</v>
      </c>
      <c r="K251" s="38">
        <v>627</v>
      </c>
      <c r="L251" s="38">
        <v>752</v>
      </c>
      <c r="M251" s="132">
        <f t="shared" si="59"/>
        <v>797</v>
      </c>
      <c r="N251" s="78">
        <f t="shared" si="71"/>
        <v>160396</v>
      </c>
      <c r="O251" s="79">
        <f t="shared" si="71"/>
        <v>124187</v>
      </c>
      <c r="P251" s="79">
        <f t="shared" si="71"/>
        <v>290682</v>
      </c>
      <c r="Q251" s="80">
        <f t="shared" si="70"/>
        <v>15024828.34</v>
      </c>
      <c r="R251" s="80">
        <f t="shared" si="70"/>
        <v>8262195</v>
      </c>
      <c r="S251" s="80">
        <f t="shared" si="70"/>
        <v>23874057.508</v>
      </c>
      <c r="T251" s="84">
        <f>N251/'2016'!N251-1</f>
        <v>0.158436793563438</v>
      </c>
      <c r="U251" s="84">
        <f>O251/'2016'!O251-1</f>
        <v>0.556013582087682</v>
      </c>
      <c r="V251" s="84">
        <f>P251/'2016'!P251-1</f>
        <v>0.308559055366235</v>
      </c>
      <c r="W251" s="85">
        <f>Q251/'2016'!Q251-1</f>
        <v>0.0779241791307332</v>
      </c>
      <c r="X251" s="85">
        <f>R251/'2016'!R251-1</f>
        <v>0.13129612640861</v>
      </c>
      <c r="Y251" s="85">
        <f>S251/'2016'!S251-1</f>
        <v>0.0925150922469171</v>
      </c>
      <c r="Z251" s="141"/>
      <c r="AA251" s="141"/>
      <c r="AB251" s="109"/>
      <c r="AC251" s="109"/>
      <c r="AD251" s="38">
        <f t="shared" si="60"/>
        <v>15611862.508</v>
      </c>
      <c r="AE251" s="38">
        <f t="shared" si="62"/>
        <v>271131.47</v>
      </c>
      <c r="AF251" s="38">
        <f t="shared" si="63"/>
        <v>188304.82</v>
      </c>
      <c r="AG251" s="38">
        <f t="shared" si="61"/>
        <v>127597.878000001</v>
      </c>
    </row>
    <row r="252" ht="15" customHeight="1" spans="1:33">
      <c r="A252" s="106">
        <v>42982</v>
      </c>
      <c r="B252" s="21" t="s">
        <v>39</v>
      </c>
      <c r="C252" s="9">
        <v>63964</v>
      </c>
      <c r="D252" s="38">
        <f>30550+10314</f>
        <v>40864</v>
      </c>
      <c r="E252" s="38">
        <v>107623</v>
      </c>
      <c r="F252" s="13">
        <v>5361.7</v>
      </c>
      <c r="G252" s="38">
        <v>3333.4</v>
      </c>
      <c r="H252" s="25"/>
      <c r="I252" s="37"/>
      <c r="J252" s="9">
        <f t="shared" si="58"/>
        <v>66759</v>
      </c>
      <c r="K252" s="38">
        <v>1136</v>
      </c>
      <c r="L252" s="38">
        <v>756</v>
      </c>
      <c r="M252" s="132">
        <f t="shared" si="59"/>
        <v>903</v>
      </c>
      <c r="N252" s="78">
        <f t="shared" si="71"/>
        <v>224360</v>
      </c>
      <c r="O252" s="79">
        <f t="shared" si="71"/>
        <v>165051</v>
      </c>
      <c r="P252" s="79">
        <f t="shared" si="71"/>
        <v>398305</v>
      </c>
      <c r="Q252" s="80">
        <f t="shared" si="70"/>
        <v>15088792.34</v>
      </c>
      <c r="R252" s="80">
        <f t="shared" si="70"/>
        <v>8303059</v>
      </c>
      <c r="S252" s="80">
        <f t="shared" si="70"/>
        <v>23981680.508</v>
      </c>
      <c r="T252" s="84">
        <f>N252/'2016'!N252-1</f>
        <v>0.224692544091879</v>
      </c>
      <c r="U252" s="84">
        <f>O252/'2016'!O252-1</f>
        <v>0.602670291790067</v>
      </c>
      <c r="V252" s="84">
        <f>P252/'2016'!P252-1</f>
        <v>0.366960669915574</v>
      </c>
      <c r="W252" s="85">
        <f>Q252/'2016'!Q252-1</f>
        <v>0.0790497866507067</v>
      </c>
      <c r="X252" s="85">
        <f>R252/'2016'!R252-1</f>
        <v>0.13329536145218</v>
      </c>
      <c r="Y252" s="85">
        <f>S252/'2016'!S252-1</f>
        <v>0.0939737507596461</v>
      </c>
      <c r="Z252" s="141"/>
      <c r="AA252" s="141"/>
      <c r="AB252" s="109"/>
      <c r="AC252" s="109"/>
      <c r="AD252" s="38">
        <f t="shared" si="60"/>
        <v>15678621.508</v>
      </c>
      <c r="AE252" s="38">
        <f t="shared" si="62"/>
        <v>272267.47</v>
      </c>
      <c r="AF252" s="38">
        <f t="shared" si="63"/>
        <v>189060.82</v>
      </c>
      <c r="AG252" s="38">
        <f t="shared" si="61"/>
        <v>128500.878000001</v>
      </c>
    </row>
    <row r="253" ht="15" customHeight="1" spans="1:33">
      <c r="A253" s="106">
        <v>42983</v>
      </c>
      <c r="B253" s="21" t="s">
        <v>34</v>
      </c>
      <c r="C253" s="9">
        <v>72495</v>
      </c>
      <c r="D253" s="38">
        <f>30397+10486</f>
        <v>40883</v>
      </c>
      <c r="E253" s="38">
        <v>117027</v>
      </c>
      <c r="F253" s="13">
        <v>5744</v>
      </c>
      <c r="G253" s="38">
        <v>3676.4</v>
      </c>
      <c r="H253" s="25"/>
      <c r="I253" s="37"/>
      <c r="J253" s="9">
        <f t="shared" si="58"/>
        <v>76144</v>
      </c>
      <c r="K253" s="38">
        <v>2052</v>
      </c>
      <c r="L253" s="38">
        <v>753</v>
      </c>
      <c r="M253" s="132">
        <f t="shared" si="59"/>
        <v>844</v>
      </c>
      <c r="N253" s="78">
        <f t="shared" si="71"/>
        <v>296855</v>
      </c>
      <c r="O253" s="79">
        <f t="shared" si="71"/>
        <v>205934</v>
      </c>
      <c r="P253" s="79">
        <f t="shared" si="71"/>
        <v>515332</v>
      </c>
      <c r="Q253" s="80">
        <f t="shared" si="70"/>
        <v>15161287.34</v>
      </c>
      <c r="R253" s="80">
        <f t="shared" si="70"/>
        <v>8343942</v>
      </c>
      <c r="S253" s="80">
        <f t="shared" si="70"/>
        <v>24098707.508</v>
      </c>
      <c r="T253" s="84">
        <f>N253/'2016'!N253-1</f>
        <v>0.266711044544295</v>
      </c>
      <c r="U253" s="84">
        <f>O253/'2016'!O253-1</f>
        <v>0.639967508680279</v>
      </c>
      <c r="V253" s="84">
        <f>P253/'2016'!P253-1</f>
        <v>0.406658077477399</v>
      </c>
      <c r="W253" s="85">
        <f>Q253/'2016'!Q253-1</f>
        <v>0.0802822646180383</v>
      </c>
      <c r="X253" s="85">
        <f>R253/'2016'!R253-1</f>
        <v>0.13537525406307</v>
      </c>
      <c r="Y253" s="85">
        <f>S253/'2016'!S253-1</f>
        <v>0.0955653425226852</v>
      </c>
      <c r="Z253" s="141"/>
      <c r="AA253" s="141"/>
      <c r="AB253" s="109"/>
      <c r="AC253" s="109"/>
      <c r="AD253" s="38">
        <f t="shared" si="60"/>
        <v>15754765.508</v>
      </c>
      <c r="AE253" s="38">
        <f t="shared" si="62"/>
        <v>274319.47</v>
      </c>
      <c r="AF253" s="38">
        <f t="shared" si="63"/>
        <v>189813.82</v>
      </c>
      <c r="AG253" s="38">
        <f t="shared" si="61"/>
        <v>129344.878000001</v>
      </c>
    </row>
    <row r="254" ht="15" customHeight="1" spans="1:33">
      <c r="A254" s="106">
        <v>42984</v>
      </c>
      <c r="B254" s="21" t="s">
        <v>35</v>
      </c>
      <c r="C254" s="9">
        <v>76192</v>
      </c>
      <c r="D254" s="38">
        <f>30388+10584</f>
        <v>40972</v>
      </c>
      <c r="E254" s="38">
        <v>120461</v>
      </c>
      <c r="F254" s="13">
        <v>5936.1</v>
      </c>
      <c r="G254" s="38">
        <v>3928.4</v>
      </c>
      <c r="H254" s="25"/>
      <c r="I254" s="37"/>
      <c r="J254" s="9">
        <f t="shared" si="58"/>
        <v>79489</v>
      </c>
      <c r="K254" s="38">
        <v>1889</v>
      </c>
      <c r="L254" s="38">
        <v>752</v>
      </c>
      <c r="M254" s="132">
        <f t="shared" si="59"/>
        <v>656</v>
      </c>
      <c r="N254" s="78">
        <f t="shared" si="71"/>
        <v>373047</v>
      </c>
      <c r="O254" s="79">
        <f t="shared" si="71"/>
        <v>246906</v>
      </c>
      <c r="P254" s="79">
        <f t="shared" si="71"/>
        <v>635793</v>
      </c>
      <c r="Q254" s="80">
        <f t="shared" si="70"/>
        <v>15237479.34</v>
      </c>
      <c r="R254" s="80">
        <f t="shared" si="70"/>
        <v>8384914</v>
      </c>
      <c r="S254" s="80">
        <f t="shared" si="70"/>
        <v>24219168.508</v>
      </c>
      <c r="T254" s="84">
        <f>N254/'2016'!N254-1</f>
        <v>0.325724703348721</v>
      </c>
      <c r="U254" s="84">
        <f>O254/'2016'!O254-1</f>
        <v>0.603702260327358</v>
      </c>
      <c r="V254" s="84">
        <f>P254/'2016'!P254-1</f>
        <v>0.435681527195377</v>
      </c>
      <c r="W254" s="85">
        <f>Q254/'2016'!Q254-1</f>
        <v>0.0820842985112276</v>
      </c>
      <c r="X254" s="85">
        <f>R254/'2016'!R254-1</f>
        <v>0.136560076525097</v>
      </c>
      <c r="Y254" s="85">
        <f>S254/'2016'!S254-1</f>
        <v>0.0972257960276539</v>
      </c>
      <c r="Z254" s="141">
        <f>(Z255-Z248)/7*6+Z248</f>
        <v>117.532172</v>
      </c>
      <c r="AA254" s="141">
        <f>Q254/10000-Z254</f>
        <v>1406.215762</v>
      </c>
      <c r="AB254" s="109"/>
      <c r="AC254" s="109"/>
      <c r="AD254" s="38">
        <f t="shared" si="60"/>
        <v>15834254.508</v>
      </c>
      <c r="AE254" s="38">
        <f t="shared" si="62"/>
        <v>276208.47</v>
      </c>
      <c r="AF254" s="38">
        <f t="shared" si="63"/>
        <v>190565.82</v>
      </c>
      <c r="AG254" s="38">
        <f t="shared" si="61"/>
        <v>130000.878000001</v>
      </c>
    </row>
    <row r="255" ht="15" customHeight="1" spans="1:33">
      <c r="A255" s="106">
        <v>42985</v>
      </c>
      <c r="B255" s="15" t="s">
        <v>36</v>
      </c>
      <c r="C255" s="33">
        <v>65124</v>
      </c>
      <c r="D255" s="34">
        <f>33303+10738</f>
        <v>44041</v>
      </c>
      <c r="E255" s="34">
        <v>110465</v>
      </c>
      <c r="F255" s="124">
        <v>5487.6</v>
      </c>
      <c r="G255" s="34">
        <v>3845.6</v>
      </c>
      <c r="H255" s="20"/>
      <c r="I255" s="20"/>
      <c r="J255" s="33">
        <f t="shared" si="58"/>
        <v>66424</v>
      </c>
      <c r="K255" s="34">
        <v>260</v>
      </c>
      <c r="L255" s="34">
        <v>757</v>
      </c>
      <c r="M255" s="133">
        <f t="shared" si="59"/>
        <v>283</v>
      </c>
      <c r="N255" s="81">
        <f t="shared" si="71"/>
        <v>438171</v>
      </c>
      <c r="O255" s="82">
        <f t="shared" si="71"/>
        <v>290947</v>
      </c>
      <c r="P255" s="82">
        <f t="shared" si="71"/>
        <v>746258</v>
      </c>
      <c r="Q255" s="81">
        <f t="shared" si="70"/>
        <v>15302603.34</v>
      </c>
      <c r="R255" s="81">
        <f t="shared" si="70"/>
        <v>8428955</v>
      </c>
      <c r="S255" s="81">
        <f t="shared" si="70"/>
        <v>24329633.508</v>
      </c>
      <c r="T255" s="86">
        <f>N255/'2016'!N255-1</f>
        <v>0.330969101976842</v>
      </c>
      <c r="U255" s="86">
        <f>O255/'2016'!O255-1</f>
        <v>0.55412934207223</v>
      </c>
      <c r="V255" s="86">
        <f>P255/'2016'!P255-1</f>
        <v>0.421140632855467</v>
      </c>
      <c r="W255" s="86">
        <f>Q255/'2016'!Q255-1</f>
        <v>0.0830310921423396</v>
      </c>
      <c r="X255" s="86">
        <f>R255/'2016'!R255-1</f>
        <v>0.137403656173818</v>
      </c>
      <c r="Y255" s="86">
        <f>S255/'2016'!S255-1</f>
        <v>0.0981378151978674</v>
      </c>
      <c r="Z255" s="143">
        <v>117.95</v>
      </c>
      <c r="AA255" s="143">
        <f>Q255/10000-Z255</f>
        <v>1412.310334</v>
      </c>
      <c r="AB255" s="34">
        <v>4269.48</v>
      </c>
      <c r="AC255" s="34">
        <f>AA255*10000/AB255</f>
        <v>3307.92118478129</v>
      </c>
      <c r="AD255" s="34">
        <f t="shared" si="60"/>
        <v>15900678.508</v>
      </c>
      <c r="AE255" s="34">
        <f t="shared" si="62"/>
        <v>276468.47</v>
      </c>
      <c r="AF255" s="34">
        <f t="shared" si="63"/>
        <v>191322.82</v>
      </c>
      <c r="AG255" s="34">
        <f t="shared" si="61"/>
        <v>130283.878000001</v>
      </c>
    </row>
    <row r="256" ht="15" customHeight="1" spans="1:33">
      <c r="A256" s="106">
        <v>42986</v>
      </c>
      <c r="B256" s="21" t="s">
        <v>37</v>
      </c>
      <c r="C256" s="9">
        <v>58268</v>
      </c>
      <c r="D256" s="38">
        <f>33843+10839</f>
        <v>44682</v>
      </c>
      <c r="E256" s="38">
        <v>104664</v>
      </c>
      <c r="F256" s="13">
        <v>5252.6</v>
      </c>
      <c r="G256" s="38">
        <v>3514.6</v>
      </c>
      <c r="H256" s="25"/>
      <c r="I256" s="37"/>
      <c r="J256" s="9">
        <f t="shared" si="58"/>
        <v>59982</v>
      </c>
      <c r="K256" s="38">
        <v>656</v>
      </c>
      <c r="L256" s="38">
        <v>754</v>
      </c>
      <c r="M256" s="132">
        <f t="shared" si="59"/>
        <v>304</v>
      </c>
      <c r="N256" s="78">
        <f t="shared" si="71"/>
        <v>496439</v>
      </c>
      <c r="O256" s="79">
        <f t="shared" si="71"/>
        <v>335629</v>
      </c>
      <c r="P256" s="79">
        <f t="shared" si="71"/>
        <v>850922</v>
      </c>
      <c r="Q256" s="80">
        <f t="shared" si="70"/>
        <v>15360871.34</v>
      </c>
      <c r="R256" s="80">
        <f t="shared" si="70"/>
        <v>8473637</v>
      </c>
      <c r="S256" s="80">
        <f t="shared" si="70"/>
        <v>24434297.508</v>
      </c>
      <c r="T256" s="84">
        <f>N256/'2016'!N256-1</f>
        <v>0.29829043959004</v>
      </c>
      <c r="U256" s="84">
        <f>O256/'2016'!O256-1</f>
        <v>0.512455499977468</v>
      </c>
      <c r="V256" s="84">
        <f>P256/'2016'!P256-1</f>
        <v>0.385403896093324</v>
      </c>
      <c r="W256" s="85">
        <f>Q256/'2016'!Q256-1</f>
        <v>0.0830794955702376</v>
      </c>
      <c r="X256" s="85">
        <f>R256/'2016'!R256-1</f>
        <v>0.13810381418108</v>
      </c>
      <c r="Y256" s="85">
        <f>S256/'2016'!S256-1</f>
        <v>0.0984447505520831</v>
      </c>
      <c r="Z256" s="141"/>
      <c r="AA256" s="141"/>
      <c r="AB256" s="109"/>
      <c r="AC256" s="109"/>
      <c r="AD256" s="38">
        <f t="shared" si="60"/>
        <v>15960660.508</v>
      </c>
      <c r="AE256" s="38">
        <f t="shared" si="62"/>
        <v>277124.47</v>
      </c>
      <c r="AF256" s="38">
        <f t="shared" si="63"/>
        <v>192076.82</v>
      </c>
      <c r="AG256" s="38">
        <f t="shared" si="61"/>
        <v>130587.878000001</v>
      </c>
    </row>
    <row r="257" ht="15" customHeight="1" spans="1:33">
      <c r="A257" s="106">
        <v>42987</v>
      </c>
      <c r="B257" s="21" t="s">
        <v>38</v>
      </c>
      <c r="C257" s="74">
        <v>57341</v>
      </c>
      <c r="D257" s="75">
        <f>34036+10866</f>
        <v>44902</v>
      </c>
      <c r="E257" s="75">
        <v>103800</v>
      </c>
      <c r="F257" s="125">
        <v>5093.8</v>
      </c>
      <c r="G257" s="75">
        <v>3410.9</v>
      </c>
      <c r="H257" s="25"/>
      <c r="I257" s="25"/>
      <c r="J257" s="74">
        <f t="shared" si="58"/>
        <v>58898</v>
      </c>
      <c r="K257" s="75">
        <v>328</v>
      </c>
      <c r="L257" s="75">
        <v>757</v>
      </c>
      <c r="M257" s="134">
        <f t="shared" si="59"/>
        <v>472</v>
      </c>
      <c r="N257" s="78">
        <f t="shared" si="71"/>
        <v>553780</v>
      </c>
      <c r="O257" s="79">
        <f t="shared" si="71"/>
        <v>380531</v>
      </c>
      <c r="P257" s="79">
        <f t="shared" si="71"/>
        <v>954722</v>
      </c>
      <c r="Q257" s="80">
        <f t="shared" si="70"/>
        <v>15418212.34</v>
      </c>
      <c r="R257" s="80">
        <f t="shared" si="70"/>
        <v>8518539</v>
      </c>
      <c r="S257" s="80">
        <f t="shared" si="70"/>
        <v>24538097.508</v>
      </c>
      <c r="T257" s="84">
        <f>N257/'2016'!N257-1</f>
        <v>0.260395566379134</v>
      </c>
      <c r="U257" s="84">
        <f>O257/'2016'!O257-1</f>
        <v>0.474035079564294</v>
      </c>
      <c r="V257" s="84">
        <f>P257/'2016'!P257-1</f>
        <v>0.347221516665255</v>
      </c>
      <c r="W257" s="85">
        <f>Q257/'2016'!Q257-1</f>
        <v>0.082771566296197</v>
      </c>
      <c r="X257" s="85">
        <f>R257/'2016'!R257-1</f>
        <v>0.138591713453392</v>
      </c>
      <c r="Y257" s="85">
        <f>S257/'2016'!S257-1</f>
        <v>0.0984468276946313</v>
      </c>
      <c r="Z257" s="144"/>
      <c r="AA257" s="144"/>
      <c r="AB257" s="109"/>
      <c r="AC257" s="109"/>
      <c r="AD257" s="38">
        <f t="shared" si="60"/>
        <v>16019558.508</v>
      </c>
      <c r="AE257" s="75">
        <f t="shared" si="62"/>
        <v>277452.47</v>
      </c>
      <c r="AF257" s="75">
        <f t="shared" si="63"/>
        <v>192833.82</v>
      </c>
      <c r="AG257" s="75">
        <f t="shared" si="61"/>
        <v>131059.878000001</v>
      </c>
    </row>
    <row r="258" ht="15" customHeight="1" spans="1:33">
      <c r="A258" s="106">
        <v>42988</v>
      </c>
      <c r="B258" s="21" t="s">
        <v>1</v>
      </c>
      <c r="C258" s="9">
        <v>57109</v>
      </c>
      <c r="D258" s="38">
        <f>37476+8420</f>
        <v>45896</v>
      </c>
      <c r="E258" s="38">
        <v>105310</v>
      </c>
      <c r="F258" s="13">
        <v>5149.3</v>
      </c>
      <c r="G258" s="38">
        <v>3432.2</v>
      </c>
      <c r="H258" s="25"/>
      <c r="I258" s="37"/>
      <c r="J258" s="9">
        <f t="shared" si="58"/>
        <v>59414</v>
      </c>
      <c r="K258" s="38">
        <v>734</v>
      </c>
      <c r="L258" s="38">
        <v>758</v>
      </c>
      <c r="M258" s="132">
        <f t="shared" si="59"/>
        <v>813</v>
      </c>
      <c r="N258" s="78">
        <f t="shared" si="71"/>
        <v>610889</v>
      </c>
      <c r="O258" s="79">
        <f t="shared" si="71"/>
        <v>426427</v>
      </c>
      <c r="P258" s="79">
        <f t="shared" si="71"/>
        <v>1060032</v>
      </c>
      <c r="Q258" s="80">
        <f t="shared" si="70"/>
        <v>15475321.34</v>
      </c>
      <c r="R258" s="80">
        <f t="shared" si="70"/>
        <v>8564435</v>
      </c>
      <c r="S258" s="80">
        <f t="shared" si="70"/>
        <v>24643407.508</v>
      </c>
      <c r="T258" s="84">
        <f>N258/'2016'!N258-1</f>
        <v>0.228347200830039</v>
      </c>
      <c r="U258" s="84">
        <f>O258/'2016'!O258-1</f>
        <v>0.45074284625617</v>
      </c>
      <c r="V258" s="84">
        <f>P258/'2016'!P258-1</f>
        <v>0.319261634042892</v>
      </c>
      <c r="W258" s="85">
        <f>Q258/'2016'!Q258-1</f>
        <v>0.0823768053460401</v>
      </c>
      <c r="X258" s="85">
        <f>R258/'2016'!R258-1</f>
        <v>0.139277593154891</v>
      </c>
      <c r="Y258" s="85">
        <f>S258/'2016'!S258-1</f>
        <v>0.0984971496072846</v>
      </c>
      <c r="Z258" s="141"/>
      <c r="AA258" s="141"/>
      <c r="AB258" s="109"/>
      <c r="AC258" s="109"/>
      <c r="AD258" s="38">
        <f t="shared" si="60"/>
        <v>16078972.508</v>
      </c>
      <c r="AE258" s="38">
        <f t="shared" si="62"/>
        <v>278186.47</v>
      </c>
      <c r="AF258" s="38">
        <f t="shared" si="63"/>
        <v>193591.82</v>
      </c>
      <c r="AG258" s="38">
        <f t="shared" si="61"/>
        <v>131872.878000001</v>
      </c>
    </row>
    <row r="259" ht="15" customHeight="1" spans="1:33">
      <c r="A259" s="106">
        <v>42989</v>
      </c>
      <c r="B259" s="21" t="s">
        <v>39</v>
      </c>
      <c r="C259" s="9">
        <v>60676</v>
      </c>
      <c r="D259" s="38">
        <f>37619+8283</f>
        <v>45902</v>
      </c>
      <c r="E259" s="38">
        <v>108948</v>
      </c>
      <c r="F259" s="13">
        <v>5626</v>
      </c>
      <c r="G259" s="38">
        <v>3592.6</v>
      </c>
      <c r="H259" s="25"/>
      <c r="I259" s="37"/>
      <c r="J259" s="9">
        <f t="shared" si="58"/>
        <v>63046</v>
      </c>
      <c r="K259" s="38">
        <v>1124</v>
      </c>
      <c r="L259" s="38">
        <v>759</v>
      </c>
      <c r="M259" s="132">
        <f t="shared" si="59"/>
        <v>487</v>
      </c>
      <c r="N259" s="78">
        <f t="shared" si="71"/>
        <v>671565</v>
      </c>
      <c r="O259" s="79">
        <f t="shared" si="71"/>
        <v>472329</v>
      </c>
      <c r="P259" s="79">
        <f t="shared" si="71"/>
        <v>1168980</v>
      </c>
      <c r="Q259" s="80">
        <f t="shared" si="70"/>
        <v>15535997.34</v>
      </c>
      <c r="R259" s="80">
        <f t="shared" si="70"/>
        <v>8610337</v>
      </c>
      <c r="S259" s="80">
        <f t="shared" si="70"/>
        <v>24752355.508</v>
      </c>
      <c r="T259" s="84">
        <f>N259/'2016'!N259-1</f>
        <v>0.227757616753659</v>
      </c>
      <c r="U259" s="84">
        <f>O259/'2016'!O259-1</f>
        <v>0.429558537781248</v>
      </c>
      <c r="V259" s="84">
        <f>P259/'2016'!P259-1</f>
        <v>0.312424006655417</v>
      </c>
      <c r="W259" s="85">
        <f>Q259/'2016'!Q259-1</f>
        <v>0.0828595652320889</v>
      </c>
      <c r="X259" s="85">
        <f>R259/'2016'!R259-1</f>
        <v>0.139854546484719</v>
      </c>
      <c r="Y259" s="85">
        <f>S259/'2016'!S259-1</f>
        <v>0.0990815010307422</v>
      </c>
      <c r="Z259" s="141"/>
      <c r="AA259" s="141"/>
      <c r="AB259" s="109"/>
      <c r="AC259" s="109"/>
      <c r="AD259" s="38">
        <f t="shared" si="60"/>
        <v>16142018.508</v>
      </c>
      <c r="AE259" s="38">
        <f t="shared" si="62"/>
        <v>279310.47</v>
      </c>
      <c r="AF259" s="38">
        <f t="shared" si="63"/>
        <v>194350.82</v>
      </c>
      <c r="AG259" s="38">
        <f t="shared" si="61"/>
        <v>132359.878000001</v>
      </c>
    </row>
    <row r="260" ht="15" customHeight="1" spans="1:33">
      <c r="A260" s="106">
        <v>42990</v>
      </c>
      <c r="B260" s="21" t="s">
        <v>34</v>
      </c>
      <c r="C260" s="9">
        <v>52887</v>
      </c>
      <c r="D260" s="38">
        <f>37374+8288</f>
        <v>45662</v>
      </c>
      <c r="E260" s="38">
        <v>101493</v>
      </c>
      <c r="F260" s="13">
        <v>5040.1</v>
      </c>
      <c r="G260" s="38">
        <v>3462.7</v>
      </c>
      <c r="H260" s="25"/>
      <c r="I260" s="37"/>
      <c r="J260" s="9">
        <f t="shared" si="58"/>
        <v>55831</v>
      </c>
      <c r="K260" s="38">
        <v>1678</v>
      </c>
      <c r="L260" s="38">
        <v>760</v>
      </c>
      <c r="M260" s="132">
        <f t="shared" si="59"/>
        <v>506</v>
      </c>
      <c r="N260" s="78">
        <f t="shared" si="71"/>
        <v>724452</v>
      </c>
      <c r="O260" s="79">
        <f t="shared" si="71"/>
        <v>517991</v>
      </c>
      <c r="P260" s="79">
        <f t="shared" si="71"/>
        <v>1270473</v>
      </c>
      <c r="Q260" s="80">
        <f t="shared" si="70"/>
        <v>15588884.34</v>
      </c>
      <c r="R260" s="80">
        <f t="shared" si="70"/>
        <v>8655999</v>
      </c>
      <c r="S260" s="80">
        <f t="shared" si="70"/>
        <v>24853848.508</v>
      </c>
      <c r="T260" s="84">
        <f>N260/'2016'!N260-1</f>
        <v>0.207617244149878</v>
      </c>
      <c r="U260" s="84">
        <f>O260/'2016'!O260-1</f>
        <v>0.416495070894349</v>
      </c>
      <c r="V260" s="84">
        <f>P260/'2016'!P260-1</f>
        <v>0.296182785551412</v>
      </c>
      <c r="W260" s="85">
        <f>Q260/'2016'!Q260-1</f>
        <v>0.0825529926433906</v>
      </c>
      <c r="X260" s="85">
        <f>R260/'2016'!R260-1</f>
        <v>0.140571951572068</v>
      </c>
      <c r="Y260" s="85">
        <f>S260/'2016'!S260-1</f>
        <v>0.0992215679727968</v>
      </c>
      <c r="Z260" s="141"/>
      <c r="AA260" s="141"/>
      <c r="AB260" s="109"/>
      <c r="AC260" s="109"/>
      <c r="AD260" s="38">
        <f t="shared" si="60"/>
        <v>16197849.508</v>
      </c>
      <c r="AE260" s="38">
        <f t="shared" si="62"/>
        <v>280988.47</v>
      </c>
      <c r="AF260" s="38">
        <f t="shared" si="63"/>
        <v>195110.82</v>
      </c>
      <c r="AG260" s="38">
        <f t="shared" si="61"/>
        <v>132865.878000001</v>
      </c>
    </row>
    <row r="261" ht="15" customHeight="1" spans="1:33">
      <c r="A261" s="106">
        <v>42991</v>
      </c>
      <c r="B261" s="21" t="s">
        <v>35</v>
      </c>
      <c r="C261" s="9">
        <v>49840</v>
      </c>
      <c r="D261" s="38">
        <f>37897+8326</f>
        <v>46223</v>
      </c>
      <c r="E261" s="38">
        <v>99459</v>
      </c>
      <c r="F261" s="13">
        <v>4949.3</v>
      </c>
      <c r="G261" s="38">
        <v>3330.1</v>
      </c>
      <c r="H261" s="25"/>
      <c r="I261" s="37"/>
      <c r="J261" s="9">
        <f t="shared" ref="J261:J324" si="72">E261-D261</f>
        <v>53236</v>
      </c>
      <c r="K261" s="38">
        <v>1671</v>
      </c>
      <c r="L261" s="38">
        <v>759</v>
      </c>
      <c r="M261" s="132">
        <f t="shared" si="59"/>
        <v>966</v>
      </c>
      <c r="N261" s="78">
        <f t="shared" si="71"/>
        <v>774292</v>
      </c>
      <c r="O261" s="79">
        <f t="shared" si="71"/>
        <v>564214</v>
      </c>
      <c r="P261" s="79">
        <f t="shared" si="71"/>
        <v>1369932</v>
      </c>
      <c r="Q261" s="80">
        <f t="shared" si="70"/>
        <v>15638724.34</v>
      </c>
      <c r="R261" s="80">
        <f t="shared" si="70"/>
        <v>8702222</v>
      </c>
      <c r="S261" s="80">
        <f t="shared" si="70"/>
        <v>24953307.508</v>
      </c>
      <c r="T261" s="84">
        <f>N261/'2016'!N261-1</f>
        <v>0.185635032562042</v>
      </c>
      <c r="U261" s="84">
        <f>O261/'2016'!O261-1</f>
        <v>0.403339377342675</v>
      </c>
      <c r="V261" s="84">
        <f>P261/'2016'!P261-1</f>
        <v>0.278944081229117</v>
      </c>
      <c r="W261" s="85">
        <f>Q261/'2016'!Q261-1</f>
        <v>0.0820197268839697</v>
      </c>
      <c r="X261" s="85">
        <f>R261/'2016'!R261-1</f>
        <v>0.141194197394545</v>
      </c>
      <c r="Y261" s="85">
        <f>S261/'2016'!S261-1</f>
        <v>0.099197517467561</v>
      </c>
      <c r="Z261" s="141">
        <f>(Z262-Z255)/7*6+Z255</f>
        <v>119.33</v>
      </c>
      <c r="AA261" s="141">
        <f>Q261/10000-Z261</f>
        <v>1444.542434</v>
      </c>
      <c r="AB261" s="109"/>
      <c r="AC261" s="109"/>
      <c r="AD261" s="38">
        <f t="shared" si="60"/>
        <v>16251085.508</v>
      </c>
      <c r="AE261" s="38">
        <f t="shared" si="62"/>
        <v>282659.47</v>
      </c>
      <c r="AF261" s="38">
        <f t="shared" si="63"/>
        <v>195869.82</v>
      </c>
      <c r="AG261" s="38">
        <f t="shared" si="61"/>
        <v>133831.878000001</v>
      </c>
    </row>
    <row r="262" ht="15" customHeight="1" spans="1:33">
      <c r="A262" s="106">
        <v>42992</v>
      </c>
      <c r="B262" s="15" t="s">
        <v>36</v>
      </c>
      <c r="C262" s="33">
        <v>48193</v>
      </c>
      <c r="D262" s="34">
        <f>38301+8355</f>
        <v>46656</v>
      </c>
      <c r="E262" s="34">
        <v>97916</v>
      </c>
      <c r="F262" s="124">
        <v>4840.6</v>
      </c>
      <c r="G262" s="34">
        <v>3265</v>
      </c>
      <c r="H262" s="20"/>
      <c r="I262" s="20"/>
      <c r="J262" s="33">
        <f t="shared" si="72"/>
        <v>51260</v>
      </c>
      <c r="K262" s="34">
        <v>1246</v>
      </c>
      <c r="L262" s="34">
        <v>760</v>
      </c>
      <c r="M262" s="133">
        <f t="shared" ref="M262:M325" si="73">J262-K262-L262-C262</f>
        <v>1061</v>
      </c>
      <c r="N262" s="81">
        <f t="shared" si="71"/>
        <v>822485</v>
      </c>
      <c r="O262" s="82">
        <f t="shared" si="71"/>
        <v>610870</v>
      </c>
      <c r="P262" s="82">
        <f t="shared" si="71"/>
        <v>1467848</v>
      </c>
      <c r="Q262" s="81">
        <f t="shared" si="70"/>
        <v>15686917.34</v>
      </c>
      <c r="R262" s="81">
        <f t="shared" si="70"/>
        <v>8748878</v>
      </c>
      <c r="S262" s="81">
        <f t="shared" si="70"/>
        <v>25051223.508</v>
      </c>
      <c r="T262" s="86">
        <f>N262/'2016'!N262-1</f>
        <v>0.170327356136042</v>
      </c>
      <c r="U262" s="86">
        <f>O262/'2016'!O262-1</f>
        <v>0.392143993363689</v>
      </c>
      <c r="V262" s="86">
        <f>P262/'2016'!P262-1</f>
        <v>0.266131696507513</v>
      </c>
      <c r="W262" s="86">
        <f>Q262/'2016'!Q262-1</f>
        <v>0.0816331788640579</v>
      </c>
      <c r="X262" s="86">
        <f>R262/'2016'!R262-1</f>
        <v>0.141810271528592</v>
      </c>
      <c r="Y262" s="86">
        <f>S262/'2016'!S262-1</f>
        <v>0.0992411935227357</v>
      </c>
      <c r="Z262" s="143">
        <v>119.56</v>
      </c>
      <c r="AA262" s="143">
        <f>Q262/10000-Z262</f>
        <v>1449.131734</v>
      </c>
      <c r="AB262" s="34">
        <v>4269.48</v>
      </c>
      <c r="AC262" s="34">
        <f>AA262*10000/AB262</f>
        <v>3394.16447436222</v>
      </c>
      <c r="AD262" s="34">
        <f t="shared" ref="AD262:AD325" si="74">S262-R262</f>
        <v>16302345.508</v>
      </c>
      <c r="AE262" s="34">
        <f t="shared" si="62"/>
        <v>283905.47</v>
      </c>
      <c r="AF262" s="34">
        <f t="shared" si="63"/>
        <v>196629.82</v>
      </c>
      <c r="AG262" s="34">
        <f t="shared" ref="AG262:AG325" si="75">AD262-Q262-AE262-AF262</f>
        <v>134892.878000001</v>
      </c>
    </row>
    <row r="263" ht="15" customHeight="1" spans="1:33">
      <c r="A263" s="106">
        <v>42993</v>
      </c>
      <c r="B263" s="21" t="s">
        <v>37</v>
      </c>
      <c r="C263" s="9">
        <v>57999</v>
      </c>
      <c r="D263" s="38">
        <f>30402+8363</f>
        <v>38765</v>
      </c>
      <c r="E263" s="38">
        <v>99730</v>
      </c>
      <c r="F263" s="13">
        <v>5037.2</v>
      </c>
      <c r="G263" s="38">
        <v>3308</v>
      </c>
      <c r="H263" s="25"/>
      <c r="I263" s="37"/>
      <c r="J263" s="9">
        <f t="shared" si="72"/>
        <v>60965</v>
      </c>
      <c r="K263" s="38">
        <v>1550</v>
      </c>
      <c r="L263" s="38">
        <v>762</v>
      </c>
      <c r="M263" s="132">
        <f t="shared" si="73"/>
        <v>654</v>
      </c>
      <c r="N263" s="78">
        <f t="shared" si="71"/>
        <v>880484</v>
      </c>
      <c r="O263" s="79">
        <f t="shared" si="71"/>
        <v>649635</v>
      </c>
      <c r="P263" s="79">
        <f t="shared" si="71"/>
        <v>1567578</v>
      </c>
      <c r="Q263" s="80">
        <f t="shared" si="70"/>
        <v>15744916.34</v>
      </c>
      <c r="R263" s="80">
        <f t="shared" si="70"/>
        <v>8787643</v>
      </c>
      <c r="S263" s="80">
        <f t="shared" si="70"/>
        <v>25150953.508</v>
      </c>
      <c r="T263" s="84">
        <f>N263/'2016'!N263-1</f>
        <v>0.182403687071614</v>
      </c>
      <c r="U263" s="84">
        <f>O263/'2016'!O263-1</f>
        <v>0.404798460340801</v>
      </c>
      <c r="V263" s="84">
        <f>P263/'2016'!P263-1</f>
        <v>0.278067576447875</v>
      </c>
      <c r="W263" s="85">
        <f>Q263/'2016'!Q263-1</f>
        <v>0.0825067993063668</v>
      </c>
      <c r="X263" s="85">
        <f>R263/'2016'!R263-1</f>
        <v>0.14334168322398</v>
      </c>
      <c r="Y263" s="85">
        <f>S263/'2016'!S263-1</f>
        <v>0.100372390138035</v>
      </c>
      <c r="Z263" s="141"/>
      <c r="AA263" s="141"/>
      <c r="AB263" s="109"/>
      <c r="AC263" s="109"/>
      <c r="AD263" s="38">
        <f t="shared" si="74"/>
        <v>16363310.508</v>
      </c>
      <c r="AE263" s="38">
        <f t="shared" ref="AE263:AE326" si="76">AE262+K263</f>
        <v>285455.47</v>
      </c>
      <c r="AF263" s="38">
        <f t="shared" ref="AF263:AF326" si="77">AF262+L263</f>
        <v>197391.82</v>
      </c>
      <c r="AG263" s="38">
        <f t="shared" si="75"/>
        <v>135546.878000001</v>
      </c>
    </row>
    <row r="264" ht="15" customHeight="1" spans="1:33">
      <c r="A264" s="106">
        <v>42994</v>
      </c>
      <c r="B264" s="21" t="s">
        <v>38</v>
      </c>
      <c r="C264" s="74">
        <v>52094</v>
      </c>
      <c r="D264" s="75">
        <f>34821+8272</f>
        <v>43093</v>
      </c>
      <c r="E264" s="75">
        <v>97992</v>
      </c>
      <c r="F264" s="125">
        <v>4827.3</v>
      </c>
      <c r="G264" s="75">
        <v>3294.1</v>
      </c>
      <c r="H264" s="25"/>
      <c r="I264" s="25"/>
      <c r="J264" s="74">
        <f t="shared" si="72"/>
        <v>54899</v>
      </c>
      <c r="K264" s="75">
        <v>987</v>
      </c>
      <c r="L264" s="75">
        <v>760</v>
      </c>
      <c r="M264" s="134">
        <f t="shared" si="73"/>
        <v>1058</v>
      </c>
      <c r="N264" s="78">
        <f t="shared" si="71"/>
        <v>932578</v>
      </c>
      <c r="O264" s="79">
        <f t="shared" si="71"/>
        <v>692728</v>
      </c>
      <c r="P264" s="79">
        <f t="shared" si="71"/>
        <v>1665570</v>
      </c>
      <c r="Q264" s="80">
        <f t="shared" si="70"/>
        <v>15797010.34</v>
      </c>
      <c r="R264" s="80">
        <f t="shared" si="70"/>
        <v>8830736</v>
      </c>
      <c r="S264" s="80">
        <f t="shared" si="70"/>
        <v>25248945.508</v>
      </c>
      <c r="T264" s="84">
        <f>N264/'2016'!N264-1</f>
        <v>0.173811528697134</v>
      </c>
      <c r="U264" s="84">
        <f>O264/'2016'!O264-1</f>
        <v>0.42067743496772</v>
      </c>
      <c r="V264" s="84">
        <f>P264/'2016'!P264-1</f>
        <v>0.277488236173909</v>
      </c>
      <c r="W264" s="85">
        <f>Q264/'2016'!Q264-1</f>
        <v>0.0823801508177937</v>
      </c>
      <c r="X264" s="85">
        <f>R264/'2016'!R264-1</f>
        <v>0.145199000971717</v>
      </c>
      <c r="Y264" s="85">
        <f>S264/'2016'!S264-1</f>
        <v>0.100938096599561</v>
      </c>
      <c r="Z264" s="144"/>
      <c r="AA264" s="144"/>
      <c r="AB264" s="109"/>
      <c r="AC264" s="109"/>
      <c r="AD264" s="38">
        <f t="shared" si="74"/>
        <v>16418209.508</v>
      </c>
      <c r="AE264" s="75">
        <f t="shared" si="76"/>
        <v>286442.47</v>
      </c>
      <c r="AF264" s="75">
        <f t="shared" si="77"/>
        <v>198151.82</v>
      </c>
      <c r="AG264" s="75">
        <f t="shared" si="75"/>
        <v>136604.878000001</v>
      </c>
    </row>
    <row r="265" ht="15" customHeight="1" spans="1:33">
      <c r="A265" s="106">
        <v>42995</v>
      </c>
      <c r="B265" s="21" t="s">
        <v>1</v>
      </c>
      <c r="C265" s="9">
        <v>50660</v>
      </c>
      <c r="D265" s="38">
        <f>33804+8313</f>
        <v>42117</v>
      </c>
      <c r="E265" s="38">
        <v>95042</v>
      </c>
      <c r="F265" s="13">
        <v>4560.9</v>
      </c>
      <c r="G265" s="38">
        <v>3288.9</v>
      </c>
      <c r="H265" s="25"/>
      <c r="I265" s="37"/>
      <c r="J265" s="9">
        <f t="shared" si="72"/>
        <v>52925</v>
      </c>
      <c r="K265" s="38">
        <v>492</v>
      </c>
      <c r="L265" s="38">
        <v>766</v>
      </c>
      <c r="M265" s="132">
        <f t="shared" si="73"/>
        <v>1007</v>
      </c>
      <c r="N265" s="78">
        <f t="shared" si="71"/>
        <v>983238</v>
      </c>
      <c r="O265" s="79">
        <f t="shared" si="71"/>
        <v>734845</v>
      </c>
      <c r="P265" s="79">
        <f t="shared" si="71"/>
        <v>1760612</v>
      </c>
      <c r="Q265" s="80">
        <f t="shared" ref="Q265:S278" si="78">Q$248+N265</f>
        <v>15847670.34</v>
      </c>
      <c r="R265" s="80">
        <f t="shared" si="78"/>
        <v>8872853</v>
      </c>
      <c r="S265" s="80">
        <f t="shared" si="78"/>
        <v>25343987.508</v>
      </c>
      <c r="T265" s="84">
        <f>N265/'2016'!N265-1</f>
        <v>0.159132947363581</v>
      </c>
      <c r="U265" s="84">
        <f>O265/'2016'!O265-1</f>
        <v>0.42362436286637</v>
      </c>
      <c r="V265" s="84">
        <f>P265/'2016'!P265-1</f>
        <v>0.268280665154864</v>
      </c>
      <c r="W265" s="85">
        <f>Q265/'2016'!Q265-1</f>
        <v>0.0818657452321108</v>
      </c>
      <c r="X265" s="85">
        <f>R265/'2016'!R265-1</f>
        <v>0.146412610980213</v>
      </c>
      <c r="Y265" s="85">
        <f>S265/'2016'!S265-1</f>
        <v>0.101030175933787</v>
      </c>
      <c r="Z265" s="141"/>
      <c r="AA265" s="141"/>
      <c r="AB265" s="109"/>
      <c r="AC265" s="109"/>
      <c r="AD265" s="38">
        <f t="shared" si="74"/>
        <v>16471134.508</v>
      </c>
      <c r="AE265" s="38">
        <f t="shared" si="76"/>
        <v>286934.47</v>
      </c>
      <c r="AF265" s="38">
        <f t="shared" si="77"/>
        <v>198917.82</v>
      </c>
      <c r="AG265" s="38">
        <f t="shared" si="75"/>
        <v>137611.878000001</v>
      </c>
    </row>
    <row r="266" ht="15" customHeight="1" spans="1:33">
      <c r="A266" s="106">
        <v>42996</v>
      </c>
      <c r="B266" s="21" t="s">
        <v>39</v>
      </c>
      <c r="C266" s="9">
        <v>61286</v>
      </c>
      <c r="D266" s="38">
        <f>31637+8492</f>
        <v>40129</v>
      </c>
      <c r="E266" s="38">
        <v>103316</v>
      </c>
      <c r="F266" s="13">
        <v>5171.5</v>
      </c>
      <c r="G266" s="38">
        <v>3280.7</v>
      </c>
      <c r="H266" s="25"/>
      <c r="I266" s="37"/>
      <c r="J266" s="9">
        <f t="shared" si="72"/>
        <v>63187</v>
      </c>
      <c r="K266" s="38">
        <v>282</v>
      </c>
      <c r="L266" s="38">
        <v>763</v>
      </c>
      <c r="M266" s="132">
        <f t="shared" si="73"/>
        <v>856</v>
      </c>
      <c r="N266" s="78">
        <f t="shared" ref="N266:P278" si="79">C266+N265</f>
        <v>1044524</v>
      </c>
      <c r="O266" s="79">
        <f t="shared" si="79"/>
        <v>774974</v>
      </c>
      <c r="P266" s="79">
        <f t="shared" si="79"/>
        <v>1863928</v>
      </c>
      <c r="Q266" s="80">
        <f t="shared" si="78"/>
        <v>15908956.34</v>
      </c>
      <c r="R266" s="80">
        <f t="shared" si="78"/>
        <v>8912982</v>
      </c>
      <c r="S266" s="80">
        <f t="shared" si="78"/>
        <v>25447303.508</v>
      </c>
      <c r="T266" s="84">
        <f>N266/'2016'!N266-1</f>
        <v>0.162339938507009</v>
      </c>
      <c r="U266" s="84">
        <f>O266/'2016'!O266-1</f>
        <v>0.414284202189203</v>
      </c>
      <c r="V266" s="84">
        <f>P266/'2016'!P266-1</f>
        <v>0.265755839576906</v>
      </c>
      <c r="W266" s="85">
        <f>Q266/'2016'!Q266-1</f>
        <v>0.0823266733334018</v>
      </c>
      <c r="X266" s="85">
        <f>R266/'2016'!R266-1</f>
        <v>0.146887756224674</v>
      </c>
      <c r="Y266" s="85">
        <f>S266/'2016'!S266-1</f>
        <v>0.101480197117752</v>
      </c>
      <c r="Z266" s="141"/>
      <c r="AA266" s="141"/>
      <c r="AB266" s="109"/>
      <c r="AC266" s="109"/>
      <c r="AD266" s="38">
        <f t="shared" si="74"/>
        <v>16534321.508</v>
      </c>
      <c r="AE266" s="38">
        <f t="shared" si="76"/>
        <v>287216.47</v>
      </c>
      <c r="AF266" s="38">
        <f t="shared" si="77"/>
        <v>199680.82</v>
      </c>
      <c r="AG266" s="38">
        <f t="shared" si="75"/>
        <v>138467.878000001</v>
      </c>
    </row>
    <row r="267" ht="15" customHeight="1" spans="1:33">
      <c r="A267" s="106">
        <v>42997</v>
      </c>
      <c r="B267" s="21" t="s">
        <v>34</v>
      </c>
      <c r="C267" s="9">
        <v>64682</v>
      </c>
      <c r="D267" s="38">
        <f>32403+8601</f>
        <v>41004</v>
      </c>
      <c r="E267" s="38">
        <v>107808</v>
      </c>
      <c r="F267" s="13">
        <v>5372.5</v>
      </c>
      <c r="G267" s="38">
        <v>3480.3</v>
      </c>
      <c r="H267" s="25"/>
      <c r="I267" s="37"/>
      <c r="J267" s="9">
        <f t="shared" si="72"/>
        <v>66804</v>
      </c>
      <c r="K267" s="38">
        <v>727</v>
      </c>
      <c r="L267" s="38">
        <v>764</v>
      </c>
      <c r="M267" s="132">
        <f t="shared" si="73"/>
        <v>631</v>
      </c>
      <c r="N267" s="78">
        <f t="shared" si="79"/>
        <v>1109206</v>
      </c>
      <c r="O267" s="79">
        <f t="shared" si="79"/>
        <v>815978</v>
      </c>
      <c r="P267" s="79">
        <f t="shared" si="79"/>
        <v>1971736</v>
      </c>
      <c r="Q267" s="80">
        <f t="shared" si="78"/>
        <v>15973638.34</v>
      </c>
      <c r="R267" s="80">
        <f t="shared" si="78"/>
        <v>8953986</v>
      </c>
      <c r="S267" s="80">
        <f t="shared" si="78"/>
        <v>25555111.508</v>
      </c>
      <c r="T267" s="84">
        <f>N267/'2016'!N267-1</f>
        <v>0.168707222091102</v>
      </c>
      <c r="U267" s="84">
        <f>O267/'2016'!O267-1</f>
        <v>0.400777315035759</v>
      </c>
      <c r="V267" s="84">
        <f>P267/'2016'!P267-1</f>
        <v>0.264395323932463</v>
      </c>
      <c r="W267" s="85">
        <f>Q267/'2016'!Q267-1</f>
        <v>0.0830100754625744</v>
      </c>
      <c r="X267" s="85">
        <f>R267/'2016'!R267-1</f>
        <v>0.147063537093933</v>
      </c>
      <c r="Y267" s="85">
        <f>S267/'2016'!S267-1</f>
        <v>0.102003945175021</v>
      </c>
      <c r="Z267" s="141"/>
      <c r="AA267" s="141"/>
      <c r="AB267" s="109"/>
      <c r="AC267" s="109"/>
      <c r="AD267" s="38">
        <f t="shared" si="74"/>
        <v>16601125.508</v>
      </c>
      <c r="AE267" s="38">
        <f t="shared" si="76"/>
        <v>287943.47</v>
      </c>
      <c r="AF267" s="38">
        <f t="shared" si="77"/>
        <v>200444.82</v>
      </c>
      <c r="AG267" s="38">
        <f t="shared" si="75"/>
        <v>139098.878000001</v>
      </c>
    </row>
    <row r="268" ht="15" customHeight="1" spans="1:33">
      <c r="A268" s="106">
        <v>42998</v>
      </c>
      <c r="B268" s="21" t="s">
        <v>35</v>
      </c>
      <c r="C268" s="9">
        <v>63596</v>
      </c>
      <c r="D268" s="38">
        <f>32638+8628</f>
        <v>41266</v>
      </c>
      <c r="E268" s="38">
        <v>106519</v>
      </c>
      <c r="F268" s="13">
        <v>5432.9</v>
      </c>
      <c r="G268" s="38">
        <v>3577.5</v>
      </c>
      <c r="H268" s="25"/>
      <c r="I268" s="37"/>
      <c r="J268" s="9">
        <f t="shared" si="72"/>
        <v>65253</v>
      </c>
      <c r="K268" s="38">
        <v>579</v>
      </c>
      <c r="L268" s="38">
        <v>765</v>
      </c>
      <c r="M268" s="132">
        <f t="shared" si="73"/>
        <v>313</v>
      </c>
      <c r="N268" s="78">
        <f t="shared" si="79"/>
        <v>1172802</v>
      </c>
      <c r="O268" s="79">
        <f t="shared" si="79"/>
        <v>857244</v>
      </c>
      <c r="P268" s="79">
        <f t="shared" si="79"/>
        <v>2078255</v>
      </c>
      <c r="Q268" s="80">
        <f t="shared" si="78"/>
        <v>16037234.34</v>
      </c>
      <c r="R268" s="80">
        <f t="shared" si="78"/>
        <v>8995252</v>
      </c>
      <c r="S268" s="80">
        <f t="shared" si="78"/>
        <v>25661630.508</v>
      </c>
      <c r="T268" s="84">
        <f>N268/'2016'!N268-1</f>
        <v>0.173746866227313</v>
      </c>
      <c r="U268" s="84">
        <f>O268/'2016'!O268-1</f>
        <v>0.38656530529721</v>
      </c>
      <c r="V268" s="84">
        <f>P268/'2016'!P268-1</f>
        <v>0.261718640910852</v>
      </c>
      <c r="W268" s="85">
        <f>Q268/'2016'!Q268-1</f>
        <v>0.0836404801409245</v>
      </c>
      <c r="X268" s="85">
        <f>R268/'2016'!R268-1</f>
        <v>0.147099131965499</v>
      </c>
      <c r="Y268" s="85">
        <f>S268/'2016'!S268-1</f>
        <v>0.10242658634736</v>
      </c>
      <c r="Z268" s="141">
        <f>(Z269-Z262)/7*6+Z262</f>
        <v>120.811428571429</v>
      </c>
      <c r="AA268" s="141">
        <f>Q268/10000-Z268</f>
        <v>1482.91200542857</v>
      </c>
      <c r="AB268" s="109"/>
      <c r="AC268" s="109"/>
      <c r="AD268" s="38">
        <f t="shared" si="74"/>
        <v>16666378.508</v>
      </c>
      <c r="AE268" s="38">
        <f t="shared" si="76"/>
        <v>288522.47</v>
      </c>
      <c r="AF268" s="38">
        <f t="shared" si="77"/>
        <v>201209.82</v>
      </c>
      <c r="AG268" s="38">
        <f t="shared" si="75"/>
        <v>139411.878000001</v>
      </c>
    </row>
    <row r="269" ht="15" customHeight="1" spans="1:33">
      <c r="A269" s="106">
        <v>42999</v>
      </c>
      <c r="B269" s="15" t="s">
        <v>36</v>
      </c>
      <c r="C269" s="33">
        <v>62527</v>
      </c>
      <c r="D269" s="34">
        <f>32049+8619</f>
        <v>40668</v>
      </c>
      <c r="E269" s="34">
        <v>104698</v>
      </c>
      <c r="F269" s="124">
        <v>5304</v>
      </c>
      <c r="G269" s="34">
        <v>3462</v>
      </c>
      <c r="H269" s="20"/>
      <c r="I269" s="20"/>
      <c r="J269" s="33">
        <f t="shared" si="72"/>
        <v>64030</v>
      </c>
      <c r="K269" s="34">
        <v>492</v>
      </c>
      <c r="L269" s="34">
        <v>776</v>
      </c>
      <c r="M269" s="133">
        <f t="shared" si="73"/>
        <v>235</v>
      </c>
      <c r="N269" s="81">
        <f t="shared" si="79"/>
        <v>1235329</v>
      </c>
      <c r="O269" s="82">
        <f t="shared" si="79"/>
        <v>897912</v>
      </c>
      <c r="P269" s="82">
        <f t="shared" si="79"/>
        <v>2182953</v>
      </c>
      <c r="Q269" s="81">
        <f t="shared" si="78"/>
        <v>16099761.34</v>
      </c>
      <c r="R269" s="81">
        <f t="shared" si="78"/>
        <v>9035920</v>
      </c>
      <c r="S269" s="81">
        <f t="shared" si="78"/>
        <v>25766328.508</v>
      </c>
      <c r="T269" s="86">
        <f>N269/'2016'!N269-1</f>
        <v>0.173391528184767</v>
      </c>
      <c r="U269" s="86">
        <f>O269/'2016'!O269-1</f>
        <v>0.373500168262612</v>
      </c>
      <c r="V269" s="86">
        <f>P269/'2016'!P269-1</f>
        <v>0.256140142914193</v>
      </c>
      <c r="W269" s="86">
        <f>Q269/'2016'!Q269-1</f>
        <v>0.0839403998991448</v>
      </c>
      <c r="X269" s="86">
        <f>R269/'2016'!R269-1</f>
        <v>0.147093730549156</v>
      </c>
      <c r="Y269" s="86">
        <f>S269/'2016'!S269-1</f>
        <v>0.102629752296002</v>
      </c>
      <c r="Z269" s="143">
        <v>121.02</v>
      </c>
      <c r="AA269" s="143">
        <f>Q269/10000-Z269</f>
        <v>1488.956134</v>
      </c>
      <c r="AB269" s="34">
        <v>4269.48</v>
      </c>
      <c r="AC269" s="34">
        <f>AA269*10000/AB269</f>
        <v>3487.44140738451</v>
      </c>
      <c r="AD269" s="34">
        <f t="shared" si="74"/>
        <v>16730408.508</v>
      </c>
      <c r="AE269" s="34">
        <f t="shared" si="76"/>
        <v>289014.47</v>
      </c>
      <c r="AF269" s="34">
        <f t="shared" si="77"/>
        <v>201985.82</v>
      </c>
      <c r="AG269" s="34">
        <f t="shared" si="75"/>
        <v>139646.878000001</v>
      </c>
    </row>
    <row r="270" ht="15" customHeight="1" spans="1:33">
      <c r="A270" s="106">
        <v>43000</v>
      </c>
      <c r="B270" s="21" t="s">
        <v>37</v>
      </c>
      <c r="C270" s="9">
        <v>63784</v>
      </c>
      <c r="D270" s="38">
        <f>32142+8627</f>
        <v>40769</v>
      </c>
      <c r="E270" s="38">
        <v>105988</v>
      </c>
      <c r="F270" s="13">
        <v>5349.5</v>
      </c>
      <c r="G270" s="38">
        <v>3464.4</v>
      </c>
      <c r="H270" s="25"/>
      <c r="I270" s="37"/>
      <c r="J270" s="9">
        <f t="shared" si="72"/>
        <v>65219</v>
      </c>
      <c r="K270" s="38">
        <v>349</v>
      </c>
      <c r="L270" s="38">
        <v>756</v>
      </c>
      <c r="M270" s="132">
        <f t="shared" si="73"/>
        <v>330</v>
      </c>
      <c r="N270" s="78">
        <f t="shared" si="79"/>
        <v>1299113</v>
      </c>
      <c r="O270" s="79">
        <f t="shared" si="79"/>
        <v>938681</v>
      </c>
      <c r="P270" s="79">
        <f t="shared" si="79"/>
        <v>2288941</v>
      </c>
      <c r="Q270" s="80">
        <f t="shared" si="78"/>
        <v>16163545.34</v>
      </c>
      <c r="R270" s="80">
        <f t="shared" si="78"/>
        <v>9076689</v>
      </c>
      <c r="S270" s="80">
        <f t="shared" si="78"/>
        <v>25872316.508</v>
      </c>
      <c r="T270" s="84">
        <f>N270/'2016'!N270-1</f>
        <v>0.173153820590806</v>
      </c>
      <c r="U270" s="84">
        <f>O270/'2016'!O270-1</f>
        <v>0.361857921118873</v>
      </c>
      <c r="V270" s="84">
        <f>P270/'2016'!P270-1</f>
        <v>0.250772395085961</v>
      </c>
      <c r="W270" s="85">
        <f>Q270/'2016'!Q270-1</f>
        <v>0.0842502611758933</v>
      </c>
      <c r="X270" s="85">
        <f>R270/'2016'!R270-1</f>
        <v>0.147096067942969</v>
      </c>
      <c r="Y270" s="85">
        <f>S270/'2016'!S270-1</f>
        <v>0.102814317444544</v>
      </c>
      <c r="Z270" s="141"/>
      <c r="AA270" s="141"/>
      <c r="AB270" s="109"/>
      <c r="AC270" s="109"/>
      <c r="AD270" s="38">
        <f t="shared" si="74"/>
        <v>16795627.508</v>
      </c>
      <c r="AE270" s="38">
        <f t="shared" si="76"/>
        <v>289363.47</v>
      </c>
      <c r="AF270" s="38">
        <f t="shared" si="77"/>
        <v>202741.82</v>
      </c>
      <c r="AG270" s="38">
        <f t="shared" si="75"/>
        <v>139976.878000001</v>
      </c>
    </row>
    <row r="271" ht="15" customHeight="1" spans="1:33">
      <c r="A271" s="106">
        <v>43001</v>
      </c>
      <c r="B271" s="21" t="s">
        <v>38</v>
      </c>
      <c r="C271" s="74">
        <v>59428</v>
      </c>
      <c r="D271" s="75">
        <f>33649+8715</f>
        <v>42364</v>
      </c>
      <c r="E271" s="75">
        <v>103549</v>
      </c>
      <c r="F271" s="125">
        <v>5262.5</v>
      </c>
      <c r="G271" s="75">
        <v>3499.5</v>
      </c>
      <c r="H271" s="25"/>
      <c r="I271" s="25"/>
      <c r="J271" s="74">
        <f t="shared" si="72"/>
        <v>61185</v>
      </c>
      <c r="K271" s="75">
        <v>610</v>
      </c>
      <c r="L271" s="75">
        <v>773</v>
      </c>
      <c r="M271" s="134">
        <f t="shared" si="73"/>
        <v>374</v>
      </c>
      <c r="N271" s="78">
        <f t="shared" si="79"/>
        <v>1358541</v>
      </c>
      <c r="O271" s="79">
        <f t="shared" si="79"/>
        <v>981045</v>
      </c>
      <c r="P271" s="79">
        <f t="shared" si="79"/>
        <v>2392490</v>
      </c>
      <c r="Q271" s="80">
        <f t="shared" si="78"/>
        <v>16222973.34</v>
      </c>
      <c r="R271" s="80">
        <f t="shared" si="78"/>
        <v>9119053</v>
      </c>
      <c r="S271" s="80">
        <f t="shared" si="78"/>
        <v>25975865.508</v>
      </c>
      <c r="T271" s="84">
        <f>N271/'2016'!N271-1</f>
        <v>0.167110387183736</v>
      </c>
      <c r="U271" s="84">
        <f>O271/'2016'!O271-1</f>
        <v>0.354845525693239</v>
      </c>
      <c r="V271" s="84">
        <f>P271/'2016'!P271-1</f>
        <v>0.243650468560593</v>
      </c>
      <c r="W271" s="85">
        <f>Q271/'2016'!Q271-1</f>
        <v>0.084116740780064</v>
      </c>
      <c r="X271" s="85">
        <f>R271/'2016'!R271-1</f>
        <v>0.14739851955121</v>
      </c>
      <c r="Y271" s="85">
        <f>S271/'2016'!S271-1</f>
        <v>0.102821491606107</v>
      </c>
      <c r="Z271" s="144"/>
      <c r="AA271" s="144"/>
      <c r="AB271" s="109"/>
      <c r="AC271" s="109"/>
      <c r="AD271" s="38">
        <f t="shared" si="74"/>
        <v>16856812.508</v>
      </c>
      <c r="AE271" s="75">
        <f t="shared" si="76"/>
        <v>289973.47</v>
      </c>
      <c r="AF271" s="75">
        <f t="shared" si="77"/>
        <v>203514.82</v>
      </c>
      <c r="AG271" s="75">
        <f t="shared" si="75"/>
        <v>140350.878000001</v>
      </c>
    </row>
    <row r="272" ht="15" customHeight="1" spans="1:33">
      <c r="A272" s="106">
        <v>43002</v>
      </c>
      <c r="B272" s="21" t="s">
        <v>1</v>
      </c>
      <c r="C272" s="9">
        <v>57816</v>
      </c>
      <c r="D272" s="38">
        <f>32993+8724</f>
        <v>41717</v>
      </c>
      <c r="E272" s="38">
        <v>101630</v>
      </c>
      <c r="F272" s="13">
        <v>4985.2</v>
      </c>
      <c r="G272" s="38">
        <v>3412</v>
      </c>
      <c r="H272" s="25"/>
      <c r="I272" s="37"/>
      <c r="J272" s="9">
        <f t="shared" si="72"/>
        <v>59913</v>
      </c>
      <c r="K272" s="38">
        <v>878</v>
      </c>
      <c r="L272" s="38">
        <v>771</v>
      </c>
      <c r="M272" s="132">
        <f t="shared" si="73"/>
        <v>448</v>
      </c>
      <c r="N272" s="78">
        <f t="shared" si="79"/>
        <v>1416357</v>
      </c>
      <c r="O272" s="79">
        <f t="shared" si="79"/>
        <v>1022762</v>
      </c>
      <c r="P272" s="79">
        <f t="shared" si="79"/>
        <v>2494120</v>
      </c>
      <c r="Q272" s="80">
        <f t="shared" si="78"/>
        <v>16280789.34</v>
      </c>
      <c r="R272" s="80">
        <f t="shared" si="78"/>
        <v>9160770</v>
      </c>
      <c r="S272" s="80">
        <f t="shared" si="78"/>
        <v>26077495.508</v>
      </c>
      <c r="T272" s="84">
        <f>N272/'2016'!N272-1</f>
        <v>0.15940122525024</v>
      </c>
      <c r="U272" s="84">
        <f>O272/'2016'!O272-1</f>
        <v>0.349418414414034</v>
      </c>
      <c r="V272" s="84">
        <f>P272/'2016'!P272-1</f>
        <v>0.236324990110867</v>
      </c>
      <c r="W272" s="85">
        <f>Q272/'2016'!Q272-1</f>
        <v>0.0838080759491615</v>
      </c>
      <c r="X272" s="85">
        <f>R272/'2016'!R272-1</f>
        <v>0.147762358488474</v>
      </c>
      <c r="Y272" s="85">
        <f>S272/'2016'!S272-1</f>
        <v>0.10275398806973</v>
      </c>
      <c r="Z272" s="141"/>
      <c r="AA272" s="141"/>
      <c r="AB272" s="109"/>
      <c r="AC272" s="109"/>
      <c r="AD272" s="38">
        <f t="shared" si="74"/>
        <v>16916725.508</v>
      </c>
      <c r="AE272" s="38">
        <f t="shared" si="76"/>
        <v>290851.47</v>
      </c>
      <c r="AF272" s="38">
        <f t="shared" si="77"/>
        <v>204285.82</v>
      </c>
      <c r="AG272" s="38">
        <f t="shared" si="75"/>
        <v>140798.878000001</v>
      </c>
    </row>
    <row r="273" ht="15" customHeight="1" spans="1:33">
      <c r="A273" s="106">
        <v>43003</v>
      </c>
      <c r="B273" s="21" t="s">
        <v>39</v>
      </c>
      <c r="C273" s="9">
        <v>64122</v>
      </c>
      <c r="D273" s="38">
        <f>35966+8430</f>
        <v>44396</v>
      </c>
      <c r="E273" s="38">
        <v>111262</v>
      </c>
      <c r="F273" s="13">
        <v>5600.9</v>
      </c>
      <c r="G273" s="38">
        <v>3432.7</v>
      </c>
      <c r="H273" s="25"/>
      <c r="I273" s="37"/>
      <c r="J273" s="9">
        <f t="shared" si="72"/>
        <v>66866</v>
      </c>
      <c r="K273" s="38">
        <v>1566</v>
      </c>
      <c r="L273" s="38">
        <v>774</v>
      </c>
      <c r="M273" s="132">
        <f t="shared" si="73"/>
        <v>404</v>
      </c>
      <c r="N273" s="78">
        <f t="shared" si="79"/>
        <v>1480479</v>
      </c>
      <c r="O273" s="79">
        <f t="shared" si="79"/>
        <v>1067158</v>
      </c>
      <c r="P273" s="79">
        <f t="shared" si="79"/>
        <v>2605382</v>
      </c>
      <c r="Q273" s="80">
        <f t="shared" si="78"/>
        <v>16344911.34</v>
      </c>
      <c r="R273" s="80">
        <f t="shared" si="78"/>
        <v>9205166</v>
      </c>
      <c r="S273" s="80">
        <f t="shared" si="78"/>
        <v>26188757.508</v>
      </c>
      <c r="T273" s="84">
        <f>N273/'2016'!N273-1</f>
        <v>0.160390956581717</v>
      </c>
      <c r="U273" s="84">
        <f>O273/'2016'!O273-1</f>
        <v>0.347675257087508</v>
      </c>
      <c r="V273" s="84">
        <f>P273/'2016'!P273-1</f>
        <v>0.235993690477602</v>
      </c>
      <c r="W273" s="85">
        <f>Q273/'2016'!Q273-1</f>
        <v>0.0841636847305214</v>
      </c>
      <c r="X273" s="85">
        <f>R273/'2016'!R273-1</f>
        <v>0.148443609379016</v>
      </c>
      <c r="Y273" s="85">
        <f>S273/'2016'!S273-1</f>
        <v>0.103234130489783</v>
      </c>
      <c r="Z273" s="141"/>
      <c r="AA273" s="141"/>
      <c r="AB273" s="109"/>
      <c r="AC273" s="109"/>
      <c r="AD273" s="38">
        <f t="shared" si="74"/>
        <v>16983591.508</v>
      </c>
      <c r="AE273" s="38">
        <f t="shared" si="76"/>
        <v>292417.47</v>
      </c>
      <c r="AF273" s="38">
        <f t="shared" si="77"/>
        <v>205059.82</v>
      </c>
      <c r="AG273" s="38">
        <f t="shared" si="75"/>
        <v>141202.878000001</v>
      </c>
    </row>
    <row r="274" ht="15" customHeight="1" spans="1:33">
      <c r="A274" s="106">
        <v>43004</v>
      </c>
      <c r="B274" s="21" t="s">
        <v>34</v>
      </c>
      <c r="C274" s="9">
        <v>71330</v>
      </c>
      <c r="D274" s="38">
        <f>36107+8507</f>
        <v>44614</v>
      </c>
      <c r="E274" s="38">
        <v>118859</v>
      </c>
      <c r="F274" s="13">
        <v>5949.3</v>
      </c>
      <c r="G274" s="38">
        <v>3707.2</v>
      </c>
      <c r="H274" s="25"/>
      <c r="I274" s="37"/>
      <c r="J274" s="9">
        <f t="shared" si="72"/>
        <v>74245</v>
      </c>
      <c r="K274" s="38">
        <v>1493</v>
      </c>
      <c r="L274" s="38">
        <v>468</v>
      </c>
      <c r="M274" s="132">
        <f t="shared" si="73"/>
        <v>954</v>
      </c>
      <c r="N274" s="78">
        <f t="shared" si="79"/>
        <v>1551809</v>
      </c>
      <c r="O274" s="79">
        <f t="shared" si="79"/>
        <v>1111772</v>
      </c>
      <c r="P274" s="79">
        <f t="shared" si="79"/>
        <v>2724241</v>
      </c>
      <c r="Q274" s="80">
        <f t="shared" si="78"/>
        <v>16416241.34</v>
      </c>
      <c r="R274" s="80">
        <f t="shared" si="78"/>
        <v>9249780</v>
      </c>
      <c r="S274" s="80">
        <f t="shared" si="78"/>
        <v>26307616.508</v>
      </c>
      <c r="T274" s="84">
        <f>N274/'2016'!N274-1</f>
        <v>0.162944710610704</v>
      </c>
      <c r="U274" s="84">
        <f>O274/'2016'!O274-1</f>
        <v>0.344432822013556</v>
      </c>
      <c r="V274" s="84">
        <f>P274/'2016'!P274-1</f>
        <v>0.235958772353268</v>
      </c>
      <c r="W274" s="85">
        <f>Q274/'2016'!Q274-1</f>
        <v>0.0846836567547358</v>
      </c>
      <c r="X274" s="85">
        <f>R274/'2016'!R274-1</f>
        <v>0.148979048831405</v>
      </c>
      <c r="Y274" s="85">
        <f>S274/'2016'!S274-1</f>
        <v>0.103766893714703</v>
      </c>
      <c r="Z274" s="141"/>
      <c r="AA274" s="141"/>
      <c r="AB274" s="109"/>
      <c r="AC274" s="109"/>
      <c r="AD274" s="38">
        <f t="shared" si="74"/>
        <v>17057836.508</v>
      </c>
      <c r="AE274" s="38">
        <f t="shared" si="76"/>
        <v>293910.47</v>
      </c>
      <c r="AF274" s="38">
        <f t="shared" si="77"/>
        <v>205527.82</v>
      </c>
      <c r="AG274" s="38">
        <f t="shared" si="75"/>
        <v>142156.878000001</v>
      </c>
    </row>
    <row r="275" ht="15" customHeight="1" spans="1:33">
      <c r="A275" s="106">
        <v>43005</v>
      </c>
      <c r="B275" s="21" t="s">
        <v>35</v>
      </c>
      <c r="C275" s="9">
        <v>69732</v>
      </c>
      <c r="D275" s="38">
        <f>35827+8542</f>
        <v>44369</v>
      </c>
      <c r="E275" s="38">
        <v>116425</v>
      </c>
      <c r="F275" s="13">
        <v>5878.6</v>
      </c>
      <c r="G275" s="38">
        <v>3910.6</v>
      </c>
      <c r="H275" s="25"/>
      <c r="I275" s="37"/>
      <c r="J275" s="9">
        <f t="shared" si="72"/>
        <v>72056</v>
      </c>
      <c r="K275" s="38">
        <v>1059</v>
      </c>
      <c r="L275" s="38">
        <v>770</v>
      </c>
      <c r="M275" s="132">
        <f t="shared" si="73"/>
        <v>495</v>
      </c>
      <c r="N275" s="78">
        <f t="shared" si="79"/>
        <v>1621541</v>
      </c>
      <c r="O275" s="79">
        <f t="shared" si="79"/>
        <v>1156141</v>
      </c>
      <c r="P275" s="79">
        <f t="shared" si="79"/>
        <v>2840666</v>
      </c>
      <c r="Q275" s="80">
        <f t="shared" si="78"/>
        <v>16485973.34</v>
      </c>
      <c r="R275" s="80">
        <f t="shared" si="78"/>
        <v>9294149</v>
      </c>
      <c r="S275" s="80">
        <f t="shared" si="78"/>
        <v>26424041.508</v>
      </c>
      <c r="T275" s="84">
        <f>N275/'2016'!N275-1</f>
        <v>0.163835802459389</v>
      </c>
      <c r="U275" s="84">
        <f>O275/'2016'!O275-1</f>
        <v>0.338504160897291</v>
      </c>
      <c r="V275" s="84">
        <f>P275/'2016'!P275-1</f>
        <v>0.233549009049695</v>
      </c>
      <c r="W275" s="85">
        <f>Q275/'2016'!Q275-1</f>
        <v>0.0850687324295554</v>
      </c>
      <c r="X275" s="85">
        <f>R275/'2016'!R275-1</f>
        <v>0.149235493669352</v>
      </c>
      <c r="Y275" s="85">
        <f>S275/'2016'!S275-1</f>
        <v>0.10408011924802</v>
      </c>
      <c r="Z275" s="141">
        <f>(Z276-Z269)/7*6+Z269</f>
        <v>122.331428571429</v>
      </c>
      <c r="AA275" s="141">
        <f>Q275/10000-Z275</f>
        <v>1526.26590542857</v>
      </c>
      <c r="AB275" s="109"/>
      <c r="AC275" s="109"/>
      <c r="AD275" s="38">
        <f t="shared" si="74"/>
        <v>17129892.508</v>
      </c>
      <c r="AE275" s="38">
        <f t="shared" si="76"/>
        <v>294969.47</v>
      </c>
      <c r="AF275" s="38">
        <f t="shared" si="77"/>
        <v>206297.82</v>
      </c>
      <c r="AG275" s="38">
        <f t="shared" si="75"/>
        <v>142651.878000001</v>
      </c>
    </row>
    <row r="276" ht="15" customHeight="1" spans="1:33">
      <c r="A276" s="106">
        <v>43006</v>
      </c>
      <c r="B276" s="15" t="s">
        <v>36</v>
      </c>
      <c r="C276" s="33">
        <v>62404</v>
      </c>
      <c r="D276" s="34">
        <v>41262</v>
      </c>
      <c r="E276" s="34">
        <v>104902</v>
      </c>
      <c r="F276" s="124">
        <v>5287</v>
      </c>
      <c r="G276" s="34">
        <v>3638</v>
      </c>
      <c r="H276" s="20"/>
      <c r="I276" s="20"/>
      <c r="J276" s="33">
        <f t="shared" si="72"/>
        <v>63640</v>
      </c>
      <c r="K276" s="34">
        <v>285</v>
      </c>
      <c r="L276" s="34">
        <v>772</v>
      </c>
      <c r="M276" s="133">
        <f t="shared" si="73"/>
        <v>179</v>
      </c>
      <c r="N276" s="81">
        <f t="shared" si="79"/>
        <v>1683945</v>
      </c>
      <c r="O276" s="82">
        <f t="shared" si="79"/>
        <v>1197403</v>
      </c>
      <c r="P276" s="82">
        <f t="shared" si="79"/>
        <v>2945568</v>
      </c>
      <c r="Q276" s="81">
        <f t="shared" si="78"/>
        <v>16548377.34</v>
      </c>
      <c r="R276" s="81">
        <f t="shared" si="78"/>
        <v>9335411</v>
      </c>
      <c r="S276" s="81">
        <f t="shared" si="78"/>
        <v>26528943.508</v>
      </c>
      <c r="T276" s="86">
        <f>N276/'2016'!N276-1</f>
        <v>0.162170126835274</v>
      </c>
      <c r="U276" s="86">
        <f>O276/'2016'!O276-1</f>
        <v>0.328788268873096</v>
      </c>
      <c r="V276" s="86">
        <f>P276/'2016'!P276-1</f>
        <v>0.227868447906732</v>
      </c>
      <c r="W276" s="86">
        <f>Q276/'2016'!Q276-1</f>
        <v>0.0851981339844199</v>
      </c>
      <c r="X276" s="86">
        <f>R276/'2016'!R276-1</f>
        <v>0.149028390644576</v>
      </c>
      <c r="Y276" s="86">
        <f>S276/'2016'!S276-1</f>
        <v>0.104030727178626</v>
      </c>
      <c r="Z276" s="143">
        <v>122.55</v>
      </c>
      <c r="AA276" s="143">
        <f>Q276/10000-Z276</f>
        <v>1532.287734</v>
      </c>
      <c r="AB276" s="34">
        <v>4269.48</v>
      </c>
      <c r="AC276" s="34">
        <f>AA276*10000/AB276</f>
        <v>3588.93292391579</v>
      </c>
      <c r="AD276" s="34">
        <f t="shared" si="74"/>
        <v>17193532.508</v>
      </c>
      <c r="AE276" s="34">
        <f t="shared" si="76"/>
        <v>295254.47</v>
      </c>
      <c r="AF276" s="34">
        <f t="shared" si="77"/>
        <v>207069.82</v>
      </c>
      <c r="AG276" s="34">
        <f t="shared" si="75"/>
        <v>142830.878000001</v>
      </c>
    </row>
    <row r="277" ht="15" customHeight="1" spans="1:33">
      <c r="A277" s="106">
        <v>43007</v>
      </c>
      <c r="B277" s="21" t="s">
        <v>37</v>
      </c>
      <c r="C277" s="9">
        <v>60919</v>
      </c>
      <c r="D277" s="38">
        <f>30646+8466</f>
        <v>39112</v>
      </c>
      <c r="E277" s="38">
        <v>101363</v>
      </c>
      <c r="F277" s="13">
        <v>5089</v>
      </c>
      <c r="G277" s="38">
        <v>3352.4</v>
      </c>
      <c r="H277" s="25"/>
      <c r="I277" s="37"/>
      <c r="J277" s="9">
        <f t="shared" si="72"/>
        <v>62251</v>
      </c>
      <c r="K277" s="38">
        <v>166</v>
      </c>
      <c r="L277" s="38">
        <v>772</v>
      </c>
      <c r="M277" s="132">
        <f t="shared" si="73"/>
        <v>394</v>
      </c>
      <c r="N277" s="78">
        <f t="shared" si="79"/>
        <v>1744864</v>
      </c>
      <c r="O277" s="79">
        <f t="shared" si="79"/>
        <v>1236515</v>
      </c>
      <c r="P277" s="79">
        <f t="shared" si="79"/>
        <v>3046931</v>
      </c>
      <c r="Q277" s="80">
        <f t="shared" si="78"/>
        <v>16609296.34</v>
      </c>
      <c r="R277" s="80">
        <f t="shared" si="78"/>
        <v>9374523</v>
      </c>
      <c r="S277" s="80">
        <f t="shared" si="78"/>
        <v>26630306.508</v>
      </c>
      <c r="T277" s="84">
        <f>N277/'2016'!N277-1</f>
        <v>0.167060510617065</v>
      </c>
      <c r="U277" s="84">
        <f>O277/'2016'!O277-1</f>
        <v>0.312427095638847</v>
      </c>
      <c r="V277" s="84">
        <f>P277/'2016'!P277-1</f>
        <v>0.224448945310459</v>
      </c>
      <c r="W277" s="85">
        <f>Q277/'2016'!Q277-1</f>
        <v>0.0859082909308826</v>
      </c>
      <c r="X277" s="85">
        <f>R277/'2016'!R277-1</f>
        <v>0.148043976424161</v>
      </c>
      <c r="Y277" s="85">
        <f>S277/'2016'!S277-1</f>
        <v>0.104137371709494</v>
      </c>
      <c r="Z277" s="141"/>
      <c r="AA277" s="141"/>
      <c r="AB277" s="109"/>
      <c r="AC277" s="109"/>
      <c r="AD277" s="38">
        <f t="shared" si="74"/>
        <v>17255783.508</v>
      </c>
      <c r="AE277" s="38">
        <f t="shared" si="76"/>
        <v>295420.47</v>
      </c>
      <c r="AF277" s="38">
        <f t="shared" si="77"/>
        <v>207841.82</v>
      </c>
      <c r="AG277" s="38">
        <f t="shared" si="75"/>
        <v>143224.878000001</v>
      </c>
    </row>
    <row r="278" s="1" customFormat="1" ht="15" customHeight="1" spans="1:33">
      <c r="A278" s="26">
        <v>43008</v>
      </c>
      <c r="B278" s="26" t="s">
        <v>38</v>
      </c>
      <c r="C278" s="43">
        <v>60229</v>
      </c>
      <c r="D278" s="44">
        <f>28302+8525</f>
        <v>36827</v>
      </c>
      <c r="E278" s="44">
        <v>98632</v>
      </c>
      <c r="F278" s="127">
        <v>5081.2</v>
      </c>
      <c r="G278" s="44">
        <v>3340.8</v>
      </c>
      <c r="H278" s="31"/>
      <c r="I278" s="31"/>
      <c r="J278" s="43">
        <f t="shared" si="72"/>
        <v>61805</v>
      </c>
      <c r="K278" s="44">
        <v>428</v>
      </c>
      <c r="L278" s="44">
        <v>771</v>
      </c>
      <c r="M278" s="135">
        <f t="shared" si="73"/>
        <v>377</v>
      </c>
      <c r="N278" s="91">
        <f t="shared" si="79"/>
        <v>1805093</v>
      </c>
      <c r="O278" s="92">
        <f t="shared" si="79"/>
        <v>1273342</v>
      </c>
      <c r="P278" s="92">
        <f t="shared" si="79"/>
        <v>3145563</v>
      </c>
      <c r="Q278" s="91">
        <f t="shared" si="78"/>
        <v>16669525.34</v>
      </c>
      <c r="R278" s="91">
        <f t="shared" si="78"/>
        <v>9411350</v>
      </c>
      <c r="S278" s="91">
        <f t="shared" si="78"/>
        <v>26728938.508</v>
      </c>
      <c r="T278" s="93">
        <f>N278/'2016'!N278-1</f>
        <v>0.170583108415702</v>
      </c>
      <c r="U278" s="93">
        <f>O278/'2016'!O278-1</f>
        <v>0.30104515447422</v>
      </c>
      <c r="V278" s="93">
        <f>P278/'2016'!P278-1</f>
        <v>0.221198462613557</v>
      </c>
      <c r="W278" s="93">
        <f>Q278/'2016'!Q278-1</f>
        <v>0.0865107022070288</v>
      </c>
      <c r="X278" s="93">
        <f>R278/'2016'!R278-1</f>
        <v>0.147418325531358</v>
      </c>
      <c r="Y278" s="150">
        <f>S278/'2016'!S278-1</f>
        <v>0.104225838670253</v>
      </c>
      <c r="Z278" s="146">
        <v>123.203731</v>
      </c>
      <c r="AA278" s="146">
        <f>Q278/10000-Z278</f>
        <v>1543.748803</v>
      </c>
      <c r="AB278" s="44">
        <v>4269.48</v>
      </c>
      <c r="AC278" s="44">
        <f>AA278*10000/AB278</f>
        <v>3615.7771040033</v>
      </c>
      <c r="AD278" s="44">
        <v>17315791</v>
      </c>
      <c r="AE278" s="44">
        <v>295851.89</v>
      </c>
      <c r="AF278" s="44">
        <f t="shared" si="77"/>
        <v>208612.82</v>
      </c>
      <c r="AG278" s="44">
        <f t="shared" si="75"/>
        <v>141800.95</v>
      </c>
    </row>
    <row r="279" ht="15" customHeight="1" spans="1:33">
      <c r="A279" s="106">
        <v>43009</v>
      </c>
      <c r="B279" s="21" t="s">
        <v>1</v>
      </c>
      <c r="C279" s="9">
        <v>53472</v>
      </c>
      <c r="D279" s="38">
        <f>14601+7512</f>
        <v>22113</v>
      </c>
      <c r="E279" s="38">
        <v>77310</v>
      </c>
      <c r="F279" s="13">
        <v>3539.6</v>
      </c>
      <c r="G279" s="38">
        <v>2898.3</v>
      </c>
      <c r="H279" s="25"/>
      <c r="I279" s="37"/>
      <c r="J279" s="9">
        <f t="shared" si="72"/>
        <v>55197</v>
      </c>
      <c r="K279" s="38">
        <v>153</v>
      </c>
      <c r="L279" s="38">
        <v>718</v>
      </c>
      <c r="M279" s="132">
        <f t="shared" si="73"/>
        <v>854</v>
      </c>
      <c r="N279" s="78">
        <f>C279</f>
        <v>53472</v>
      </c>
      <c r="O279" s="79">
        <f>D279</f>
        <v>22113</v>
      </c>
      <c r="P279" s="79">
        <f>E279</f>
        <v>77310</v>
      </c>
      <c r="Q279" s="80">
        <f>Q$278+N279</f>
        <v>16722997.34</v>
      </c>
      <c r="R279" s="80">
        <f>R$278+O279</f>
        <v>9433463</v>
      </c>
      <c r="S279" s="80">
        <f>S$278+P279</f>
        <v>26806248.508</v>
      </c>
      <c r="T279" s="84">
        <f>N279/'2016'!N279-1</f>
        <v>0.370795734208367</v>
      </c>
      <c r="U279" s="84">
        <f>O279/'2016'!O279-1</f>
        <v>0.06640625</v>
      </c>
      <c r="V279" s="84">
        <f>P279/'2016'!P279-1</f>
        <v>0.217691253602986</v>
      </c>
      <c r="W279" s="85">
        <f>Q279/'2016'!Q279-1</f>
        <v>0.087231669646916</v>
      </c>
      <c r="X279" s="85">
        <f>R279/'2016'!R279-1</f>
        <v>0.147214035091133</v>
      </c>
      <c r="Y279" s="85">
        <f>S279/'2016'!S279-1</f>
        <v>0.104522663744084</v>
      </c>
      <c r="Z279" s="141"/>
      <c r="AA279" s="141"/>
      <c r="AB279" s="109"/>
      <c r="AC279" s="109"/>
      <c r="AD279" s="38">
        <f t="shared" si="74"/>
        <v>17372785.508</v>
      </c>
      <c r="AE279" s="38">
        <f t="shared" si="76"/>
        <v>296004.89</v>
      </c>
      <c r="AF279" s="38">
        <f t="shared" si="77"/>
        <v>209330.82</v>
      </c>
      <c r="AG279" s="38">
        <f t="shared" si="75"/>
        <v>144452.458000001</v>
      </c>
    </row>
    <row r="280" ht="15" customHeight="1" spans="1:33">
      <c r="A280" s="106">
        <v>43010</v>
      </c>
      <c r="B280" s="21" t="s">
        <v>39</v>
      </c>
      <c r="C280" s="9">
        <v>56242</v>
      </c>
      <c r="D280" s="38">
        <f>16474+7791</f>
        <v>24265</v>
      </c>
      <c r="E280" s="38">
        <v>82005</v>
      </c>
      <c r="F280" s="13">
        <v>3928.7</v>
      </c>
      <c r="G280" s="38">
        <v>2664.4</v>
      </c>
      <c r="H280" s="25"/>
      <c r="I280" s="37"/>
      <c r="J280" s="9">
        <f t="shared" si="72"/>
        <v>57740</v>
      </c>
      <c r="K280" s="38">
        <v>208</v>
      </c>
      <c r="L280" s="38">
        <v>777</v>
      </c>
      <c r="M280" s="132">
        <f t="shared" si="73"/>
        <v>513</v>
      </c>
      <c r="N280" s="78">
        <f t="shared" ref="N280:P295" si="80">C280+N279</f>
        <v>109714</v>
      </c>
      <c r="O280" s="79">
        <f t="shared" si="80"/>
        <v>46378</v>
      </c>
      <c r="P280" s="79">
        <f t="shared" si="80"/>
        <v>159315</v>
      </c>
      <c r="Q280" s="80">
        <f t="shared" ref="Q280:S308" si="81">Q$278+N280</f>
        <v>16779239.34</v>
      </c>
      <c r="R280" s="80">
        <f t="shared" si="81"/>
        <v>9457728</v>
      </c>
      <c r="S280" s="80">
        <f t="shared" si="81"/>
        <v>26888253.508</v>
      </c>
      <c r="T280" s="84">
        <f>N280/'2016'!N280-1</f>
        <v>0.371047961810502</v>
      </c>
      <c r="U280" s="84">
        <f>O280/'2016'!O280-1</f>
        <v>0.0726461132826053</v>
      </c>
      <c r="V280" s="84">
        <f>P280/'2016'!P280-1</f>
        <v>0.216646556595849</v>
      </c>
      <c r="W280" s="85">
        <f>Q280/'2016'!Q280-1</f>
        <v>0.087987088548138</v>
      </c>
      <c r="X280" s="85">
        <f>R280/'2016'!R280-1</f>
        <v>0.147026238646291</v>
      </c>
      <c r="Y280" s="85">
        <f>S280/'2016'!S280-1</f>
        <v>0.104830722171817</v>
      </c>
      <c r="Z280" s="141"/>
      <c r="AA280" s="141"/>
      <c r="AB280" s="109"/>
      <c r="AC280" s="109"/>
      <c r="AD280" s="38">
        <f t="shared" si="74"/>
        <v>17430525.508</v>
      </c>
      <c r="AE280" s="38">
        <f t="shared" si="76"/>
        <v>296212.89</v>
      </c>
      <c r="AF280" s="38">
        <f t="shared" si="77"/>
        <v>210107.82</v>
      </c>
      <c r="AG280" s="38">
        <f t="shared" si="75"/>
        <v>144965.458000001</v>
      </c>
    </row>
    <row r="281" ht="15" customHeight="1" spans="1:33">
      <c r="A281" s="106">
        <v>43011</v>
      </c>
      <c r="B281" s="21" t="s">
        <v>34</v>
      </c>
      <c r="C281" s="9">
        <v>52212</v>
      </c>
      <c r="D281" s="38">
        <f>18115+8033</f>
        <v>26148</v>
      </c>
      <c r="E281" s="38">
        <v>79613</v>
      </c>
      <c r="F281" s="13">
        <v>3839.8</v>
      </c>
      <c r="G281" s="38">
        <v>2782.8</v>
      </c>
      <c r="H281" s="25"/>
      <c r="I281" s="37"/>
      <c r="J281" s="9">
        <f t="shared" si="72"/>
        <v>53465</v>
      </c>
      <c r="K281" s="38">
        <v>148</v>
      </c>
      <c r="L281" s="38">
        <v>771</v>
      </c>
      <c r="M281" s="132">
        <f t="shared" si="73"/>
        <v>334</v>
      </c>
      <c r="N281" s="78">
        <f t="shared" si="80"/>
        <v>161926</v>
      </c>
      <c r="O281" s="79">
        <f t="shared" si="80"/>
        <v>72526</v>
      </c>
      <c r="P281" s="79">
        <f t="shared" si="80"/>
        <v>238928</v>
      </c>
      <c r="Q281" s="80">
        <f t="shared" si="81"/>
        <v>16831451.34</v>
      </c>
      <c r="R281" s="80">
        <f t="shared" si="81"/>
        <v>9483876</v>
      </c>
      <c r="S281" s="80">
        <f t="shared" si="81"/>
        <v>26967866.508</v>
      </c>
      <c r="T281" s="84">
        <f>N281/'2016'!N281-1</f>
        <v>0.296704704704705</v>
      </c>
      <c r="U281" s="84">
        <f>O281/'2016'!O281-1</f>
        <v>0.0346667427527962</v>
      </c>
      <c r="V281" s="84">
        <f>P281/'2016'!P281-1</f>
        <v>0.15653226196815</v>
      </c>
      <c r="W281" s="85">
        <f>Q281/'2016'!Q281-1</f>
        <v>0.0882077186777561</v>
      </c>
      <c r="X281" s="85">
        <f>R281/'2016'!R281-1</f>
        <v>0.146462914993813</v>
      </c>
      <c r="Y281" s="85">
        <f>S281/'2016'!S281-1</f>
        <v>0.104668477685824</v>
      </c>
      <c r="Z281" s="141"/>
      <c r="AA281" s="141"/>
      <c r="AB281" s="109"/>
      <c r="AC281" s="109"/>
      <c r="AD281" s="38">
        <f t="shared" si="74"/>
        <v>17483990.508</v>
      </c>
      <c r="AE281" s="38">
        <f t="shared" si="76"/>
        <v>296360.89</v>
      </c>
      <c r="AF281" s="38">
        <f t="shared" si="77"/>
        <v>210878.82</v>
      </c>
      <c r="AG281" s="38">
        <f t="shared" si="75"/>
        <v>145299.458000001</v>
      </c>
    </row>
    <row r="282" ht="15" customHeight="1" spans="1:33">
      <c r="A282" s="106">
        <v>43012</v>
      </c>
      <c r="B282" s="21" t="s">
        <v>35</v>
      </c>
      <c r="C282" s="9">
        <v>42703</v>
      </c>
      <c r="D282" s="38">
        <f>18836+8693</f>
        <v>27529</v>
      </c>
      <c r="E282" s="38">
        <v>71591</v>
      </c>
      <c r="F282" s="13">
        <v>3337.3</v>
      </c>
      <c r="G282" s="38">
        <v>2628.3</v>
      </c>
      <c r="H282" s="25"/>
      <c r="I282" s="37"/>
      <c r="J282" s="9">
        <f t="shared" si="72"/>
        <v>44062</v>
      </c>
      <c r="K282" s="38">
        <v>129</v>
      </c>
      <c r="L282" s="38">
        <v>775</v>
      </c>
      <c r="M282" s="132">
        <f t="shared" si="73"/>
        <v>455</v>
      </c>
      <c r="N282" s="78">
        <f t="shared" si="80"/>
        <v>204629</v>
      </c>
      <c r="O282" s="79">
        <f t="shared" si="80"/>
        <v>100055</v>
      </c>
      <c r="P282" s="79">
        <f t="shared" si="80"/>
        <v>310519</v>
      </c>
      <c r="Q282" s="80">
        <f t="shared" si="81"/>
        <v>16874154.34</v>
      </c>
      <c r="R282" s="80">
        <f t="shared" si="81"/>
        <v>9511405</v>
      </c>
      <c r="S282" s="80">
        <f t="shared" si="81"/>
        <v>27039457.508</v>
      </c>
      <c r="T282" s="84">
        <f>N282/'2016'!N282-1</f>
        <v>0.160133572206096</v>
      </c>
      <c r="U282" s="84">
        <f>O282/'2016'!O282-1</f>
        <v>0.0283779061401526</v>
      </c>
      <c r="V282" s="84">
        <f>P282/'2016'!P282-1</f>
        <v>0.07420373682408</v>
      </c>
      <c r="W282" s="85">
        <f>Q282/'2016'!Q282-1</f>
        <v>0.0873474956568359</v>
      </c>
      <c r="X282" s="85">
        <f>R282/'2016'!R282-1</f>
        <v>0.146022827908703</v>
      </c>
      <c r="Y282" s="85">
        <f>S282/'2016'!S282-1</f>
        <v>0.103871545175367</v>
      </c>
      <c r="Z282" s="141">
        <f>(Z283-Z276)/7*6+Z276</f>
        <v>123.260945142857</v>
      </c>
      <c r="AA282" s="141">
        <f>Q282/10000-Z282</f>
        <v>1564.15448885714</v>
      </c>
      <c r="AB282" s="109"/>
      <c r="AC282" s="109"/>
      <c r="AD282" s="38">
        <f t="shared" si="74"/>
        <v>17528052.508</v>
      </c>
      <c r="AE282" s="38">
        <f t="shared" si="76"/>
        <v>296489.89</v>
      </c>
      <c r="AF282" s="38">
        <f t="shared" si="77"/>
        <v>211653.82</v>
      </c>
      <c r="AG282" s="38">
        <f t="shared" si="75"/>
        <v>145754.458000001</v>
      </c>
    </row>
    <row r="283" ht="15" customHeight="1" spans="1:33">
      <c r="A283" s="106">
        <v>43013</v>
      </c>
      <c r="B283" s="15" t="s">
        <v>36</v>
      </c>
      <c r="C283" s="33">
        <v>55213</v>
      </c>
      <c r="D283" s="34">
        <f>21955+8708</f>
        <v>30663</v>
      </c>
      <c r="E283" s="34">
        <v>90668</v>
      </c>
      <c r="F283" s="124">
        <v>4452.8</v>
      </c>
      <c r="G283" s="34">
        <v>2554.8</v>
      </c>
      <c r="H283" s="20"/>
      <c r="I283" s="20"/>
      <c r="J283" s="34">
        <f t="shared" si="72"/>
        <v>60005</v>
      </c>
      <c r="K283" s="34">
        <v>236</v>
      </c>
      <c r="L283" s="34">
        <v>773</v>
      </c>
      <c r="M283" s="133">
        <f t="shared" si="73"/>
        <v>3783</v>
      </c>
      <c r="N283" s="81">
        <f t="shared" si="80"/>
        <v>259842</v>
      </c>
      <c r="O283" s="82">
        <f t="shared" si="80"/>
        <v>130718</v>
      </c>
      <c r="P283" s="82">
        <f t="shared" si="80"/>
        <v>401187</v>
      </c>
      <c r="Q283" s="81">
        <f t="shared" si="81"/>
        <v>16929367.34</v>
      </c>
      <c r="R283" s="81">
        <f t="shared" si="81"/>
        <v>9542068</v>
      </c>
      <c r="S283" s="81">
        <f t="shared" si="81"/>
        <v>27130125.508</v>
      </c>
      <c r="T283" s="86">
        <f>N283/'2016'!N283-1</f>
        <v>0.130067192902342</v>
      </c>
      <c r="U283" s="86">
        <f>O283/'2016'!O283-1</f>
        <v>0.0255126857358041</v>
      </c>
      <c r="V283" s="86">
        <f>P283/'2016'!P283-1</f>
        <v>0.0653886191988613</v>
      </c>
      <c r="W283" s="86">
        <f>Q283/'2016'!Q283-1</f>
        <v>0.0871538462378223</v>
      </c>
      <c r="X283" s="86">
        <f>R283/'2016'!R283-1</f>
        <v>0.145552844761288</v>
      </c>
      <c r="Y283" s="86">
        <f>S283/'2016'!S283-1</f>
        <v>0.103630918102604</v>
      </c>
      <c r="Z283" s="143">
        <f>Z278+(Z287-Z278)/9*5</f>
        <v>123.379436</v>
      </c>
      <c r="AA283" s="143">
        <f>Q283/10000-Z283</f>
        <v>1569.557298</v>
      </c>
      <c r="AB283" s="34">
        <v>4269.48</v>
      </c>
      <c r="AC283" s="34">
        <f>AA283*10000/AB283</f>
        <v>3676.22590573091</v>
      </c>
      <c r="AD283" s="34">
        <f t="shared" si="74"/>
        <v>17588057.508</v>
      </c>
      <c r="AE283" s="34">
        <f t="shared" si="76"/>
        <v>296725.89</v>
      </c>
      <c r="AF283" s="34">
        <f t="shared" si="77"/>
        <v>212426.82</v>
      </c>
      <c r="AG283" s="34">
        <f t="shared" si="75"/>
        <v>149537.458000001</v>
      </c>
    </row>
    <row r="284" ht="15" customHeight="1" spans="1:33">
      <c r="A284" s="106">
        <v>43014</v>
      </c>
      <c r="B284" s="21" t="s">
        <v>37</v>
      </c>
      <c r="C284" s="9">
        <v>58569</v>
      </c>
      <c r="D284" s="38">
        <f>25744+8665</f>
        <v>34409</v>
      </c>
      <c r="E284" s="38">
        <v>94451</v>
      </c>
      <c r="F284" s="13">
        <v>4782.1</v>
      </c>
      <c r="G284" s="38">
        <v>3092.9</v>
      </c>
      <c r="H284" s="25"/>
      <c r="I284" s="37"/>
      <c r="J284" s="9">
        <f t="shared" si="72"/>
        <v>60042</v>
      </c>
      <c r="K284" s="38">
        <v>190</v>
      </c>
      <c r="L284" s="38">
        <v>775</v>
      </c>
      <c r="M284" s="132">
        <f t="shared" si="73"/>
        <v>508</v>
      </c>
      <c r="N284" s="78">
        <f t="shared" si="80"/>
        <v>318411</v>
      </c>
      <c r="O284" s="79">
        <f t="shared" si="80"/>
        <v>165127</v>
      </c>
      <c r="P284" s="79">
        <f t="shared" si="80"/>
        <v>495638</v>
      </c>
      <c r="Q284" s="80">
        <f t="shared" si="81"/>
        <v>16987936.34</v>
      </c>
      <c r="R284" s="80">
        <f t="shared" si="81"/>
        <v>9576477</v>
      </c>
      <c r="S284" s="80">
        <f t="shared" si="81"/>
        <v>27224576.508</v>
      </c>
      <c r="T284" s="84">
        <f>N284/'2016'!N284-1</f>
        <v>0.121682888938207</v>
      </c>
      <c r="U284" s="84">
        <f>O284/'2016'!O284-1</f>
        <v>0.0432390086111585</v>
      </c>
      <c r="V284" s="84">
        <f>P284/'2016'!P284-1</f>
        <v>0.0662550555029688</v>
      </c>
      <c r="W284" s="85">
        <f>Q284/'2016'!Q284-1</f>
        <v>0.0871496509851291</v>
      </c>
      <c r="X284" s="85">
        <f>R284/'2016'!R284-1</f>
        <v>0.145445972653002</v>
      </c>
      <c r="Y284" s="85">
        <f>S284/'2016'!S284-1</f>
        <v>0.103510406693042</v>
      </c>
      <c r="Z284" s="141"/>
      <c r="AA284" s="141"/>
      <c r="AB284" s="109"/>
      <c r="AC284" s="109"/>
      <c r="AD284" s="38">
        <f t="shared" si="74"/>
        <v>17648099.508</v>
      </c>
      <c r="AE284" s="38">
        <f t="shared" si="76"/>
        <v>296915.89</v>
      </c>
      <c r="AF284" s="38">
        <f t="shared" si="77"/>
        <v>213201.82</v>
      </c>
      <c r="AG284" s="38">
        <f t="shared" si="75"/>
        <v>150045.458000001</v>
      </c>
    </row>
    <row r="285" ht="15" customHeight="1" spans="1:33">
      <c r="A285" s="106">
        <v>43015</v>
      </c>
      <c r="B285" s="21" t="s">
        <v>38</v>
      </c>
      <c r="C285" s="74">
        <v>53420</v>
      </c>
      <c r="D285" s="75">
        <f>33329+8642</f>
        <v>41971</v>
      </c>
      <c r="E285" s="75">
        <v>97111</v>
      </c>
      <c r="F285" s="125">
        <v>4796.1</v>
      </c>
      <c r="G285" s="75">
        <v>3223.7</v>
      </c>
      <c r="H285" s="25"/>
      <c r="I285" s="25"/>
      <c r="J285" s="74">
        <f t="shared" si="72"/>
        <v>55140</v>
      </c>
      <c r="K285" s="75">
        <v>264</v>
      </c>
      <c r="L285" s="75">
        <v>777</v>
      </c>
      <c r="M285" s="134">
        <f t="shared" si="73"/>
        <v>679</v>
      </c>
      <c r="N285" s="78">
        <f t="shared" si="80"/>
        <v>371831</v>
      </c>
      <c r="O285" s="79">
        <f t="shared" si="80"/>
        <v>207098</v>
      </c>
      <c r="P285" s="79">
        <f t="shared" si="80"/>
        <v>592749</v>
      </c>
      <c r="Q285" s="80">
        <f t="shared" si="81"/>
        <v>17041356.34</v>
      </c>
      <c r="R285" s="80">
        <f t="shared" si="81"/>
        <v>9618448</v>
      </c>
      <c r="S285" s="80">
        <f t="shared" si="81"/>
        <v>27321687.508</v>
      </c>
      <c r="T285" s="84">
        <f>N285/'2016'!N285-1</f>
        <v>0.10099400988384</v>
      </c>
      <c r="U285" s="84">
        <f>O285/'2016'!O285-1</f>
        <v>0.092917341720715</v>
      </c>
      <c r="V285" s="84">
        <f>P285/'2016'!P285-1</f>
        <v>0.0716695473578397</v>
      </c>
      <c r="W285" s="85">
        <f>Q285/'2016'!Q285-1</f>
        <v>0.0868226507191112</v>
      </c>
      <c r="X285" s="85">
        <f>R285/'2016'!R285-1</f>
        <v>0.146187649753858</v>
      </c>
      <c r="Y285" s="85">
        <f>S285/'2016'!S285-1</f>
        <v>0.103498546166244</v>
      </c>
      <c r="Z285" s="144"/>
      <c r="AA285" s="144"/>
      <c r="AB285" s="109"/>
      <c r="AC285" s="109"/>
      <c r="AD285" s="38">
        <f t="shared" si="74"/>
        <v>17703239.508</v>
      </c>
      <c r="AE285" s="75">
        <f t="shared" si="76"/>
        <v>297179.89</v>
      </c>
      <c r="AF285" s="75">
        <f t="shared" si="77"/>
        <v>213978.82</v>
      </c>
      <c r="AG285" s="75">
        <f t="shared" si="75"/>
        <v>150724.458000001</v>
      </c>
    </row>
    <row r="286" ht="15" customHeight="1" spans="1:33">
      <c r="A286" s="106">
        <v>43016</v>
      </c>
      <c r="B286" s="21" t="s">
        <v>1</v>
      </c>
      <c r="C286" s="9">
        <v>51074</v>
      </c>
      <c r="D286" s="38">
        <f>34938+8717</f>
        <v>43655</v>
      </c>
      <c r="E286" s="38">
        <v>97008</v>
      </c>
      <c r="F286" s="13">
        <v>4770.3</v>
      </c>
      <c r="G286" s="38">
        <v>3257</v>
      </c>
      <c r="H286" s="25"/>
      <c r="I286" s="37"/>
      <c r="J286" s="9">
        <f t="shared" si="72"/>
        <v>53353</v>
      </c>
      <c r="K286" s="38">
        <v>684</v>
      </c>
      <c r="L286" s="38">
        <v>778</v>
      </c>
      <c r="M286" s="132">
        <f t="shared" si="73"/>
        <v>817</v>
      </c>
      <c r="N286" s="78">
        <f t="shared" si="80"/>
        <v>422905</v>
      </c>
      <c r="O286" s="79">
        <f t="shared" si="80"/>
        <v>250753</v>
      </c>
      <c r="P286" s="79">
        <f t="shared" si="80"/>
        <v>689757</v>
      </c>
      <c r="Q286" s="80">
        <f t="shared" si="81"/>
        <v>17092430.34</v>
      </c>
      <c r="R286" s="80">
        <f t="shared" si="81"/>
        <v>9662103</v>
      </c>
      <c r="S286" s="80">
        <f t="shared" si="81"/>
        <v>27418695.508</v>
      </c>
      <c r="T286" s="84">
        <f>N286/'2016'!N286-1</f>
        <v>0.087419357327073</v>
      </c>
      <c r="U286" s="84">
        <f>O286/'2016'!O286-1</f>
        <v>0.133936283265878</v>
      </c>
      <c r="V286" s="84">
        <f>P286/'2016'!P286-1</f>
        <v>0.0796819920732814</v>
      </c>
      <c r="W286" s="85">
        <f>Q286/'2016'!Q286-1</f>
        <v>0.0865331660475452</v>
      </c>
      <c r="X286" s="85">
        <f>R286/'2016'!R286-1</f>
        <v>0.147064385811266</v>
      </c>
      <c r="Y286" s="85">
        <f>S286/'2016'!S286-1</f>
        <v>0.103594727720837</v>
      </c>
      <c r="Z286" s="141"/>
      <c r="AA286" s="141"/>
      <c r="AB286" s="109"/>
      <c r="AC286" s="109"/>
      <c r="AD286" s="38">
        <f t="shared" si="74"/>
        <v>17756592.508</v>
      </c>
      <c r="AE286" s="38">
        <f t="shared" si="76"/>
        <v>297863.89</v>
      </c>
      <c r="AF286" s="38">
        <f t="shared" si="77"/>
        <v>214756.82</v>
      </c>
      <c r="AG286" s="38">
        <f t="shared" si="75"/>
        <v>151541.458000001</v>
      </c>
    </row>
    <row r="287" ht="15" customHeight="1" spans="1:33">
      <c r="A287" s="106">
        <v>43017</v>
      </c>
      <c r="B287" s="21" t="s">
        <v>39</v>
      </c>
      <c r="C287" s="9">
        <v>57192</v>
      </c>
      <c r="D287" s="38">
        <f>35352+8502</f>
        <v>43854</v>
      </c>
      <c r="E287" s="38">
        <v>103087</v>
      </c>
      <c r="F287" s="13">
        <v>5182.3</v>
      </c>
      <c r="G287" s="38">
        <v>3256.5</v>
      </c>
      <c r="H287" s="25"/>
      <c r="I287" s="37"/>
      <c r="J287" s="9">
        <f t="shared" si="72"/>
        <v>59233</v>
      </c>
      <c r="K287" s="38">
        <v>401</v>
      </c>
      <c r="L287" s="38">
        <v>779</v>
      </c>
      <c r="M287" s="132">
        <f t="shared" si="73"/>
        <v>861</v>
      </c>
      <c r="N287" s="78">
        <f t="shared" si="80"/>
        <v>480097</v>
      </c>
      <c r="O287" s="79">
        <f t="shared" si="80"/>
        <v>294607</v>
      </c>
      <c r="P287" s="79">
        <f t="shared" si="80"/>
        <v>792844</v>
      </c>
      <c r="Q287" s="80">
        <f t="shared" si="81"/>
        <v>17149622.34</v>
      </c>
      <c r="R287" s="80">
        <f t="shared" si="81"/>
        <v>9705957</v>
      </c>
      <c r="S287" s="80">
        <f t="shared" si="81"/>
        <v>27521782.508</v>
      </c>
      <c r="T287" s="84">
        <f>N287/'2016'!N287-1</f>
        <v>0.104478676365711</v>
      </c>
      <c r="U287" s="84">
        <f>O287/'2016'!O287-1</f>
        <v>0.158437993975951</v>
      </c>
      <c r="V287" s="84">
        <f>P287/'2016'!P287-1</f>
        <v>0.100618855519864</v>
      </c>
      <c r="W287" s="85">
        <f>Q287/'2016'!Q287-1</f>
        <v>0.0870057510525806</v>
      </c>
      <c r="X287" s="85">
        <f>R287/'2016'!R287-1</f>
        <v>0.147749721811953</v>
      </c>
      <c r="Y287" s="85">
        <f>S287/'2016'!S287-1</f>
        <v>0.104121598465509</v>
      </c>
      <c r="Z287" s="141">
        <v>123.52</v>
      </c>
      <c r="AA287" s="141">
        <f>Q287/10000-Z287</f>
        <v>1591.442234</v>
      </c>
      <c r="AB287" s="109"/>
      <c r="AC287" s="109"/>
      <c r="AD287" s="38">
        <f t="shared" si="74"/>
        <v>17815825.508</v>
      </c>
      <c r="AE287" s="38">
        <f t="shared" si="76"/>
        <v>298264.89</v>
      </c>
      <c r="AF287" s="38">
        <f t="shared" si="77"/>
        <v>215535.82</v>
      </c>
      <c r="AG287" s="38">
        <f t="shared" si="75"/>
        <v>152402.458000001</v>
      </c>
    </row>
    <row r="288" ht="15" customHeight="1" spans="1:33">
      <c r="A288" s="106">
        <v>43018</v>
      </c>
      <c r="B288" s="21" t="s">
        <v>34</v>
      </c>
      <c r="C288" s="9">
        <v>64966</v>
      </c>
      <c r="D288" s="38">
        <f>34048+8453</f>
        <v>42501</v>
      </c>
      <c r="E288" s="38">
        <v>109810</v>
      </c>
      <c r="F288" s="13">
        <v>5509.5</v>
      </c>
      <c r="G288" s="38">
        <v>3483.9</v>
      </c>
      <c r="H288" s="25"/>
      <c r="I288" s="37"/>
      <c r="J288" s="9">
        <f t="shared" si="72"/>
        <v>67309</v>
      </c>
      <c r="K288" s="38">
        <v>791</v>
      </c>
      <c r="L288" s="38">
        <v>778</v>
      </c>
      <c r="M288" s="132">
        <f t="shared" si="73"/>
        <v>774</v>
      </c>
      <c r="N288" s="78">
        <f t="shared" si="80"/>
        <v>545063</v>
      </c>
      <c r="O288" s="79">
        <f t="shared" si="80"/>
        <v>337108</v>
      </c>
      <c r="P288" s="79">
        <f t="shared" si="80"/>
        <v>902654</v>
      </c>
      <c r="Q288" s="80">
        <f t="shared" si="81"/>
        <v>17214588.34</v>
      </c>
      <c r="R288" s="80">
        <f t="shared" si="81"/>
        <v>9748458</v>
      </c>
      <c r="S288" s="80">
        <f t="shared" si="81"/>
        <v>27631592.508</v>
      </c>
      <c r="T288" s="84">
        <f>N288/'2016'!N288-1</f>
        <v>0.124096186764008</v>
      </c>
      <c r="U288" s="84">
        <f>O288/'2016'!O288-1</f>
        <v>0.174612798132372</v>
      </c>
      <c r="V288" s="84">
        <f>P288/'2016'!P288-1</f>
        <v>0.120201639124543</v>
      </c>
      <c r="W288" s="85">
        <f>Q288/'2016'!Q288-1</f>
        <v>0.0876621938029762</v>
      </c>
      <c r="X288" s="85">
        <f>R288/'2016'!R288-1</f>
        <v>0.148337692013291</v>
      </c>
      <c r="Y288" s="85">
        <f>S288/'2016'!S288-1</f>
        <v>0.104740524372807</v>
      </c>
      <c r="Z288" s="141"/>
      <c r="AA288" s="141"/>
      <c r="AB288" s="109"/>
      <c r="AC288" s="109"/>
      <c r="AD288" s="38">
        <f t="shared" si="74"/>
        <v>17883134.508</v>
      </c>
      <c r="AE288" s="38">
        <f t="shared" si="76"/>
        <v>299055.89</v>
      </c>
      <c r="AF288" s="38">
        <f t="shared" si="77"/>
        <v>216313.82</v>
      </c>
      <c r="AG288" s="38">
        <f t="shared" si="75"/>
        <v>153176.458000001</v>
      </c>
    </row>
    <row r="289" spans="1:33">
      <c r="A289" s="106">
        <v>43019</v>
      </c>
      <c r="B289" s="21" t="s">
        <v>35</v>
      </c>
      <c r="C289" s="9">
        <v>57297</v>
      </c>
      <c r="D289" s="38">
        <f>37775+8379</f>
        <v>46154</v>
      </c>
      <c r="E289" s="38">
        <v>105384</v>
      </c>
      <c r="F289" s="13">
        <v>5355.2</v>
      </c>
      <c r="G289" s="38">
        <v>3569</v>
      </c>
      <c r="H289" s="25"/>
      <c r="I289" s="37"/>
      <c r="J289" s="9">
        <f t="shared" si="72"/>
        <v>59230</v>
      </c>
      <c r="K289" s="38">
        <v>688</v>
      </c>
      <c r="L289" s="38">
        <v>777</v>
      </c>
      <c r="M289" s="132">
        <f t="shared" si="73"/>
        <v>468</v>
      </c>
      <c r="N289" s="78">
        <f t="shared" si="80"/>
        <v>602360</v>
      </c>
      <c r="O289" s="79">
        <f t="shared" si="80"/>
        <v>383262</v>
      </c>
      <c r="P289" s="79">
        <f t="shared" si="80"/>
        <v>1008038</v>
      </c>
      <c r="Q289" s="80">
        <f t="shared" si="81"/>
        <v>17271885.34</v>
      </c>
      <c r="R289" s="80">
        <f t="shared" si="81"/>
        <v>9794612</v>
      </c>
      <c r="S289" s="80">
        <f t="shared" si="81"/>
        <v>27736976.508</v>
      </c>
      <c r="T289" s="84">
        <f>N289/'2016'!N289-1</f>
        <v>0.129542190002213</v>
      </c>
      <c r="U289" s="84">
        <f>O289/'2016'!O289-1</f>
        <v>0.184878547954777</v>
      </c>
      <c r="V289" s="84">
        <f>P289/'2016'!P289-1</f>
        <v>0.128896534037523</v>
      </c>
      <c r="W289" s="85">
        <f>Q289/'2016'!Q289-1</f>
        <v>0.0879561808755536</v>
      </c>
      <c r="X289" s="85">
        <f>R289/'2016'!R289-1</f>
        <v>0.148839555708141</v>
      </c>
      <c r="Y289" s="85">
        <f>S289/'2016'!S289-1</f>
        <v>0.105103542528447</v>
      </c>
      <c r="Z289" s="141">
        <f>(Z290-Z283)/7*6+Z283</f>
        <v>124.279919428571</v>
      </c>
      <c r="AA289" s="141">
        <f>Q289/10000-Z289</f>
        <v>1602.90861457143</v>
      </c>
      <c r="AB289" s="109"/>
      <c r="AC289" s="109"/>
      <c r="AD289" s="38">
        <f t="shared" si="74"/>
        <v>17942364.508</v>
      </c>
      <c r="AE289" s="38">
        <f t="shared" si="76"/>
        <v>299743.89</v>
      </c>
      <c r="AF289" s="38">
        <f t="shared" si="77"/>
        <v>217090.82</v>
      </c>
      <c r="AG289" s="38">
        <f t="shared" si="75"/>
        <v>153644.458000001</v>
      </c>
    </row>
    <row r="290" ht="15" customHeight="1" spans="1:33">
      <c r="A290" s="106">
        <v>43020</v>
      </c>
      <c r="B290" s="15" t="s">
        <v>36</v>
      </c>
      <c r="C290" s="33">
        <v>55487</v>
      </c>
      <c r="D290" s="34">
        <v>45133</v>
      </c>
      <c r="E290" s="34">
        <v>102159</v>
      </c>
      <c r="F290" s="124">
        <v>5254</v>
      </c>
      <c r="G290" s="34">
        <v>3379</v>
      </c>
      <c r="H290" s="20"/>
      <c r="I290" s="20"/>
      <c r="J290" s="33">
        <f t="shared" si="72"/>
        <v>57026</v>
      </c>
      <c r="K290" s="34">
        <v>487</v>
      </c>
      <c r="L290" s="34">
        <v>780</v>
      </c>
      <c r="M290" s="133">
        <f t="shared" si="73"/>
        <v>272</v>
      </c>
      <c r="N290" s="81">
        <f t="shared" si="80"/>
        <v>657847</v>
      </c>
      <c r="O290" s="82">
        <f t="shared" si="80"/>
        <v>428395</v>
      </c>
      <c r="P290" s="82">
        <f t="shared" si="80"/>
        <v>1110197</v>
      </c>
      <c r="Q290" s="81">
        <f t="shared" si="81"/>
        <v>17327372.34</v>
      </c>
      <c r="R290" s="81">
        <f t="shared" si="81"/>
        <v>9839745</v>
      </c>
      <c r="S290" s="81">
        <f t="shared" si="81"/>
        <v>27839135.508</v>
      </c>
      <c r="T290" s="86">
        <f>N290/'2016'!N290-1</f>
        <v>0.128430893263004</v>
      </c>
      <c r="U290" s="86">
        <f>O290/'2016'!O290-1</f>
        <v>0.190505303701892</v>
      </c>
      <c r="V290" s="86">
        <f>P290/'2016'!P290-1</f>
        <v>0.131751201635141</v>
      </c>
      <c r="W290" s="86">
        <f>Q290/'2016'!Q290-1</f>
        <v>0.0880452748220732</v>
      </c>
      <c r="X290" s="86">
        <f>R290/'2016'!R290-1</f>
        <v>0.14922917309767</v>
      </c>
      <c r="Y290" s="86">
        <f>S290/'2016'!S290-1</f>
        <v>0.105297865676518</v>
      </c>
      <c r="Z290" s="143">
        <v>124.43</v>
      </c>
      <c r="AA290" s="143">
        <f>Q290/10000-Z290</f>
        <v>1608.307234</v>
      </c>
      <c r="AB290" s="34">
        <v>4269.48</v>
      </c>
      <c r="AC290" s="34">
        <f>AA290*10000/AB290</f>
        <v>3766.98622314661</v>
      </c>
      <c r="AD290" s="34">
        <f t="shared" si="74"/>
        <v>17999390.508</v>
      </c>
      <c r="AE290" s="34">
        <f t="shared" si="76"/>
        <v>300230.89</v>
      </c>
      <c r="AF290" s="34">
        <f t="shared" si="77"/>
        <v>217870.82</v>
      </c>
      <c r="AG290" s="34">
        <f t="shared" si="75"/>
        <v>153916.458000001</v>
      </c>
    </row>
    <row r="291" ht="15" customHeight="1" spans="1:33">
      <c r="A291" s="106">
        <v>43021</v>
      </c>
      <c r="B291" s="21" t="s">
        <v>37</v>
      </c>
      <c r="C291" s="9">
        <v>52059</v>
      </c>
      <c r="D291" s="38">
        <f>37304+8527</f>
        <v>45831</v>
      </c>
      <c r="E291" s="38">
        <v>99676</v>
      </c>
      <c r="F291" s="13">
        <v>5037</v>
      </c>
      <c r="G291" s="38">
        <v>3306.1</v>
      </c>
      <c r="H291" s="25"/>
      <c r="I291" s="37"/>
      <c r="J291" s="9">
        <f t="shared" si="72"/>
        <v>53845</v>
      </c>
      <c r="K291" s="38">
        <v>460</v>
      </c>
      <c r="L291" s="38">
        <v>781</v>
      </c>
      <c r="M291" s="132">
        <f t="shared" si="73"/>
        <v>545</v>
      </c>
      <c r="N291" s="78">
        <f t="shared" si="80"/>
        <v>709906</v>
      </c>
      <c r="O291" s="79">
        <f t="shared" si="80"/>
        <v>474226</v>
      </c>
      <c r="P291" s="79">
        <f t="shared" si="80"/>
        <v>1209873</v>
      </c>
      <c r="Q291" s="80">
        <f t="shared" si="81"/>
        <v>17379431.34</v>
      </c>
      <c r="R291" s="80">
        <f t="shared" si="81"/>
        <v>9885576</v>
      </c>
      <c r="S291" s="80">
        <f t="shared" si="81"/>
        <v>27938811.508</v>
      </c>
      <c r="T291" s="84">
        <f>N291/'2016'!N291-1</f>
        <v>0.118672165169391</v>
      </c>
      <c r="U291" s="84">
        <f>O291/'2016'!O291-1</f>
        <v>0.197546452254809</v>
      </c>
      <c r="V291" s="84">
        <f>P291/'2016'!P291-1</f>
        <v>0.130304111749296</v>
      </c>
      <c r="W291" s="85">
        <f>Q291/'2016'!Q291-1</f>
        <v>0.0877881482667457</v>
      </c>
      <c r="X291" s="85">
        <f>R291/'2016'!R291-1</f>
        <v>0.149727024070404</v>
      </c>
      <c r="Y291" s="85">
        <f>S291/'2016'!S291-1</f>
        <v>0.105330190387488</v>
      </c>
      <c r="Z291" s="141"/>
      <c r="AA291" s="141"/>
      <c r="AB291" s="109"/>
      <c r="AC291" s="109"/>
      <c r="AD291" s="38">
        <f t="shared" si="74"/>
        <v>18053235.508</v>
      </c>
      <c r="AE291" s="38">
        <f t="shared" si="76"/>
        <v>300690.89</v>
      </c>
      <c r="AF291" s="38">
        <f t="shared" si="77"/>
        <v>218651.82</v>
      </c>
      <c r="AG291" s="38">
        <f t="shared" si="75"/>
        <v>154461.458000001</v>
      </c>
    </row>
    <row r="292" ht="15" customHeight="1" spans="1:33">
      <c r="A292" s="106">
        <v>43022</v>
      </c>
      <c r="B292" s="21" t="s">
        <v>38</v>
      </c>
      <c r="C292" s="74">
        <v>50545</v>
      </c>
      <c r="D292" s="75">
        <f>37198+8485</f>
        <v>45683</v>
      </c>
      <c r="E292" s="75">
        <v>97737</v>
      </c>
      <c r="F292" s="125">
        <v>4945.9</v>
      </c>
      <c r="G292" s="75">
        <v>3256.4</v>
      </c>
      <c r="H292" s="25"/>
      <c r="I292" s="25"/>
      <c r="J292" s="74">
        <f t="shared" si="72"/>
        <v>52054</v>
      </c>
      <c r="K292" s="75">
        <v>274</v>
      </c>
      <c r="L292" s="75">
        <v>784</v>
      </c>
      <c r="M292" s="134">
        <f t="shared" si="73"/>
        <v>451</v>
      </c>
      <c r="N292" s="78">
        <f t="shared" si="80"/>
        <v>760451</v>
      </c>
      <c r="O292" s="79">
        <f t="shared" si="80"/>
        <v>519909</v>
      </c>
      <c r="P292" s="79">
        <f t="shared" si="80"/>
        <v>1307610</v>
      </c>
      <c r="Q292" s="80">
        <f t="shared" si="81"/>
        <v>17429976.34</v>
      </c>
      <c r="R292" s="80">
        <f t="shared" si="81"/>
        <v>9931259</v>
      </c>
      <c r="S292" s="80">
        <f t="shared" si="81"/>
        <v>28036548.508</v>
      </c>
      <c r="T292" s="84">
        <f>N292/'2016'!N292-1</f>
        <v>0.106823742426029</v>
      </c>
      <c r="U292" s="84">
        <f>O292/'2016'!O292-1</f>
        <v>0.203066969337249</v>
      </c>
      <c r="V292" s="84">
        <f>P292/'2016'!P292-1</f>
        <v>0.126741994773046</v>
      </c>
      <c r="W292" s="85">
        <f>Q292/'2016'!Q292-1</f>
        <v>0.0873813706176927</v>
      </c>
      <c r="X292" s="85">
        <f>R292/'2016'!R292-1</f>
        <v>0.150203564854745</v>
      </c>
      <c r="Y292" s="85">
        <f>S292/'2016'!S292-1</f>
        <v>0.105255955110872</v>
      </c>
      <c r="Z292" s="144"/>
      <c r="AA292" s="144"/>
      <c r="AB292" s="109"/>
      <c r="AC292" s="109"/>
      <c r="AD292" s="38">
        <f t="shared" si="74"/>
        <v>18105289.508</v>
      </c>
      <c r="AE292" s="75">
        <f t="shared" si="76"/>
        <v>300964.89</v>
      </c>
      <c r="AF292" s="75">
        <f t="shared" si="77"/>
        <v>219435.82</v>
      </c>
      <c r="AG292" s="75">
        <f t="shared" si="75"/>
        <v>154912.458000001</v>
      </c>
    </row>
    <row r="293" ht="15" customHeight="1" spans="1:33">
      <c r="A293" s="106">
        <v>43023</v>
      </c>
      <c r="B293" s="21" t="s">
        <v>1</v>
      </c>
      <c r="C293" s="9">
        <v>44043</v>
      </c>
      <c r="D293" s="38">
        <f>37847+8731</f>
        <v>46578</v>
      </c>
      <c r="E293" s="38">
        <v>92207</v>
      </c>
      <c r="F293" s="13">
        <v>4649.1</v>
      </c>
      <c r="G293" s="75">
        <v>3168.2</v>
      </c>
      <c r="H293" s="25"/>
      <c r="I293" s="37"/>
      <c r="J293" s="9">
        <f t="shared" si="72"/>
        <v>45629</v>
      </c>
      <c r="K293" s="38">
        <v>358</v>
      </c>
      <c r="L293" s="38">
        <v>792</v>
      </c>
      <c r="M293" s="132">
        <f t="shared" si="73"/>
        <v>436</v>
      </c>
      <c r="N293" s="78">
        <f t="shared" si="80"/>
        <v>804494</v>
      </c>
      <c r="O293" s="79">
        <f t="shared" si="80"/>
        <v>566487</v>
      </c>
      <c r="P293" s="79">
        <f t="shared" si="80"/>
        <v>1399817</v>
      </c>
      <c r="Q293" s="80">
        <f t="shared" si="81"/>
        <v>17474019.34</v>
      </c>
      <c r="R293" s="80">
        <f t="shared" si="81"/>
        <v>9977837</v>
      </c>
      <c r="S293" s="80">
        <f t="shared" si="81"/>
        <v>28128755.508</v>
      </c>
      <c r="T293" s="84">
        <f>N293/'2016'!N293-1</f>
        <v>0.0888697596483108</v>
      </c>
      <c r="U293" s="84">
        <f>O293/'2016'!O293-1</f>
        <v>0.211656553255292</v>
      </c>
      <c r="V293" s="84">
        <f>P293/'2016'!P293-1</f>
        <v>0.120076719282481</v>
      </c>
      <c r="W293" s="85">
        <f>Q293/'2016'!Q293-1</f>
        <v>0.0866190873877331</v>
      </c>
      <c r="X293" s="85">
        <f>R293/'2016'!R293-1</f>
        <v>0.150882490302174</v>
      </c>
      <c r="Y293" s="85">
        <f>S293/'2016'!S293-1</f>
        <v>0.105004036892294</v>
      </c>
      <c r="Z293" s="141"/>
      <c r="AA293" s="141"/>
      <c r="AB293" s="109"/>
      <c r="AC293" s="109"/>
      <c r="AD293" s="38">
        <f t="shared" si="74"/>
        <v>18150918.508</v>
      </c>
      <c r="AE293" s="38">
        <f t="shared" si="76"/>
        <v>301322.89</v>
      </c>
      <c r="AF293" s="38">
        <f t="shared" si="77"/>
        <v>220227.82</v>
      </c>
      <c r="AG293" s="38">
        <f t="shared" si="75"/>
        <v>155348.458000001</v>
      </c>
    </row>
    <row r="294" ht="15" customHeight="1" spans="1:33">
      <c r="A294" s="106">
        <v>43024</v>
      </c>
      <c r="B294" s="21" t="s">
        <v>39</v>
      </c>
      <c r="C294" s="9">
        <v>48205</v>
      </c>
      <c r="D294" s="38">
        <f>36737+9169</f>
        <v>45906</v>
      </c>
      <c r="E294" s="38">
        <v>95778</v>
      </c>
      <c r="F294" s="13">
        <v>4947.7</v>
      </c>
      <c r="G294" s="38">
        <v>3012.5</v>
      </c>
      <c r="H294" s="25"/>
      <c r="I294" s="37"/>
      <c r="J294" s="9">
        <f t="shared" si="72"/>
        <v>49872</v>
      </c>
      <c r="K294" s="38">
        <v>383</v>
      </c>
      <c r="L294" s="38">
        <v>785</v>
      </c>
      <c r="M294" s="132">
        <f t="shared" si="73"/>
        <v>499</v>
      </c>
      <c r="N294" s="78">
        <f t="shared" si="80"/>
        <v>852699</v>
      </c>
      <c r="O294" s="79">
        <f t="shared" si="80"/>
        <v>612393</v>
      </c>
      <c r="P294" s="79">
        <f t="shared" si="80"/>
        <v>1495595</v>
      </c>
      <c r="Q294" s="80">
        <f t="shared" si="81"/>
        <v>17522224.34</v>
      </c>
      <c r="R294" s="80">
        <f t="shared" si="81"/>
        <v>10023743</v>
      </c>
      <c r="S294" s="80">
        <f t="shared" si="81"/>
        <v>28224533.508</v>
      </c>
      <c r="T294" s="84">
        <f>N294/'2016'!N294-1</f>
        <v>0.0829491507342015</v>
      </c>
      <c r="U294" s="84">
        <f>O294/'2016'!O294-1</f>
        <v>0.217420605337707</v>
      </c>
      <c r="V294" s="84">
        <f>P294/'2016'!P294-1</f>
        <v>0.120170857335024</v>
      </c>
      <c r="W294" s="85">
        <f>Q294/'2016'!Q294-1</f>
        <v>0.0863368412020551</v>
      </c>
      <c r="X294" s="85">
        <f>R294/'2016'!R294-1</f>
        <v>0.151463357449512</v>
      </c>
      <c r="Y294" s="85">
        <f>S294/'2016'!S294-1</f>
        <v>0.105059354014481</v>
      </c>
      <c r="Z294" s="141"/>
      <c r="AA294" s="141"/>
      <c r="AB294" s="109"/>
      <c r="AC294" s="109"/>
      <c r="AD294" s="38">
        <f t="shared" si="74"/>
        <v>18200790.508</v>
      </c>
      <c r="AE294" s="38">
        <f t="shared" si="76"/>
        <v>301705.89</v>
      </c>
      <c r="AF294" s="38">
        <f t="shared" si="77"/>
        <v>221012.82</v>
      </c>
      <c r="AG294" s="38">
        <f t="shared" si="75"/>
        <v>155847.458000001</v>
      </c>
    </row>
    <row r="295" ht="15" customHeight="1" spans="1:33">
      <c r="A295" s="106">
        <v>43025</v>
      </c>
      <c r="B295" s="21" t="s">
        <v>34</v>
      </c>
      <c r="C295" s="9">
        <v>52427</v>
      </c>
      <c r="D295" s="38">
        <f>34263+9259</f>
        <v>43522</v>
      </c>
      <c r="E295" s="38">
        <v>97607</v>
      </c>
      <c r="F295" s="13">
        <v>4956.1</v>
      </c>
      <c r="G295" s="38">
        <v>3166.4</v>
      </c>
      <c r="H295" s="25"/>
      <c r="I295" s="37"/>
      <c r="J295" s="9">
        <f t="shared" si="72"/>
        <v>54085</v>
      </c>
      <c r="K295" s="38">
        <v>356</v>
      </c>
      <c r="L295" s="38">
        <v>792</v>
      </c>
      <c r="M295" s="132">
        <f t="shared" si="73"/>
        <v>510</v>
      </c>
      <c r="N295" s="78">
        <f t="shared" si="80"/>
        <v>905126</v>
      </c>
      <c r="O295" s="79">
        <f t="shared" si="80"/>
        <v>655915</v>
      </c>
      <c r="P295" s="79">
        <f t="shared" si="80"/>
        <v>1593202</v>
      </c>
      <c r="Q295" s="80">
        <f t="shared" si="81"/>
        <v>17574651.34</v>
      </c>
      <c r="R295" s="80">
        <f t="shared" si="81"/>
        <v>10067265</v>
      </c>
      <c r="S295" s="80">
        <f t="shared" si="81"/>
        <v>28322140.508</v>
      </c>
      <c r="T295" s="84">
        <f>N295/'2016'!N295-1</f>
        <v>0.0816709190532814</v>
      </c>
      <c r="U295" s="84">
        <f>O295/'2016'!O295-1</f>
        <v>0.212717060111229</v>
      </c>
      <c r="V295" s="84">
        <f>P295/'2016'!P295-1</f>
        <v>0.118081214476649</v>
      </c>
      <c r="W295" s="85">
        <f>Q295/'2016'!Q295-1</f>
        <v>0.0862603871267771</v>
      </c>
      <c r="X295" s="85">
        <f>R295/'2016'!R295-1</f>
        <v>0.151457841991248</v>
      </c>
      <c r="Y295" s="85">
        <f>S295/'2016'!S295-1</f>
        <v>0.104996121971325</v>
      </c>
      <c r="Z295" s="141"/>
      <c r="AA295" s="141"/>
      <c r="AB295" s="109"/>
      <c r="AC295" s="109"/>
      <c r="AD295" s="38">
        <f t="shared" si="74"/>
        <v>18254875.508</v>
      </c>
      <c r="AE295" s="38">
        <f t="shared" si="76"/>
        <v>302061.89</v>
      </c>
      <c r="AF295" s="38">
        <f t="shared" si="77"/>
        <v>221804.82</v>
      </c>
      <c r="AG295" s="38">
        <f t="shared" si="75"/>
        <v>156357.458000001</v>
      </c>
    </row>
    <row r="296" ht="15" customHeight="1" spans="1:33">
      <c r="A296" s="106">
        <v>43026</v>
      </c>
      <c r="B296" s="21" t="s">
        <v>35</v>
      </c>
      <c r="C296" s="9">
        <v>52901</v>
      </c>
      <c r="D296" s="38">
        <f>33902+10227</f>
        <v>44129</v>
      </c>
      <c r="E296" s="38">
        <v>98735</v>
      </c>
      <c r="F296" s="13">
        <v>4950.9</v>
      </c>
      <c r="G296" s="38">
        <v>3215.7</v>
      </c>
      <c r="H296" s="25"/>
      <c r="I296" s="37"/>
      <c r="J296" s="9">
        <f t="shared" si="72"/>
        <v>54606</v>
      </c>
      <c r="K296" s="38">
        <v>289</v>
      </c>
      <c r="L296" s="38">
        <v>788</v>
      </c>
      <c r="M296" s="132">
        <f t="shared" si="73"/>
        <v>628</v>
      </c>
      <c r="N296" s="78">
        <f t="shared" ref="N296:P309" si="82">C296+N295</f>
        <v>958027</v>
      </c>
      <c r="O296" s="79">
        <f t="shared" si="82"/>
        <v>700044</v>
      </c>
      <c r="P296" s="79">
        <f t="shared" si="82"/>
        <v>1691937</v>
      </c>
      <c r="Q296" s="80">
        <f t="shared" si="81"/>
        <v>17627552.34</v>
      </c>
      <c r="R296" s="80">
        <f t="shared" si="81"/>
        <v>10111394</v>
      </c>
      <c r="S296" s="80">
        <f t="shared" si="81"/>
        <v>28420875.508</v>
      </c>
      <c r="T296" s="84">
        <f>N296/'2016'!N296-1</f>
        <v>0.0820297764395221</v>
      </c>
      <c r="U296" s="84">
        <f>O296/'2016'!O296-1</f>
        <v>0.20477059167728</v>
      </c>
      <c r="V296" s="84">
        <f>P296/'2016'!P296-1</f>
        <v>0.115913572837177</v>
      </c>
      <c r="W296" s="85">
        <f>Q296/'2016'!Q296-1</f>
        <v>0.0862662181483533</v>
      </c>
      <c r="X296" s="85">
        <f>R296/'2016'!R296-1</f>
        <v>0.151212488853792</v>
      </c>
      <c r="Y296" s="85">
        <f>S296/'2016'!S296-1</f>
        <v>0.104914768959949</v>
      </c>
      <c r="Z296" s="141">
        <f>(Z297-Z290)/7*6+Z290</f>
        <v>125.552857142857</v>
      </c>
      <c r="AA296" s="141">
        <f>Q296/10000-Z296</f>
        <v>1637.20237685714</v>
      </c>
      <c r="AB296" s="109"/>
      <c r="AC296" s="109"/>
      <c r="AD296" s="38">
        <f t="shared" si="74"/>
        <v>18309481.508</v>
      </c>
      <c r="AE296" s="38">
        <f t="shared" si="76"/>
        <v>302350.89</v>
      </c>
      <c r="AF296" s="38">
        <f t="shared" si="77"/>
        <v>222592.82</v>
      </c>
      <c r="AG296" s="38">
        <f t="shared" si="75"/>
        <v>156985.458000001</v>
      </c>
    </row>
    <row r="297" ht="15" customHeight="1" spans="1:33">
      <c r="A297" s="106">
        <v>43027</v>
      </c>
      <c r="B297" s="15" t="s">
        <v>36</v>
      </c>
      <c r="C297" s="33">
        <v>53286</v>
      </c>
      <c r="D297" s="34">
        <f>33506+10352</f>
        <v>43858</v>
      </c>
      <c r="E297" s="34">
        <v>98735</v>
      </c>
      <c r="F297" s="124">
        <v>4954.1</v>
      </c>
      <c r="G297" s="34">
        <v>3220.8</v>
      </c>
      <c r="H297" s="20"/>
      <c r="I297" s="20"/>
      <c r="J297" s="33">
        <f t="shared" si="72"/>
        <v>54877</v>
      </c>
      <c r="K297" s="34">
        <v>264</v>
      </c>
      <c r="L297" s="34">
        <v>789</v>
      </c>
      <c r="M297" s="133">
        <f t="shared" si="73"/>
        <v>538</v>
      </c>
      <c r="N297" s="81">
        <f t="shared" si="82"/>
        <v>1011313</v>
      </c>
      <c r="O297" s="82">
        <f t="shared" si="82"/>
        <v>743902</v>
      </c>
      <c r="P297" s="82">
        <f t="shared" si="82"/>
        <v>1790672</v>
      </c>
      <c r="Q297" s="81">
        <f t="shared" si="81"/>
        <v>17680838.34</v>
      </c>
      <c r="R297" s="81">
        <f t="shared" si="81"/>
        <v>10155252</v>
      </c>
      <c r="S297" s="81">
        <f t="shared" si="81"/>
        <v>28519610.508</v>
      </c>
      <c r="T297" s="86">
        <f>N297/'2016'!N297-1</f>
        <v>0.0846912804297952</v>
      </c>
      <c r="U297" s="86">
        <f>O297/'2016'!O297-1</f>
        <v>0.194729648777088</v>
      </c>
      <c r="V297" s="86">
        <f>P297/'2016'!P297-1</f>
        <v>0.114184719744593</v>
      </c>
      <c r="W297" s="86">
        <f>Q297/'2016'!Q297-1</f>
        <v>0.0864064699073839</v>
      </c>
      <c r="X297" s="86">
        <f>R297/'2016'!R297-1</f>
        <v>0.150756460535472</v>
      </c>
      <c r="Y297" s="86">
        <f>S297/'2016'!S297-1</f>
        <v>0.104845889802915</v>
      </c>
      <c r="Z297" s="143">
        <v>125.74</v>
      </c>
      <c r="AA297" s="143">
        <f>Q297/10000-Z297</f>
        <v>1642.343834</v>
      </c>
      <c r="AB297" s="34">
        <v>4269.48</v>
      </c>
      <c r="AC297" s="34">
        <f>AA297*10000/AB297</f>
        <v>3846.70693854989</v>
      </c>
      <c r="AD297" s="34">
        <f t="shared" si="74"/>
        <v>18364358.508</v>
      </c>
      <c r="AE297" s="34">
        <f t="shared" si="76"/>
        <v>302614.89</v>
      </c>
      <c r="AF297" s="34">
        <f t="shared" si="77"/>
        <v>223381.82</v>
      </c>
      <c r="AG297" s="34">
        <f t="shared" si="75"/>
        <v>157523.458000001</v>
      </c>
    </row>
    <row r="298" ht="15" customHeight="1" spans="1:33">
      <c r="A298" s="106">
        <v>43028</v>
      </c>
      <c r="B298" s="21" t="s">
        <v>37</v>
      </c>
      <c r="C298" s="9">
        <v>52445</v>
      </c>
      <c r="D298" s="38">
        <f>33748+10984</f>
        <v>44732</v>
      </c>
      <c r="E298" s="38">
        <v>98737</v>
      </c>
      <c r="F298" s="13">
        <v>4974.1</v>
      </c>
      <c r="G298" s="38">
        <v>3241.5</v>
      </c>
      <c r="H298" s="25"/>
      <c r="I298" s="37"/>
      <c r="J298" s="9">
        <f t="shared" si="72"/>
        <v>54005</v>
      </c>
      <c r="K298" s="38">
        <v>281</v>
      </c>
      <c r="L298" s="38">
        <v>786</v>
      </c>
      <c r="M298" s="132">
        <f t="shared" si="73"/>
        <v>493</v>
      </c>
      <c r="N298" s="78">
        <f t="shared" si="82"/>
        <v>1063758</v>
      </c>
      <c r="O298" s="79">
        <f t="shared" si="82"/>
        <v>788634</v>
      </c>
      <c r="P298" s="79">
        <f t="shared" si="82"/>
        <v>1889409</v>
      </c>
      <c r="Q298" s="80">
        <f t="shared" si="81"/>
        <v>17733283.34</v>
      </c>
      <c r="R298" s="80">
        <f t="shared" si="81"/>
        <v>10199984</v>
      </c>
      <c r="S298" s="80">
        <f t="shared" si="81"/>
        <v>28618347.508</v>
      </c>
      <c r="T298" s="84">
        <f>N298/'2016'!N298-1</f>
        <v>0.0867692521449164</v>
      </c>
      <c r="U298" s="84">
        <f>O298/'2016'!O298-1</f>
        <v>0.187115400826098</v>
      </c>
      <c r="V298" s="84">
        <f>P298/'2016'!P298-1</f>
        <v>0.113030953706404</v>
      </c>
      <c r="W298" s="85">
        <f>Q298/'2016'!Q298-1</f>
        <v>0.0865262082501639</v>
      </c>
      <c r="X298" s="85">
        <f>R298/'2016'!R298-1</f>
        <v>0.150392645415498</v>
      </c>
      <c r="Y298" s="85">
        <f>S298/'2016'!S298-1</f>
        <v>0.104802862846477</v>
      </c>
      <c r="Z298" s="141"/>
      <c r="AA298" s="141"/>
      <c r="AB298" s="109"/>
      <c r="AC298" s="109"/>
      <c r="AD298" s="38">
        <f t="shared" si="74"/>
        <v>18418363.508</v>
      </c>
      <c r="AE298" s="38">
        <f t="shared" si="76"/>
        <v>302895.89</v>
      </c>
      <c r="AF298" s="38">
        <f t="shared" si="77"/>
        <v>224167.82</v>
      </c>
      <c r="AG298" s="38">
        <f t="shared" si="75"/>
        <v>158016.458000001</v>
      </c>
    </row>
    <row r="299" ht="15" customHeight="1" spans="1:33">
      <c r="A299" s="106">
        <v>43029</v>
      </c>
      <c r="B299" s="21" t="s">
        <v>38</v>
      </c>
      <c r="C299" s="74">
        <v>46618</v>
      </c>
      <c r="D299" s="75">
        <f>35701+11173</f>
        <v>46874</v>
      </c>
      <c r="E299" s="75">
        <v>95580</v>
      </c>
      <c r="F299" s="125">
        <v>4740.2</v>
      </c>
      <c r="G299" s="75">
        <v>3198.5</v>
      </c>
      <c r="H299" s="25"/>
      <c r="I299" s="25"/>
      <c r="J299" s="74">
        <f t="shared" si="72"/>
        <v>48706</v>
      </c>
      <c r="K299" s="75">
        <v>234</v>
      </c>
      <c r="L299" s="75">
        <v>789</v>
      </c>
      <c r="M299" s="134">
        <f t="shared" si="73"/>
        <v>1065</v>
      </c>
      <c r="N299" s="78">
        <f t="shared" si="82"/>
        <v>1110376</v>
      </c>
      <c r="O299" s="79">
        <f t="shared" si="82"/>
        <v>835508</v>
      </c>
      <c r="P299" s="79">
        <f t="shared" si="82"/>
        <v>1984989</v>
      </c>
      <c r="Q299" s="80">
        <f t="shared" si="81"/>
        <v>17779901.34</v>
      </c>
      <c r="R299" s="80">
        <f t="shared" si="81"/>
        <v>10246858</v>
      </c>
      <c r="S299" s="80">
        <f t="shared" si="81"/>
        <v>28713927.508</v>
      </c>
      <c r="T299" s="84">
        <f>N299/'2016'!N299-1</f>
        <v>0.0836774389369113</v>
      </c>
      <c r="U299" s="84">
        <f>O299/'2016'!O299-1</f>
        <v>0.182537952664966</v>
      </c>
      <c r="V299" s="84">
        <f>P299/'2016'!P299-1</f>
        <v>0.109848802530805</v>
      </c>
      <c r="W299" s="85">
        <f>Q299/'2016'!Q299-1</f>
        <v>0.0863333278955267</v>
      </c>
      <c r="X299" s="85">
        <f>R299/'2016'!R299-1</f>
        <v>0.150203609177241</v>
      </c>
      <c r="Y299" s="85">
        <f>S299/'2016'!S299-1</f>
        <v>0.104612719329278</v>
      </c>
      <c r="Z299" s="144"/>
      <c r="AA299" s="144"/>
      <c r="AB299" s="109"/>
      <c r="AC299" s="109"/>
      <c r="AD299" s="38">
        <f t="shared" si="74"/>
        <v>18467069.508</v>
      </c>
      <c r="AE299" s="75">
        <f t="shared" si="76"/>
        <v>303129.89</v>
      </c>
      <c r="AF299" s="75">
        <f t="shared" si="77"/>
        <v>224956.82</v>
      </c>
      <c r="AG299" s="75">
        <f t="shared" si="75"/>
        <v>159081.458000001</v>
      </c>
    </row>
    <row r="300" ht="15" customHeight="1" spans="1:33">
      <c r="A300" s="106">
        <v>43030</v>
      </c>
      <c r="B300" s="21" t="s">
        <v>1</v>
      </c>
      <c r="C300" s="9">
        <v>41669</v>
      </c>
      <c r="D300" s="38">
        <f>36102+11081</f>
        <v>47183</v>
      </c>
      <c r="E300" s="38">
        <v>91016</v>
      </c>
      <c r="F300" s="13">
        <v>4458.7</v>
      </c>
      <c r="G300" s="38">
        <v>3161.6</v>
      </c>
      <c r="H300" s="25"/>
      <c r="I300" s="37"/>
      <c r="J300" s="9">
        <f t="shared" si="72"/>
        <v>43833</v>
      </c>
      <c r="K300" s="38">
        <v>349</v>
      </c>
      <c r="L300" s="38">
        <v>792</v>
      </c>
      <c r="M300" s="132">
        <f t="shared" si="73"/>
        <v>1023</v>
      </c>
      <c r="N300" s="78">
        <f t="shared" si="82"/>
        <v>1152045</v>
      </c>
      <c r="O300" s="79">
        <f t="shared" si="82"/>
        <v>882691</v>
      </c>
      <c r="P300" s="79">
        <f t="shared" si="82"/>
        <v>2076005</v>
      </c>
      <c r="Q300" s="80">
        <f t="shared" si="81"/>
        <v>17821570.34</v>
      </c>
      <c r="R300" s="80">
        <f t="shared" si="81"/>
        <v>10294041</v>
      </c>
      <c r="S300" s="80">
        <f t="shared" si="81"/>
        <v>28804943.508</v>
      </c>
      <c r="T300" s="84">
        <f>N300/'2016'!N300-1</f>
        <v>0.0738053915601447</v>
      </c>
      <c r="U300" s="84">
        <f>O300/'2016'!O300-1</f>
        <v>0.184303491765337</v>
      </c>
      <c r="V300" s="84">
        <f>P300/'2016'!P300-1</f>
        <v>0.105402187583531</v>
      </c>
      <c r="W300" s="85">
        <f>Q300/'2016'!Q300-1</f>
        <v>0.0856803064102249</v>
      </c>
      <c r="X300" s="85">
        <f>R300/'2016'!R300-1</f>
        <v>0.150490845453171</v>
      </c>
      <c r="Y300" s="85">
        <f>S300/'2016'!S300-1</f>
        <v>0.104310535746529</v>
      </c>
      <c r="Z300" s="141"/>
      <c r="AA300" s="141"/>
      <c r="AB300" s="109"/>
      <c r="AC300" s="109"/>
      <c r="AD300" s="38">
        <f t="shared" si="74"/>
        <v>18510902.508</v>
      </c>
      <c r="AE300" s="38">
        <f t="shared" si="76"/>
        <v>303478.89</v>
      </c>
      <c r="AF300" s="38">
        <f t="shared" si="77"/>
        <v>225748.82</v>
      </c>
      <c r="AG300" s="38">
        <f t="shared" si="75"/>
        <v>160104.458000001</v>
      </c>
    </row>
    <row r="301" ht="15" customHeight="1" spans="1:33">
      <c r="A301" s="106">
        <v>43031</v>
      </c>
      <c r="B301" s="21" t="s">
        <v>39</v>
      </c>
      <c r="C301" s="9">
        <v>46863</v>
      </c>
      <c r="D301" s="38">
        <f>36747+11217</f>
        <v>47964</v>
      </c>
      <c r="E301" s="38">
        <v>96670</v>
      </c>
      <c r="F301" s="13">
        <v>4882.3</v>
      </c>
      <c r="G301" s="38">
        <v>3041</v>
      </c>
      <c r="H301" s="25"/>
      <c r="I301" s="37"/>
      <c r="J301" s="9">
        <f t="shared" si="72"/>
        <v>48706</v>
      </c>
      <c r="K301" s="38">
        <v>331</v>
      </c>
      <c r="L301" s="38">
        <v>788</v>
      </c>
      <c r="M301" s="132">
        <f t="shared" si="73"/>
        <v>724</v>
      </c>
      <c r="N301" s="78">
        <f t="shared" si="82"/>
        <v>1198908</v>
      </c>
      <c r="O301" s="79">
        <f t="shared" si="82"/>
        <v>930655</v>
      </c>
      <c r="P301" s="79">
        <f t="shared" si="82"/>
        <v>2172675</v>
      </c>
      <c r="Q301" s="80">
        <f t="shared" si="81"/>
        <v>17868433.34</v>
      </c>
      <c r="R301" s="80">
        <f t="shared" si="81"/>
        <v>10342005</v>
      </c>
      <c r="S301" s="80">
        <f t="shared" si="81"/>
        <v>28901613.508</v>
      </c>
      <c r="T301" s="84">
        <f>N301/'2016'!N301-1</f>
        <v>0.0723560459493762</v>
      </c>
      <c r="U301" s="84">
        <f>O301/'2016'!O301-1</f>
        <v>0.190181138291233</v>
      </c>
      <c r="V301" s="84">
        <f>P301/'2016'!P301-1</f>
        <v>0.107307693091772</v>
      </c>
      <c r="W301" s="85">
        <f>Q301/'2016'!Q301-1</f>
        <v>0.0855492908408726</v>
      </c>
      <c r="X301" s="85">
        <f>R301/'2016'!R301-1</f>
        <v>0.151140231563622</v>
      </c>
      <c r="Y301" s="85">
        <f>S301/'2016'!S301-1</f>
        <v>0.104456920214727</v>
      </c>
      <c r="Z301" s="141"/>
      <c r="AA301" s="141"/>
      <c r="AB301" s="109"/>
      <c r="AC301" s="109"/>
      <c r="AD301" s="38">
        <f t="shared" si="74"/>
        <v>18559608.508</v>
      </c>
      <c r="AE301" s="38">
        <f t="shared" si="76"/>
        <v>303809.89</v>
      </c>
      <c r="AF301" s="38">
        <f t="shared" si="77"/>
        <v>226536.82</v>
      </c>
      <c r="AG301" s="38">
        <f t="shared" si="75"/>
        <v>160828.458000001</v>
      </c>
    </row>
    <row r="302" ht="15" customHeight="1" spans="1:33">
      <c r="A302" s="106">
        <v>43032</v>
      </c>
      <c r="B302" s="21" t="s">
        <v>34</v>
      </c>
      <c r="C302" s="9">
        <v>50497</v>
      </c>
      <c r="D302" s="38">
        <f>33378+11262</f>
        <v>44640</v>
      </c>
      <c r="E302" s="38">
        <v>97200</v>
      </c>
      <c r="F302" s="13">
        <v>4811.6</v>
      </c>
      <c r="G302" s="38">
        <v>3220</v>
      </c>
      <c r="H302" s="25"/>
      <c r="I302" s="37"/>
      <c r="J302" s="9">
        <f t="shared" si="72"/>
        <v>52560</v>
      </c>
      <c r="K302" s="38">
        <v>310</v>
      </c>
      <c r="L302" s="38">
        <v>791</v>
      </c>
      <c r="M302" s="132">
        <f t="shared" si="73"/>
        <v>962</v>
      </c>
      <c r="N302" s="78">
        <f t="shared" si="82"/>
        <v>1249405</v>
      </c>
      <c r="O302" s="79">
        <f t="shared" si="82"/>
        <v>975295</v>
      </c>
      <c r="P302" s="79">
        <f t="shared" si="82"/>
        <v>2269875</v>
      </c>
      <c r="Q302" s="80">
        <f t="shared" si="81"/>
        <v>17918930.34</v>
      </c>
      <c r="R302" s="80">
        <f t="shared" si="81"/>
        <v>10386645</v>
      </c>
      <c r="S302" s="80">
        <f t="shared" si="81"/>
        <v>28998813.508</v>
      </c>
      <c r="T302" s="84">
        <f>N302/'2016'!N302-1</f>
        <v>0.0715749876495773</v>
      </c>
      <c r="U302" s="84">
        <f>O302/'2016'!O302-1</f>
        <v>0.188143840088883</v>
      </c>
      <c r="V302" s="84">
        <f>P302/'2016'!P302-1</f>
        <v>0.106809054684254</v>
      </c>
      <c r="W302" s="85">
        <f>Q302/'2016'!Q302-1</f>
        <v>0.0854558132536252</v>
      </c>
      <c r="X302" s="85">
        <f>R302/'2016'!R302-1</f>
        <v>0.151123256299531</v>
      </c>
      <c r="Y302" s="85">
        <f>S302/'2016'!S302-1</f>
        <v>0.104427604206709</v>
      </c>
      <c r="Z302" s="141"/>
      <c r="AA302" s="141"/>
      <c r="AB302" s="109"/>
      <c r="AC302" s="109"/>
      <c r="AD302" s="38">
        <f t="shared" si="74"/>
        <v>18612168.508</v>
      </c>
      <c r="AE302" s="38">
        <f t="shared" si="76"/>
        <v>304119.89</v>
      </c>
      <c r="AF302" s="38">
        <f t="shared" si="77"/>
        <v>227327.82</v>
      </c>
      <c r="AG302" s="38">
        <f t="shared" si="75"/>
        <v>161790.458000001</v>
      </c>
    </row>
    <row r="303" ht="15" customHeight="1" spans="1:33">
      <c r="A303" s="106">
        <v>43033</v>
      </c>
      <c r="B303" s="21" t="s">
        <v>35</v>
      </c>
      <c r="C303" s="9">
        <v>51086</v>
      </c>
      <c r="D303" s="38">
        <f>34268+10919</f>
        <v>45187</v>
      </c>
      <c r="E303" s="38">
        <v>98292</v>
      </c>
      <c r="F303" s="13">
        <v>4824.2</v>
      </c>
      <c r="G303" s="38">
        <v>3265.3</v>
      </c>
      <c r="H303" s="25"/>
      <c r="I303" s="37"/>
      <c r="J303" s="9">
        <f t="shared" si="72"/>
        <v>53105</v>
      </c>
      <c r="K303" s="38">
        <v>338</v>
      </c>
      <c r="L303" s="38">
        <v>790</v>
      </c>
      <c r="M303" s="132">
        <f t="shared" si="73"/>
        <v>891</v>
      </c>
      <c r="N303" s="78">
        <f t="shared" si="82"/>
        <v>1300491</v>
      </c>
      <c r="O303" s="79">
        <f t="shared" si="82"/>
        <v>1020482</v>
      </c>
      <c r="P303" s="79">
        <f t="shared" si="82"/>
        <v>2368167</v>
      </c>
      <c r="Q303" s="80">
        <f t="shared" si="81"/>
        <v>17970016.34</v>
      </c>
      <c r="R303" s="80">
        <f t="shared" si="81"/>
        <v>10431832</v>
      </c>
      <c r="S303" s="80">
        <f t="shared" si="81"/>
        <v>29097105.508</v>
      </c>
      <c r="T303" s="84">
        <f>N303/'2016'!N303-1</f>
        <v>0.0712393513705862</v>
      </c>
      <c r="U303" s="84">
        <f>O303/'2016'!O303-1</f>
        <v>0.184778835448093</v>
      </c>
      <c r="V303" s="84">
        <f>P303/'2016'!P303-1</f>
        <v>0.105835157194496</v>
      </c>
      <c r="W303" s="85">
        <f>Q303/'2016'!Q303-1</f>
        <v>0.08539091372195</v>
      </c>
      <c r="X303" s="85">
        <f>R303/'2016'!R303-1</f>
        <v>0.150968778917425</v>
      </c>
      <c r="Y303" s="85">
        <f>S303/'2016'!S303-1</f>
        <v>0.104356643416144</v>
      </c>
      <c r="Z303" s="141">
        <f>(Z304-Z297)/7*6+Z297</f>
        <v>126.888571428571</v>
      </c>
      <c r="AA303" s="141">
        <f>Q303/10000-Z303</f>
        <v>1670.11306257143</v>
      </c>
      <c r="AB303" s="109"/>
      <c r="AC303" s="109"/>
      <c r="AD303" s="38">
        <f t="shared" si="74"/>
        <v>18665273.508</v>
      </c>
      <c r="AE303" s="38">
        <f t="shared" si="76"/>
        <v>304457.89</v>
      </c>
      <c r="AF303" s="38">
        <f t="shared" si="77"/>
        <v>228117.82</v>
      </c>
      <c r="AG303" s="38">
        <f t="shared" si="75"/>
        <v>162681.458000001</v>
      </c>
    </row>
    <row r="304" ht="15" customHeight="1" spans="1:33">
      <c r="A304" s="106">
        <v>43034</v>
      </c>
      <c r="B304" s="15" t="s">
        <v>36</v>
      </c>
      <c r="C304" s="33">
        <v>50402</v>
      </c>
      <c r="D304" s="34">
        <f>35906+11014</f>
        <v>46920</v>
      </c>
      <c r="E304" s="34">
        <v>99016</v>
      </c>
      <c r="F304" s="124">
        <v>4887.7</v>
      </c>
      <c r="G304" s="34">
        <v>3261.8</v>
      </c>
      <c r="H304" s="20"/>
      <c r="I304" s="20"/>
      <c r="J304" s="33">
        <f t="shared" si="72"/>
        <v>52096</v>
      </c>
      <c r="K304" s="34">
        <v>171</v>
      </c>
      <c r="L304" s="34">
        <v>791</v>
      </c>
      <c r="M304" s="133">
        <f t="shared" si="73"/>
        <v>732</v>
      </c>
      <c r="N304" s="81">
        <f t="shared" si="82"/>
        <v>1350893</v>
      </c>
      <c r="O304" s="82">
        <f t="shared" si="82"/>
        <v>1067402</v>
      </c>
      <c r="P304" s="82">
        <f t="shared" si="82"/>
        <v>2467183</v>
      </c>
      <c r="Q304" s="81">
        <f t="shared" si="81"/>
        <v>18020418.34</v>
      </c>
      <c r="R304" s="81">
        <f t="shared" si="81"/>
        <v>10478752</v>
      </c>
      <c r="S304" s="81">
        <f t="shared" si="81"/>
        <v>29196121.508</v>
      </c>
      <c r="T304" s="86">
        <f>N304/'2016'!N304-1</f>
        <v>0.0688924495084366</v>
      </c>
      <c r="U304" s="86">
        <f>O304/'2016'!O304-1</f>
        <v>0.183121977497005</v>
      </c>
      <c r="V304" s="86">
        <f>P304/'2016'!P304-1</f>
        <v>0.104553673879534</v>
      </c>
      <c r="W304" s="86">
        <f>Q304/'2016'!Q304-1</f>
        <v>0.0851698447092966</v>
      </c>
      <c r="X304" s="86">
        <f>R304/'2016'!R304-1</f>
        <v>0.150956346649148</v>
      </c>
      <c r="Y304" s="86">
        <f>S304/'2016'!S304-1</f>
        <v>0.104253534461024</v>
      </c>
      <c r="Z304" s="143">
        <v>127.08</v>
      </c>
      <c r="AA304" s="143">
        <f>Q304/10000-Z304</f>
        <v>1674.961834</v>
      </c>
      <c r="AB304" s="34">
        <v>4269.48</v>
      </c>
      <c r="AC304" s="34">
        <f>AA304*10000/AB304</f>
        <v>3923.10500107741</v>
      </c>
      <c r="AD304" s="34">
        <f t="shared" si="74"/>
        <v>18717369.508</v>
      </c>
      <c r="AE304" s="34">
        <f t="shared" si="76"/>
        <v>304628.89</v>
      </c>
      <c r="AF304" s="34">
        <f t="shared" si="77"/>
        <v>228908.82</v>
      </c>
      <c r="AG304" s="34">
        <f t="shared" si="75"/>
        <v>163413.458000001</v>
      </c>
    </row>
    <row r="305" ht="15" customHeight="1" spans="1:33">
      <c r="A305" s="106">
        <v>43035</v>
      </c>
      <c r="B305" s="21" t="s">
        <v>37</v>
      </c>
      <c r="C305" s="9">
        <v>46631</v>
      </c>
      <c r="D305" s="38">
        <f>39058+11028</f>
        <v>50086</v>
      </c>
      <c r="E305" s="38">
        <v>98527</v>
      </c>
      <c r="F305" s="13">
        <v>4878.7</v>
      </c>
      <c r="G305" s="38">
        <v>3252.4</v>
      </c>
      <c r="H305" s="25"/>
      <c r="I305" s="37"/>
      <c r="J305" s="9">
        <f t="shared" si="72"/>
        <v>48441</v>
      </c>
      <c r="K305" s="38">
        <v>214</v>
      </c>
      <c r="L305" s="38">
        <v>789</v>
      </c>
      <c r="M305" s="132">
        <f t="shared" si="73"/>
        <v>807</v>
      </c>
      <c r="N305" s="78">
        <f t="shared" si="82"/>
        <v>1397524</v>
      </c>
      <c r="O305" s="79">
        <f t="shared" si="82"/>
        <v>1117488</v>
      </c>
      <c r="P305" s="79">
        <f t="shared" si="82"/>
        <v>2565710</v>
      </c>
      <c r="Q305" s="80">
        <f t="shared" si="81"/>
        <v>18067049.34</v>
      </c>
      <c r="R305" s="80">
        <f t="shared" si="81"/>
        <v>10528838</v>
      </c>
      <c r="S305" s="80">
        <f t="shared" si="81"/>
        <v>29294648.508</v>
      </c>
      <c r="T305" s="84">
        <f>N305/'2016'!N305-1</f>
        <v>0.0640003289017879</v>
      </c>
      <c r="U305" s="84">
        <f>O305/'2016'!O305-1</f>
        <v>0.184000406855515</v>
      </c>
      <c r="V305" s="84">
        <f>P305/'2016'!P305-1</f>
        <v>0.102820634275207</v>
      </c>
      <c r="W305" s="85">
        <f>Q305/'2016'!Q305-1</f>
        <v>0.0847355448741387</v>
      </c>
      <c r="X305" s="85">
        <f>R305/'2016'!R305-1</f>
        <v>0.151193415277902</v>
      </c>
      <c r="Y305" s="85">
        <f>S305/'2016'!S305-1</f>
        <v>0.104102623740602</v>
      </c>
      <c r="Z305" s="141"/>
      <c r="AA305" s="141"/>
      <c r="AB305" s="109"/>
      <c r="AC305" s="109"/>
      <c r="AD305" s="38">
        <f t="shared" si="74"/>
        <v>18765810.508</v>
      </c>
      <c r="AE305" s="38">
        <f t="shared" si="76"/>
        <v>304842.89</v>
      </c>
      <c r="AF305" s="38">
        <f t="shared" si="77"/>
        <v>229697.82</v>
      </c>
      <c r="AG305" s="38">
        <f t="shared" si="75"/>
        <v>164220.458000001</v>
      </c>
    </row>
    <row r="306" ht="15" customHeight="1" spans="1:33">
      <c r="A306" s="106">
        <v>43036</v>
      </c>
      <c r="B306" s="21" t="s">
        <v>38</v>
      </c>
      <c r="C306" s="74">
        <v>45639</v>
      </c>
      <c r="D306" s="75">
        <f>37481+11010</f>
        <v>48491</v>
      </c>
      <c r="E306" s="75">
        <v>96135</v>
      </c>
      <c r="F306" s="125">
        <v>4782</v>
      </c>
      <c r="G306" s="75">
        <v>3211.9</v>
      </c>
      <c r="H306" s="25"/>
      <c r="I306" s="25"/>
      <c r="J306" s="74">
        <f t="shared" si="72"/>
        <v>47644</v>
      </c>
      <c r="K306" s="75">
        <v>197</v>
      </c>
      <c r="L306" s="75">
        <v>792</v>
      </c>
      <c r="M306" s="134">
        <f t="shared" si="73"/>
        <v>1016</v>
      </c>
      <c r="N306" s="78">
        <f t="shared" si="82"/>
        <v>1443163</v>
      </c>
      <c r="O306" s="79">
        <f t="shared" si="82"/>
        <v>1165979</v>
      </c>
      <c r="P306" s="79">
        <f t="shared" si="82"/>
        <v>2661845</v>
      </c>
      <c r="Q306" s="80">
        <f t="shared" si="81"/>
        <v>18112688.34</v>
      </c>
      <c r="R306" s="80">
        <f t="shared" si="81"/>
        <v>10577329</v>
      </c>
      <c r="S306" s="80">
        <f t="shared" si="81"/>
        <v>29390783.508</v>
      </c>
      <c r="T306" s="84">
        <f>N306/'2016'!N306-1</f>
        <v>0.0602052143275362</v>
      </c>
      <c r="U306" s="84">
        <f>O306/'2016'!O306-1</f>
        <v>0.183099634815414</v>
      </c>
      <c r="V306" s="84">
        <f>P306/'2016'!P306-1</f>
        <v>0.101223745123429</v>
      </c>
      <c r="W306" s="85">
        <f>Q306/'2016'!Q306-1</f>
        <v>0.0843669963846427</v>
      </c>
      <c r="X306" s="85">
        <f>R306/'2016'!R306-1</f>
        <v>0.151245710989391</v>
      </c>
      <c r="Y306" s="85">
        <f>S306/'2016'!S306-1</f>
        <v>0.103953273132581</v>
      </c>
      <c r="Z306" s="144"/>
      <c r="AA306" s="144"/>
      <c r="AB306" s="109"/>
      <c r="AC306" s="109"/>
      <c r="AD306" s="38">
        <f t="shared" si="74"/>
        <v>18813454.508</v>
      </c>
      <c r="AE306" s="75">
        <f t="shared" si="76"/>
        <v>305039.89</v>
      </c>
      <c r="AF306" s="75">
        <f t="shared" si="77"/>
        <v>230489.82</v>
      </c>
      <c r="AG306" s="75">
        <f t="shared" si="75"/>
        <v>165236.458000001</v>
      </c>
    </row>
    <row r="307" ht="15" customHeight="1" spans="1:33">
      <c r="A307" s="106">
        <v>43037</v>
      </c>
      <c r="B307" s="21" t="s">
        <v>1</v>
      </c>
      <c r="C307" s="9">
        <v>41374</v>
      </c>
      <c r="D307" s="38">
        <f>37457+11083</f>
        <v>48540</v>
      </c>
      <c r="E307" s="38">
        <v>91890</v>
      </c>
      <c r="F307" s="13">
        <v>4506.3</v>
      </c>
      <c r="G307" s="38">
        <v>3159</v>
      </c>
      <c r="H307" s="25"/>
      <c r="I307" s="37"/>
      <c r="J307" s="9">
        <f t="shared" si="72"/>
        <v>43350</v>
      </c>
      <c r="K307" s="38">
        <v>332</v>
      </c>
      <c r="L307" s="38">
        <v>789</v>
      </c>
      <c r="M307" s="132">
        <f t="shared" si="73"/>
        <v>855</v>
      </c>
      <c r="N307" s="78">
        <f t="shared" si="82"/>
        <v>1484537</v>
      </c>
      <c r="O307" s="79">
        <f t="shared" si="82"/>
        <v>1214519</v>
      </c>
      <c r="P307" s="79">
        <f t="shared" si="82"/>
        <v>2753735</v>
      </c>
      <c r="Q307" s="80">
        <f t="shared" si="81"/>
        <v>18154062.34</v>
      </c>
      <c r="R307" s="80">
        <f t="shared" si="81"/>
        <v>10625869</v>
      </c>
      <c r="S307" s="80">
        <f t="shared" si="81"/>
        <v>29482673.508</v>
      </c>
      <c r="T307" s="84">
        <f>N307/'2016'!N307-1</f>
        <v>0.0545766205941711</v>
      </c>
      <c r="U307" s="84">
        <f>O307/'2016'!O307-1</f>
        <v>0.183881334933262</v>
      </c>
      <c r="V307" s="84">
        <f>P307/'2016'!P307-1</f>
        <v>0.098997078637336</v>
      </c>
      <c r="W307" s="85">
        <f>Q307/'2016'!Q307-1</f>
        <v>0.0838268820263206</v>
      </c>
      <c r="X307" s="85">
        <f>R307/'2016'!R307-1</f>
        <v>0.151471894192451</v>
      </c>
      <c r="Y307" s="85">
        <f>S307/'2016'!S307-1</f>
        <v>0.103735357420784</v>
      </c>
      <c r="Z307" s="141"/>
      <c r="AA307" s="141"/>
      <c r="AB307" s="109"/>
      <c r="AC307" s="109"/>
      <c r="AD307" s="38">
        <f t="shared" si="74"/>
        <v>18856804.508</v>
      </c>
      <c r="AE307" s="38">
        <f t="shared" si="76"/>
        <v>305371.89</v>
      </c>
      <c r="AF307" s="38">
        <f t="shared" si="77"/>
        <v>231278.82</v>
      </c>
      <c r="AG307" s="38">
        <f t="shared" si="75"/>
        <v>166091.458000001</v>
      </c>
    </row>
    <row r="308" ht="15" customHeight="1" spans="1:33">
      <c r="A308" s="106">
        <v>43038</v>
      </c>
      <c r="B308" s="21" t="s">
        <v>39</v>
      </c>
      <c r="C308" s="9">
        <v>45043</v>
      </c>
      <c r="D308" s="38">
        <f>37052+11112</f>
        <v>48164</v>
      </c>
      <c r="E308" s="38">
        <v>95425</v>
      </c>
      <c r="F308" s="13">
        <v>4748.7</v>
      </c>
      <c r="G308" s="38">
        <v>3022.6</v>
      </c>
      <c r="H308" s="25"/>
      <c r="I308" s="37"/>
      <c r="J308" s="9">
        <f t="shared" si="72"/>
        <v>47261</v>
      </c>
      <c r="K308" s="38">
        <v>449</v>
      </c>
      <c r="L308" s="38">
        <v>790</v>
      </c>
      <c r="M308" s="132">
        <f t="shared" si="73"/>
        <v>979</v>
      </c>
      <c r="N308" s="78">
        <f t="shared" si="82"/>
        <v>1529580</v>
      </c>
      <c r="O308" s="79">
        <f t="shared" si="82"/>
        <v>1262683</v>
      </c>
      <c r="P308" s="79">
        <f t="shared" si="82"/>
        <v>2849160</v>
      </c>
      <c r="Q308" s="80">
        <f>Q$278+N308</f>
        <v>18199105.34</v>
      </c>
      <c r="R308" s="80">
        <f t="shared" si="81"/>
        <v>10674033</v>
      </c>
      <c r="S308" s="80">
        <f t="shared" si="81"/>
        <v>29578098.508</v>
      </c>
      <c r="T308" s="84">
        <f>N308/'2016'!N308-1</f>
        <v>0.0546623705529121</v>
      </c>
      <c r="U308" s="84">
        <f>O308/'2016'!O308-1</f>
        <v>0.183028507557637</v>
      </c>
      <c r="V308" s="84">
        <f>P308/'2016'!P308-1</f>
        <v>0.099625322458885</v>
      </c>
      <c r="W308" s="85">
        <f>Q308/'2016'!Q308-1</f>
        <v>0.083760095170724</v>
      </c>
      <c r="X308" s="85">
        <f>R308/'2016'!R308-1</f>
        <v>0.151518626570698</v>
      </c>
      <c r="Y308" s="85">
        <f>S308/'2016'!S308-1</f>
        <v>0.103781011466308</v>
      </c>
      <c r="Z308" s="141"/>
      <c r="AA308" s="141"/>
      <c r="AB308" s="109"/>
      <c r="AC308" s="109"/>
      <c r="AD308" s="38">
        <f t="shared" si="74"/>
        <v>18904065.508</v>
      </c>
      <c r="AE308" s="38">
        <f t="shared" si="76"/>
        <v>305820.89</v>
      </c>
      <c r="AF308" s="38">
        <f t="shared" si="77"/>
        <v>232068.82</v>
      </c>
      <c r="AG308" s="38">
        <f t="shared" si="75"/>
        <v>167070.458000001</v>
      </c>
    </row>
    <row r="309" s="1" customFormat="1" ht="15" customHeight="1" spans="1:33">
      <c r="A309" s="26">
        <v>43039</v>
      </c>
      <c r="B309" s="26" t="s">
        <v>34</v>
      </c>
      <c r="C309" s="43">
        <v>44005</v>
      </c>
      <c r="D309" s="44">
        <f>39472+11036</f>
        <v>50508</v>
      </c>
      <c r="E309" s="44">
        <v>96429</v>
      </c>
      <c r="F309" s="127">
        <v>4775.6</v>
      </c>
      <c r="G309" s="44">
        <v>3213.2</v>
      </c>
      <c r="H309" s="31"/>
      <c r="I309" s="31"/>
      <c r="J309" s="43">
        <f t="shared" si="72"/>
        <v>45921</v>
      </c>
      <c r="K309" s="44">
        <v>312</v>
      </c>
      <c r="L309" s="44">
        <v>791</v>
      </c>
      <c r="M309" s="135">
        <f t="shared" si="73"/>
        <v>813</v>
      </c>
      <c r="N309" s="91">
        <f t="shared" si="82"/>
        <v>1573585</v>
      </c>
      <c r="O309" s="92">
        <f t="shared" si="82"/>
        <v>1313191</v>
      </c>
      <c r="P309" s="92">
        <f t="shared" si="82"/>
        <v>2945589</v>
      </c>
      <c r="Q309" s="91" t="str">
        <f>[16]日发电量查询!$D$10</f>
        <v>18243119.930</v>
      </c>
      <c r="R309" s="91">
        <f>[16]日发电量查询!$D$15</f>
        <v>10724540</v>
      </c>
      <c r="S309" s="91" t="str">
        <f>[16]日发电量查询!$D$2</f>
        <v>29674529.478</v>
      </c>
      <c r="T309" s="93">
        <f>N309/'2016'!N309-1</f>
        <v>0.0513577383032331</v>
      </c>
      <c r="U309" s="93">
        <f>O309/'2016'!O309-1</f>
        <v>0.184268029504096</v>
      </c>
      <c r="V309" s="93">
        <f>P309/'2016'!P309-1</f>
        <v>0.098809680573311</v>
      </c>
      <c r="W309" s="93">
        <f>Q309/'2016'!Q309-1</f>
        <v>0.0833867320768316</v>
      </c>
      <c r="X309" s="93">
        <f>R309/'2016'!R309-1</f>
        <v>0.151806684932401</v>
      </c>
      <c r="Y309" s="93">
        <f>S309/'2016'!S309-1</f>
        <v>0.103685900875896</v>
      </c>
      <c r="Z309" s="146">
        <f>[16]日发电量查询!$D$12/10000</f>
        <v>127.969215</v>
      </c>
      <c r="AA309" s="146">
        <f>[16]日发电量查询!$D$11/10000</f>
        <v>1696.342778</v>
      </c>
      <c r="AB309" s="44">
        <v>4269.48</v>
      </c>
      <c r="AC309" s="44">
        <f>AA309*10000/AB309</f>
        <v>3973.18356802234</v>
      </c>
      <c r="AD309" s="44" t="str">
        <f>[16]日发电量查询!$D$4</f>
        <v>18949989.478</v>
      </c>
      <c r="AE309" s="44" t="str">
        <f>[16]日发电量查询!$D$14</f>
        <v>306134.920</v>
      </c>
      <c r="AF309" s="44" t="str">
        <f>[16]日发电量查询!$D$16</f>
        <v>233139.060</v>
      </c>
      <c r="AG309" s="44">
        <f>[16]日发电量查询!$D$124+[16]日发电量查询!$D$125</f>
        <v>167595.568</v>
      </c>
    </row>
    <row r="310" ht="15" customHeight="1" spans="1:33">
      <c r="A310" s="106">
        <v>43040</v>
      </c>
      <c r="B310" s="21" t="s">
        <v>35</v>
      </c>
      <c r="C310" s="9">
        <v>45221</v>
      </c>
      <c r="D310" s="38">
        <v>47690</v>
      </c>
      <c r="E310" s="38">
        <v>94898</v>
      </c>
      <c r="F310" s="13">
        <v>4580</v>
      </c>
      <c r="G310" s="38">
        <v>3178</v>
      </c>
      <c r="H310" s="25"/>
      <c r="I310" s="37"/>
      <c r="J310" s="9">
        <f t="shared" si="72"/>
        <v>47208</v>
      </c>
      <c r="K310" s="38">
        <v>357</v>
      </c>
      <c r="L310" s="38">
        <v>806</v>
      </c>
      <c r="M310" s="132">
        <f t="shared" si="73"/>
        <v>824</v>
      </c>
      <c r="N310" s="78">
        <f>C310</f>
        <v>45221</v>
      </c>
      <c r="O310" s="79">
        <f>D310</f>
        <v>47690</v>
      </c>
      <c r="P310" s="79">
        <f>E310</f>
        <v>94898</v>
      </c>
      <c r="Q310" s="80">
        <f>Q$309+N310</f>
        <v>18288340.93</v>
      </c>
      <c r="R310" s="80">
        <f>R$309+O310</f>
        <v>10772230</v>
      </c>
      <c r="S310" s="80">
        <f>S$309+P310</f>
        <v>29769427.478</v>
      </c>
      <c r="T310" s="84">
        <f>N310/'2016'!N310-1</f>
        <v>-0.0215716820286469</v>
      </c>
      <c r="U310" s="84">
        <f>O310/'2016'!O310-1</f>
        <v>0.20110817277421</v>
      </c>
      <c r="V310" s="84">
        <f>P310/'2016'!P310-1</f>
        <v>0.0874567414571541</v>
      </c>
      <c r="W310" s="85">
        <f>Q310/'2016'!Q310-1</f>
        <v>0.0830994408058516</v>
      </c>
      <c r="X310" s="85">
        <f>R310/'2016'!R310-1</f>
        <v>0.152016027781259</v>
      </c>
      <c r="Y310" s="85">
        <f>S310/'2016'!S310-1</f>
        <v>0.103633396506395</v>
      </c>
      <c r="Z310" s="141">
        <f>(Z311-Z304)/7*6+Z304</f>
        <v>128.237142857143</v>
      </c>
      <c r="AA310" s="141">
        <f>Q310/10000-Z310</f>
        <v>1700.59695014286</v>
      </c>
      <c r="AB310" s="109"/>
      <c r="AC310" s="109"/>
      <c r="AD310" s="38">
        <f t="shared" si="74"/>
        <v>18997197.478</v>
      </c>
      <c r="AE310" s="38">
        <f t="shared" si="76"/>
        <v>306491.92</v>
      </c>
      <c r="AF310" s="38">
        <f t="shared" si="77"/>
        <v>233945.06</v>
      </c>
      <c r="AG310" s="38">
        <f t="shared" si="75"/>
        <v>168419.568</v>
      </c>
    </row>
    <row r="311" ht="15" customHeight="1" spans="1:33">
      <c r="A311" s="106">
        <v>43041</v>
      </c>
      <c r="B311" s="15" t="s">
        <v>36</v>
      </c>
      <c r="C311" s="33">
        <v>48671</v>
      </c>
      <c r="D311" s="34">
        <v>47391</v>
      </c>
      <c r="E311" s="34">
        <v>98176</v>
      </c>
      <c r="F311" s="124">
        <v>4853</v>
      </c>
      <c r="G311" s="34">
        <v>3188</v>
      </c>
      <c r="H311" s="20"/>
      <c r="I311" s="20"/>
      <c r="J311" s="33">
        <f t="shared" si="72"/>
        <v>50785</v>
      </c>
      <c r="K311" s="34">
        <v>671</v>
      </c>
      <c r="L311" s="34">
        <v>774</v>
      </c>
      <c r="M311" s="133">
        <f t="shared" si="73"/>
        <v>669</v>
      </c>
      <c r="N311" s="81">
        <f t="shared" ref="N311:P326" si="83">C311+N310</f>
        <v>93892</v>
      </c>
      <c r="O311" s="82">
        <f t="shared" si="83"/>
        <v>95081</v>
      </c>
      <c r="P311" s="82">
        <f t="shared" si="83"/>
        <v>193074</v>
      </c>
      <c r="Q311" s="81">
        <f t="shared" ref="Q311:S338" si="84">Q$309+N311</f>
        <v>18337011.93</v>
      </c>
      <c r="R311" s="81">
        <f t="shared" si="84"/>
        <v>10819621</v>
      </c>
      <c r="S311" s="81">
        <f t="shared" si="84"/>
        <v>29867603.478</v>
      </c>
      <c r="T311" s="86">
        <f>N311/'2016'!N311-1</f>
        <v>-0.0187078029305408</v>
      </c>
      <c r="U311" s="86">
        <f>O311/'2016'!O311-1</f>
        <v>0.202932655204261</v>
      </c>
      <c r="V311" s="86">
        <f>P311/'2016'!P311-1</f>
        <v>0.0885626331991476</v>
      </c>
      <c r="W311" s="86">
        <f>Q311/'2016'!Q311-1</f>
        <v>0.0828098907240802</v>
      </c>
      <c r="X311" s="86">
        <f>R311/'2016'!R311-1</f>
        <v>0.152237036879266</v>
      </c>
      <c r="Y311" s="86">
        <f>S311/'2016'!S311-1</f>
        <v>0.103586789814488</v>
      </c>
      <c r="Z311" s="143">
        <v>128.43</v>
      </c>
      <c r="AA311" s="143">
        <f>Q311/10000-Z311</f>
        <v>1705.271193</v>
      </c>
      <c r="AB311" s="34">
        <v>4269.48</v>
      </c>
      <c r="AC311" s="34">
        <f>AA311*10000/AB311</f>
        <v>3994.09575170747</v>
      </c>
      <c r="AD311" s="34">
        <f t="shared" si="74"/>
        <v>19047982.478</v>
      </c>
      <c r="AE311" s="34">
        <f t="shared" si="76"/>
        <v>307162.92</v>
      </c>
      <c r="AF311" s="34">
        <f t="shared" si="77"/>
        <v>234719.06</v>
      </c>
      <c r="AG311" s="34">
        <f t="shared" si="75"/>
        <v>169088.568</v>
      </c>
    </row>
    <row r="312" ht="15" customHeight="1" spans="1:33">
      <c r="A312" s="106">
        <v>43042</v>
      </c>
      <c r="B312" s="21" t="s">
        <v>37</v>
      </c>
      <c r="C312" s="9">
        <v>52476</v>
      </c>
      <c r="D312" s="38">
        <f>34038+10086</f>
        <v>44124</v>
      </c>
      <c r="E312" s="38">
        <v>98847</v>
      </c>
      <c r="F312" s="13">
        <v>4894.6</v>
      </c>
      <c r="G312" s="38">
        <v>3260</v>
      </c>
      <c r="H312" s="25"/>
      <c r="I312" s="37"/>
      <c r="J312" s="9">
        <f t="shared" si="72"/>
        <v>54723</v>
      </c>
      <c r="K312" s="38">
        <v>579</v>
      </c>
      <c r="L312" s="38">
        <v>792</v>
      </c>
      <c r="M312" s="132">
        <f t="shared" si="73"/>
        <v>876</v>
      </c>
      <c r="N312" s="78">
        <f t="shared" si="83"/>
        <v>146368</v>
      </c>
      <c r="O312" s="79">
        <f t="shared" si="83"/>
        <v>139205</v>
      </c>
      <c r="P312" s="79">
        <f t="shared" si="83"/>
        <v>291921</v>
      </c>
      <c r="Q312" s="80">
        <f t="shared" si="84"/>
        <v>18389487.93</v>
      </c>
      <c r="R312" s="80">
        <f t="shared" si="84"/>
        <v>10863745</v>
      </c>
      <c r="S312" s="80">
        <f t="shared" si="84"/>
        <v>29966450.478</v>
      </c>
      <c r="T312" s="84">
        <f>N312/'2016'!N312-1</f>
        <v>-0.000860103485466945</v>
      </c>
      <c r="U312" s="84">
        <f>O312/'2016'!O312-1</f>
        <v>0.177508035865336</v>
      </c>
      <c r="V312" s="84">
        <f>P312/'2016'!P312-1</f>
        <v>0.0850428001680041</v>
      </c>
      <c r="W312" s="85">
        <f>Q312/'2016'!Q312-1</f>
        <v>0.0826601311580071</v>
      </c>
      <c r="X312" s="85">
        <f>R312/'2016'!R312-1</f>
        <v>0.152128916749626</v>
      </c>
      <c r="Y312" s="85">
        <f>S312/'2016'!S312-1</f>
        <v>0.10350119780371</v>
      </c>
      <c r="Z312" s="141"/>
      <c r="AA312" s="141"/>
      <c r="AB312" s="109"/>
      <c r="AC312" s="109"/>
      <c r="AD312" s="38">
        <f t="shared" si="74"/>
        <v>19102705.478</v>
      </c>
      <c r="AE312" s="38">
        <f t="shared" si="76"/>
        <v>307741.92</v>
      </c>
      <c r="AF312" s="38">
        <f t="shared" si="77"/>
        <v>235511.06</v>
      </c>
      <c r="AG312" s="38">
        <f t="shared" si="75"/>
        <v>169964.568</v>
      </c>
    </row>
    <row r="313" ht="15" customHeight="1" spans="1:33">
      <c r="A313" s="106">
        <v>43043</v>
      </c>
      <c r="B313" s="21" t="s">
        <v>38</v>
      </c>
      <c r="C313" s="74">
        <v>51477</v>
      </c>
      <c r="D313" s="75">
        <f>33020+9923</f>
        <v>42943</v>
      </c>
      <c r="E313" s="75">
        <v>97203</v>
      </c>
      <c r="F313" s="125">
        <v>4793.4</v>
      </c>
      <c r="G313" s="75">
        <v>3216.3</v>
      </c>
      <c r="H313" s="25"/>
      <c r="I313" s="25"/>
      <c r="J313" s="74">
        <f t="shared" si="72"/>
        <v>54260</v>
      </c>
      <c r="K313" s="75">
        <v>992</v>
      </c>
      <c r="L313" s="75">
        <v>789</v>
      </c>
      <c r="M313" s="134">
        <f t="shared" si="73"/>
        <v>1002</v>
      </c>
      <c r="N313" s="78">
        <f t="shared" si="83"/>
        <v>197845</v>
      </c>
      <c r="O313" s="79">
        <f t="shared" si="83"/>
        <v>182148</v>
      </c>
      <c r="P313" s="79">
        <f t="shared" si="83"/>
        <v>389124</v>
      </c>
      <c r="Q313" s="80">
        <f t="shared" si="84"/>
        <v>18440964.93</v>
      </c>
      <c r="R313" s="80">
        <f t="shared" si="84"/>
        <v>10906688</v>
      </c>
      <c r="S313" s="80">
        <f t="shared" si="84"/>
        <v>30063653.478</v>
      </c>
      <c r="T313" s="84">
        <f>N313/'2016'!N313-1</f>
        <v>-0.00793272726361027</v>
      </c>
      <c r="U313" s="84">
        <f>O313/'2016'!O313-1</f>
        <v>0.169669804656897</v>
      </c>
      <c r="V313" s="84">
        <f>P313/'2016'!P313-1</f>
        <v>0.0778520738578132</v>
      </c>
      <c r="W313" s="85">
        <f>Q313/'2016'!Q313-1</f>
        <v>0.0823178778523805</v>
      </c>
      <c r="X313" s="85">
        <f>R313/'2016'!R313-1</f>
        <v>0.152100528320861</v>
      </c>
      <c r="Y313" s="85">
        <f>S313/'2016'!S313-1</f>
        <v>0.103343616848761</v>
      </c>
      <c r="Z313" s="144"/>
      <c r="AA313" s="144"/>
      <c r="AB313" s="109"/>
      <c r="AC313" s="109"/>
      <c r="AD313" s="38">
        <f t="shared" si="74"/>
        <v>19156965.478</v>
      </c>
      <c r="AE313" s="75">
        <f t="shared" si="76"/>
        <v>308733.92</v>
      </c>
      <c r="AF313" s="75">
        <f t="shared" si="77"/>
        <v>236300.06</v>
      </c>
      <c r="AG313" s="75">
        <f t="shared" si="75"/>
        <v>170966.568</v>
      </c>
    </row>
    <row r="314" ht="15" customHeight="1" spans="1:33">
      <c r="A314" s="106">
        <v>43044</v>
      </c>
      <c r="B314" s="21" t="s">
        <v>1</v>
      </c>
      <c r="C314" s="9">
        <v>53172</v>
      </c>
      <c r="D314" s="38">
        <f>28856+10131</f>
        <v>38987</v>
      </c>
      <c r="E314" s="38">
        <v>94616</v>
      </c>
      <c r="F314" s="13">
        <v>4643.4</v>
      </c>
      <c r="G314" s="38">
        <v>3236</v>
      </c>
      <c r="H314" s="25"/>
      <c r="I314" s="37"/>
      <c r="J314" s="9">
        <f t="shared" si="72"/>
        <v>55629</v>
      </c>
      <c r="K314" s="38">
        <v>1000</v>
      </c>
      <c r="L314" s="38">
        <v>791</v>
      </c>
      <c r="M314" s="132">
        <f t="shared" si="73"/>
        <v>666</v>
      </c>
      <c r="N314" s="78">
        <f t="shared" si="83"/>
        <v>251017</v>
      </c>
      <c r="O314" s="79">
        <f t="shared" si="83"/>
        <v>221135</v>
      </c>
      <c r="P314" s="79">
        <f t="shared" si="83"/>
        <v>483740</v>
      </c>
      <c r="Q314" s="80">
        <f t="shared" si="84"/>
        <v>18494136.93</v>
      </c>
      <c r="R314" s="80">
        <f t="shared" si="84"/>
        <v>10945675</v>
      </c>
      <c r="S314" s="80">
        <f t="shared" si="84"/>
        <v>30158269.478</v>
      </c>
      <c r="T314" s="84">
        <f>N314/'2016'!N314-1</f>
        <v>-0.000708612830669364</v>
      </c>
      <c r="U314" s="84">
        <f>O314/'2016'!O314-1</f>
        <v>0.146287983246421</v>
      </c>
      <c r="V314" s="84">
        <f>P314/'2016'!P314-1</f>
        <v>0.0712711794967191</v>
      </c>
      <c r="W314" s="85">
        <f>Q314/'2016'!Q314-1</f>
        <v>0.0821506804380157</v>
      </c>
      <c r="X314" s="85">
        <f>R314/'2016'!R314-1</f>
        <v>0.151694664957487</v>
      </c>
      <c r="Y314" s="85">
        <f>S314/'2016'!S314-1</f>
        <v>0.103150494894503</v>
      </c>
      <c r="Z314" s="141"/>
      <c r="AA314" s="141"/>
      <c r="AB314" s="109"/>
      <c r="AC314" s="109"/>
      <c r="AD314" s="38">
        <f t="shared" si="74"/>
        <v>19212594.478</v>
      </c>
      <c r="AE314" s="38">
        <f t="shared" si="76"/>
        <v>309733.92</v>
      </c>
      <c r="AF314" s="38">
        <f t="shared" si="77"/>
        <v>237091.06</v>
      </c>
      <c r="AG314" s="38">
        <f t="shared" si="75"/>
        <v>171632.568</v>
      </c>
    </row>
    <row r="315" ht="15" customHeight="1" spans="1:33">
      <c r="A315" s="106">
        <v>43045</v>
      </c>
      <c r="B315" s="21" t="s">
        <v>39</v>
      </c>
      <c r="C315" s="9">
        <v>55993</v>
      </c>
      <c r="D315" s="38">
        <f>32302+10109</f>
        <v>42411</v>
      </c>
      <c r="E315" s="38">
        <v>100309</v>
      </c>
      <c r="F315" s="13">
        <v>5094.6</v>
      </c>
      <c r="G315" s="38">
        <v>3152.7</v>
      </c>
      <c r="H315" s="25"/>
      <c r="I315" s="37"/>
      <c r="J315" s="9">
        <f t="shared" si="72"/>
        <v>57898</v>
      </c>
      <c r="K315" s="38">
        <v>650</v>
      </c>
      <c r="L315" s="38">
        <v>790</v>
      </c>
      <c r="M315" s="132">
        <f t="shared" si="73"/>
        <v>465</v>
      </c>
      <c r="N315" s="78">
        <f t="shared" si="83"/>
        <v>307010</v>
      </c>
      <c r="O315" s="79">
        <f t="shared" si="83"/>
        <v>263546</v>
      </c>
      <c r="P315" s="79">
        <f t="shared" si="83"/>
        <v>584049</v>
      </c>
      <c r="Q315" s="80">
        <f t="shared" si="84"/>
        <v>18550129.93</v>
      </c>
      <c r="R315" s="80">
        <f t="shared" si="84"/>
        <v>10988086</v>
      </c>
      <c r="S315" s="80">
        <f t="shared" si="84"/>
        <v>30258578.478</v>
      </c>
      <c r="T315" s="84">
        <f>N315/'2016'!N315-1</f>
        <v>0.0238512896104155</v>
      </c>
      <c r="U315" s="84">
        <f>O315/'2016'!O315-1</f>
        <v>0.149515630247703</v>
      </c>
      <c r="V315" s="84">
        <f>P315/'2016'!P315-1</f>
        <v>0.0851572602821171</v>
      </c>
      <c r="W315" s="85">
        <f>Q315/'2016'!Q315-1</f>
        <v>0.0823451103520421</v>
      </c>
      <c r="X315" s="85">
        <f>R315/'2016'!R315-1</f>
        <v>0.151751627774565</v>
      </c>
      <c r="Y315" s="85">
        <f>S315/'2016'!S315-1</f>
        <v>0.103322275631112</v>
      </c>
      <c r="Z315" s="141"/>
      <c r="AA315" s="141"/>
      <c r="AB315" s="109"/>
      <c r="AC315" s="109"/>
      <c r="AD315" s="38">
        <f t="shared" si="74"/>
        <v>19270492.478</v>
      </c>
      <c r="AE315" s="38">
        <f t="shared" si="76"/>
        <v>310383.92</v>
      </c>
      <c r="AF315" s="38">
        <f t="shared" si="77"/>
        <v>237881.06</v>
      </c>
      <c r="AG315" s="38">
        <f t="shared" si="75"/>
        <v>172097.568</v>
      </c>
    </row>
    <row r="316" ht="15" customHeight="1" spans="1:33">
      <c r="A316" s="106">
        <v>43046</v>
      </c>
      <c r="B316" s="21" t="s">
        <v>34</v>
      </c>
      <c r="C316" s="9">
        <v>61724</v>
      </c>
      <c r="D316" s="38">
        <f>29322+9953</f>
        <v>39275</v>
      </c>
      <c r="E316" s="38">
        <v>102210</v>
      </c>
      <c r="F316" s="13">
        <v>5178.3</v>
      </c>
      <c r="G316" s="38">
        <v>3334.1</v>
      </c>
      <c r="H316" s="25"/>
      <c r="I316" s="37"/>
      <c r="J316" s="9">
        <f t="shared" si="72"/>
        <v>62935</v>
      </c>
      <c r="K316" s="38">
        <v>179</v>
      </c>
      <c r="L316" s="38">
        <v>791</v>
      </c>
      <c r="M316" s="132">
        <f t="shared" si="73"/>
        <v>241</v>
      </c>
      <c r="N316" s="78">
        <f t="shared" si="83"/>
        <v>368734</v>
      </c>
      <c r="O316" s="79">
        <f t="shared" si="83"/>
        <v>302821</v>
      </c>
      <c r="P316" s="79">
        <f t="shared" si="83"/>
        <v>686259</v>
      </c>
      <c r="Q316" s="80">
        <f t="shared" si="84"/>
        <v>18611853.93</v>
      </c>
      <c r="R316" s="80">
        <f t="shared" si="84"/>
        <v>11027361</v>
      </c>
      <c r="S316" s="80">
        <f t="shared" si="84"/>
        <v>30360788.478</v>
      </c>
      <c r="T316" s="84">
        <f>N316/'2016'!N316-1</f>
        <v>0.0446018300801723</v>
      </c>
      <c r="U316" s="84">
        <f>O316/'2016'!O316-1</f>
        <v>0.140422695398706</v>
      </c>
      <c r="V316" s="84">
        <f>P316/'2016'!P316-1</f>
        <v>0.089997252210541</v>
      </c>
      <c r="W316" s="85">
        <f>Q316/'2016'!Q316-1</f>
        <v>0.0825903900560978</v>
      </c>
      <c r="X316" s="85">
        <f>R316/'2016'!R316-1</f>
        <v>0.151491036530424</v>
      </c>
      <c r="Y316" s="85">
        <f>S316/'2016'!S316-1</f>
        <v>0.103372693188812</v>
      </c>
      <c r="Z316" s="141"/>
      <c r="AA316" s="141"/>
      <c r="AB316" s="109"/>
      <c r="AC316" s="109"/>
      <c r="AD316" s="38">
        <f t="shared" si="74"/>
        <v>19333427.478</v>
      </c>
      <c r="AE316" s="38">
        <f t="shared" si="76"/>
        <v>310562.92</v>
      </c>
      <c r="AF316" s="38">
        <f t="shared" si="77"/>
        <v>238672.06</v>
      </c>
      <c r="AG316" s="38">
        <f t="shared" si="75"/>
        <v>172338.568</v>
      </c>
    </row>
    <row r="317" ht="15" customHeight="1" spans="1:33">
      <c r="A317" s="106">
        <v>43047</v>
      </c>
      <c r="B317" s="21" t="s">
        <v>35</v>
      </c>
      <c r="C317" s="9">
        <v>61212</v>
      </c>
      <c r="D317" s="38">
        <v>37891</v>
      </c>
      <c r="E317" s="38">
        <v>100759</v>
      </c>
      <c r="F317" s="13">
        <v>5013</v>
      </c>
      <c r="G317" s="38">
        <v>3317</v>
      </c>
      <c r="H317" s="25"/>
      <c r="I317" s="37"/>
      <c r="J317" s="9">
        <f t="shared" si="72"/>
        <v>62868</v>
      </c>
      <c r="K317" s="38">
        <v>182.88</v>
      </c>
      <c r="L317" s="38">
        <v>790</v>
      </c>
      <c r="M317" s="132">
        <f t="shared" si="73"/>
        <v>683.120000000003</v>
      </c>
      <c r="N317" s="78">
        <f>C317+N316</f>
        <v>429946</v>
      </c>
      <c r="O317" s="79">
        <f t="shared" si="83"/>
        <v>340712</v>
      </c>
      <c r="P317" s="79">
        <f t="shared" si="83"/>
        <v>787018</v>
      </c>
      <c r="Q317" s="80">
        <f t="shared" si="84"/>
        <v>18673065.93</v>
      </c>
      <c r="R317" s="80">
        <f t="shared" si="84"/>
        <v>11065252</v>
      </c>
      <c r="S317" s="80">
        <f t="shared" si="84"/>
        <v>30461547.478</v>
      </c>
      <c r="T317" s="84">
        <f>N317/'2016'!N317-1</f>
        <v>0.0541199199748941</v>
      </c>
      <c r="U317" s="84">
        <f>O317/'2016'!O317-1</f>
        <v>0.130172588226318</v>
      </c>
      <c r="V317" s="84">
        <f>P317/'2016'!P317-1</f>
        <v>0.0898579062743636</v>
      </c>
      <c r="W317" s="85">
        <f>Q317/'2016'!Q317-1</f>
        <v>0.0826945989251948</v>
      </c>
      <c r="X317" s="85">
        <f>R317/'2016'!R317-1</f>
        <v>0.15112819437301</v>
      </c>
      <c r="Y317" s="85">
        <f>S317/'2016'!S317-1</f>
        <v>0.103324220306856</v>
      </c>
      <c r="Z317" s="141">
        <f>(Z318-Z311)/7*6+Z311</f>
        <v>130.255714285714</v>
      </c>
      <c r="AA317" s="141">
        <f>Q317/10000-Z317</f>
        <v>1737.05087871429</v>
      </c>
      <c r="AB317" s="109"/>
      <c r="AC317" s="109"/>
      <c r="AD317" s="38">
        <f t="shared" si="74"/>
        <v>19396295.478</v>
      </c>
      <c r="AE317" s="38">
        <f t="shared" si="76"/>
        <v>310745.8</v>
      </c>
      <c r="AF317" s="38">
        <f t="shared" si="77"/>
        <v>239462.06</v>
      </c>
      <c r="AG317" s="38">
        <f t="shared" si="75"/>
        <v>173021.688</v>
      </c>
    </row>
    <row r="318" ht="15" customHeight="1" spans="1:33">
      <c r="A318" s="106">
        <v>43048</v>
      </c>
      <c r="B318" s="15" t="s">
        <v>36</v>
      </c>
      <c r="C318" s="33">
        <v>61497</v>
      </c>
      <c r="D318" s="34">
        <v>37098</v>
      </c>
      <c r="E318" s="34">
        <v>100550</v>
      </c>
      <c r="F318" s="124">
        <v>4895</v>
      </c>
      <c r="G318" s="34">
        <v>3322</v>
      </c>
      <c r="H318" s="20"/>
      <c r="I318" s="20"/>
      <c r="J318" s="33">
        <f t="shared" si="72"/>
        <v>63452</v>
      </c>
      <c r="K318" s="34">
        <v>272.98</v>
      </c>
      <c r="L318" s="34">
        <v>791</v>
      </c>
      <c r="M318" s="133">
        <f t="shared" si="73"/>
        <v>891.019999999997</v>
      </c>
      <c r="N318" s="81">
        <f>C318+N317</f>
        <v>491443</v>
      </c>
      <c r="O318" s="82">
        <f t="shared" si="83"/>
        <v>377810</v>
      </c>
      <c r="P318" s="82">
        <f t="shared" si="83"/>
        <v>887568</v>
      </c>
      <c r="Q318" s="81">
        <f>Q$309+N318</f>
        <v>18734562.93</v>
      </c>
      <c r="R318" s="81">
        <f t="shared" si="84"/>
        <v>11102350</v>
      </c>
      <c r="S318" s="81">
        <f t="shared" si="84"/>
        <v>30562097.478</v>
      </c>
      <c r="T318" s="86">
        <f>N318/'2016'!N318-1</f>
        <v>0.0655953823903763</v>
      </c>
      <c r="U318" s="86">
        <f>O318/'2016'!O318-1</f>
        <v>0.10879913599305</v>
      </c>
      <c r="V318" s="86">
        <f>P318/'2016'!P318-1</f>
        <v>0.0870903973485599</v>
      </c>
      <c r="W318" s="86">
        <f>Q318/'2016'!Q318-1</f>
        <v>0.0829124469571503</v>
      </c>
      <c r="X318" s="86">
        <f>R318/'2016'!R318-1</f>
        <v>0.150288386711822</v>
      </c>
      <c r="Y318" s="86">
        <f>S318/'2016'!S318-1</f>
        <v>0.103196802468951</v>
      </c>
      <c r="Z318" s="143">
        <v>130.56</v>
      </c>
      <c r="AA318" s="151">
        <f>Q318/10000-Z318</f>
        <v>1742.896293</v>
      </c>
      <c r="AB318" s="133">
        <v>4269.48</v>
      </c>
      <c r="AC318" s="133">
        <f>AA318*10000/AB318</f>
        <v>4082.22147193569</v>
      </c>
      <c r="AD318" s="34">
        <f t="shared" si="74"/>
        <v>19459747.478</v>
      </c>
      <c r="AE318" s="34">
        <f t="shared" si="76"/>
        <v>311018.78</v>
      </c>
      <c r="AF318" s="34">
        <f t="shared" si="77"/>
        <v>240253.06</v>
      </c>
      <c r="AG318" s="34">
        <f t="shared" si="75"/>
        <v>173912.708</v>
      </c>
    </row>
    <row r="319" ht="15" customHeight="1" spans="1:33">
      <c r="A319" s="106">
        <v>43049</v>
      </c>
      <c r="B319" s="21" t="s">
        <v>37</v>
      </c>
      <c r="C319" s="9">
        <v>63335</v>
      </c>
      <c r="D319" s="38">
        <f>25746+10998</f>
        <v>36744</v>
      </c>
      <c r="E319" s="38">
        <v>101587</v>
      </c>
      <c r="F319" s="13">
        <v>5130.4</v>
      </c>
      <c r="G319" s="38">
        <v>3300</v>
      </c>
      <c r="H319" s="25"/>
      <c r="I319" s="37"/>
      <c r="J319" s="9">
        <f t="shared" si="72"/>
        <v>64843</v>
      </c>
      <c r="K319" s="38">
        <v>271</v>
      </c>
      <c r="L319" s="38">
        <v>792</v>
      </c>
      <c r="M319" s="132">
        <f t="shared" si="73"/>
        <v>445</v>
      </c>
      <c r="N319" s="78">
        <f t="shared" si="83"/>
        <v>554778</v>
      </c>
      <c r="O319" s="79">
        <f t="shared" si="83"/>
        <v>414554</v>
      </c>
      <c r="P319" s="79">
        <f t="shared" si="83"/>
        <v>989155</v>
      </c>
      <c r="Q319" s="80">
        <f t="shared" si="84"/>
        <v>18797897.93</v>
      </c>
      <c r="R319" s="80">
        <f t="shared" si="84"/>
        <v>11139094</v>
      </c>
      <c r="S319" s="80">
        <f t="shared" si="84"/>
        <v>30663684.478</v>
      </c>
      <c r="T319" s="84">
        <f>N319/'2016'!N319-1</f>
        <v>0.0750469915705843</v>
      </c>
      <c r="U319" s="84">
        <f>O319/'2016'!O319-1</f>
        <v>0.0915146775777587</v>
      </c>
      <c r="V319" s="84">
        <f>P319/'2016'!P319-1</f>
        <v>0.0845795637581317</v>
      </c>
      <c r="W319" s="85">
        <f>Q319/'2016'!Q319-1</f>
        <v>0.0831387506660175</v>
      </c>
      <c r="X319" s="85">
        <f>R319/'2016'!R319-1</f>
        <v>0.149443764307302</v>
      </c>
      <c r="Y319" s="85">
        <f>S319/'2016'!S319-1</f>
        <v>0.103059063621124</v>
      </c>
      <c r="Z319" s="141"/>
      <c r="AA319" s="141"/>
      <c r="AB319" s="109"/>
      <c r="AC319" s="109"/>
      <c r="AD319" s="38">
        <f t="shared" si="74"/>
        <v>19524590.478</v>
      </c>
      <c r="AE319" s="38">
        <f t="shared" si="76"/>
        <v>311289.78</v>
      </c>
      <c r="AF319" s="38">
        <f t="shared" si="77"/>
        <v>241045.06</v>
      </c>
      <c r="AG319" s="38">
        <f t="shared" si="75"/>
        <v>174357.708</v>
      </c>
    </row>
    <row r="320" ht="15" customHeight="1" spans="1:33">
      <c r="A320" s="106">
        <v>43050</v>
      </c>
      <c r="B320" s="21" t="s">
        <v>38</v>
      </c>
      <c r="C320" s="74">
        <v>61044</v>
      </c>
      <c r="D320" s="75">
        <f>25563+11088</f>
        <v>36651</v>
      </c>
      <c r="E320" s="75">
        <v>99487</v>
      </c>
      <c r="F320" s="125">
        <v>4954.9</v>
      </c>
      <c r="G320" s="75">
        <v>3262.9</v>
      </c>
      <c r="H320" s="25"/>
      <c r="I320" s="25"/>
      <c r="J320" s="74">
        <f t="shared" si="72"/>
        <v>62836</v>
      </c>
      <c r="K320" s="75">
        <v>448</v>
      </c>
      <c r="L320" s="75">
        <v>789</v>
      </c>
      <c r="M320" s="134">
        <f t="shared" si="73"/>
        <v>555</v>
      </c>
      <c r="N320" s="78">
        <f t="shared" si="83"/>
        <v>615822</v>
      </c>
      <c r="O320" s="79">
        <f t="shared" si="83"/>
        <v>451205</v>
      </c>
      <c r="P320" s="79">
        <f t="shared" si="83"/>
        <v>1088642</v>
      </c>
      <c r="Q320" s="80">
        <f t="shared" si="84"/>
        <v>18858941.93</v>
      </c>
      <c r="R320" s="80">
        <f t="shared" si="84"/>
        <v>11175745</v>
      </c>
      <c r="S320" s="80">
        <f t="shared" si="84"/>
        <v>30763171.478</v>
      </c>
      <c r="T320" s="84">
        <f>N320/'2016'!N320-1</f>
        <v>0.0842127502244758</v>
      </c>
      <c r="U320" s="84">
        <f>O320/'2016'!O320-1</f>
        <v>0.0734516369242335</v>
      </c>
      <c r="V320" s="84">
        <f>P320/'2016'!P320-1</f>
        <v>0.0816297940452049</v>
      </c>
      <c r="W320" s="85">
        <f>Q320/'2016'!Q320-1</f>
        <v>0.0834136850868241</v>
      </c>
      <c r="X320" s="85">
        <f>R320/'2016'!R320-1</f>
        <v>0.148422270610879</v>
      </c>
      <c r="Y320" s="85">
        <f>S320/'2016'!S320-1</f>
        <v>0.102890041367284</v>
      </c>
      <c r="Z320" s="144"/>
      <c r="AA320" s="144"/>
      <c r="AB320" s="109"/>
      <c r="AC320" s="109"/>
      <c r="AD320" s="38">
        <f t="shared" si="74"/>
        <v>19587426.478</v>
      </c>
      <c r="AE320" s="75">
        <f t="shared" si="76"/>
        <v>311737.78</v>
      </c>
      <c r="AF320" s="75">
        <f t="shared" si="77"/>
        <v>241834.06</v>
      </c>
      <c r="AG320" s="75">
        <f t="shared" si="75"/>
        <v>174912.708</v>
      </c>
    </row>
    <row r="321" spans="1:33">
      <c r="A321" s="106">
        <v>43051</v>
      </c>
      <c r="B321" s="21" t="s">
        <v>1</v>
      </c>
      <c r="C321" s="9">
        <v>55754</v>
      </c>
      <c r="D321" s="38">
        <f>27598+11158</f>
        <v>38756</v>
      </c>
      <c r="E321" s="38">
        <v>96019</v>
      </c>
      <c r="F321" s="13">
        <v>4753</v>
      </c>
      <c r="G321" s="38">
        <v>3274.3</v>
      </c>
      <c r="H321" s="25"/>
      <c r="I321" s="37"/>
      <c r="J321" s="9">
        <f t="shared" si="72"/>
        <v>57263</v>
      </c>
      <c r="K321" s="38">
        <v>300</v>
      </c>
      <c r="L321" s="38">
        <v>791</v>
      </c>
      <c r="M321" s="132">
        <f t="shared" si="73"/>
        <v>418</v>
      </c>
      <c r="N321" s="78">
        <f t="shared" si="83"/>
        <v>671576</v>
      </c>
      <c r="O321" s="79">
        <f t="shared" si="83"/>
        <v>489961</v>
      </c>
      <c r="P321" s="79">
        <f t="shared" si="83"/>
        <v>1184661</v>
      </c>
      <c r="Q321" s="80">
        <f t="shared" si="84"/>
        <v>18914695.93</v>
      </c>
      <c r="R321" s="80">
        <f t="shared" si="84"/>
        <v>11214501</v>
      </c>
      <c r="S321" s="80">
        <f t="shared" si="84"/>
        <v>30859190.478</v>
      </c>
      <c r="T321" s="84">
        <f>N321/'2016'!N321-1</f>
        <v>0.0826963908293177</v>
      </c>
      <c r="U321" s="84">
        <f>O321/'2016'!O321-1</f>
        <v>0.0674019981613081</v>
      </c>
      <c r="V321" s="84">
        <f>P321/'2016'!P321-1</f>
        <v>0.0779464566814498</v>
      </c>
      <c r="W321" s="85">
        <f>Q321/'2016'!Q321-1</f>
        <v>0.0833622060828028</v>
      </c>
      <c r="X321" s="85">
        <f>R321/'2016'!R321-1</f>
        <v>0.147841148911662</v>
      </c>
      <c r="Y321" s="85">
        <f>S321/'2016'!S321-1</f>
        <v>0.102675115124321</v>
      </c>
      <c r="Z321" s="141"/>
      <c r="AA321" s="141"/>
      <c r="AB321" s="109"/>
      <c r="AC321" s="109"/>
      <c r="AD321" s="38">
        <f t="shared" si="74"/>
        <v>19644689.478</v>
      </c>
      <c r="AE321" s="38">
        <f t="shared" si="76"/>
        <v>312037.78</v>
      </c>
      <c r="AF321" s="38">
        <f t="shared" si="77"/>
        <v>242625.06</v>
      </c>
      <c r="AG321" s="38">
        <f t="shared" si="75"/>
        <v>175330.708</v>
      </c>
    </row>
    <row r="322" spans="1:33">
      <c r="A322" s="106">
        <v>43052</v>
      </c>
      <c r="B322" s="21" t="s">
        <v>39</v>
      </c>
      <c r="C322" s="9">
        <v>61169</v>
      </c>
      <c r="D322" s="38">
        <f>26680+11024</f>
        <v>37704</v>
      </c>
      <c r="E322" s="38">
        <v>100345</v>
      </c>
      <c r="F322" s="13">
        <v>5036.5</v>
      </c>
      <c r="G322" s="38">
        <v>3156.2</v>
      </c>
      <c r="H322" s="25"/>
      <c r="I322" s="37"/>
      <c r="J322" s="9">
        <f t="shared" si="72"/>
        <v>62641</v>
      </c>
      <c r="K322" s="38">
        <v>246</v>
      </c>
      <c r="L322" s="38">
        <v>788</v>
      </c>
      <c r="M322" s="132">
        <f t="shared" si="73"/>
        <v>438</v>
      </c>
      <c r="N322" s="78">
        <f t="shared" si="83"/>
        <v>732745</v>
      </c>
      <c r="O322" s="79">
        <f t="shared" si="83"/>
        <v>527665</v>
      </c>
      <c r="P322" s="79">
        <f t="shared" si="83"/>
        <v>1285006</v>
      </c>
      <c r="Q322" s="80">
        <f t="shared" si="84"/>
        <v>18975864.93</v>
      </c>
      <c r="R322" s="80">
        <f t="shared" si="84"/>
        <v>11252205</v>
      </c>
      <c r="S322" s="80">
        <f t="shared" si="84"/>
        <v>30959535.478</v>
      </c>
      <c r="T322" s="84">
        <f>N322/'2016'!N322-1</f>
        <v>0.0945592081775446</v>
      </c>
      <c r="U322" s="84">
        <f>O322/'2016'!O322-1</f>
        <v>0.0609167878045789</v>
      </c>
      <c r="V322" s="84">
        <f>P322/'2016'!P322-1</f>
        <v>0.0817313682112204</v>
      </c>
      <c r="W322" s="85">
        <f>Q322/'2016'!Q322-1</f>
        <v>0.083813917261276</v>
      </c>
      <c r="X322" s="85">
        <f>R322/'2016'!R322-1</f>
        <v>0.147197827663684</v>
      </c>
      <c r="Y322" s="85">
        <f>S322/'2016'!S322-1</f>
        <v>0.102756944554523</v>
      </c>
      <c r="Z322" s="141"/>
      <c r="AA322" s="141"/>
      <c r="AB322" s="109"/>
      <c r="AC322" s="109"/>
      <c r="AD322" s="38">
        <f t="shared" si="74"/>
        <v>19707330.478</v>
      </c>
      <c r="AE322" s="38">
        <f t="shared" si="76"/>
        <v>312283.78</v>
      </c>
      <c r="AF322" s="38">
        <f t="shared" si="77"/>
        <v>243413.06</v>
      </c>
      <c r="AG322" s="38">
        <f t="shared" si="75"/>
        <v>175768.708</v>
      </c>
    </row>
    <row r="323" spans="1:33">
      <c r="A323" s="106">
        <v>43053</v>
      </c>
      <c r="B323" s="21" t="s">
        <v>34</v>
      </c>
      <c r="C323" s="9">
        <v>65031</v>
      </c>
      <c r="D323" s="38">
        <f>25360+11142</f>
        <v>36502</v>
      </c>
      <c r="E323" s="38">
        <v>103006</v>
      </c>
      <c r="F323" s="13">
        <v>5279</v>
      </c>
      <c r="G323" s="38">
        <v>3327.5</v>
      </c>
      <c r="H323" s="25"/>
      <c r="I323" s="37"/>
      <c r="J323" s="9">
        <f t="shared" si="72"/>
        <v>66504</v>
      </c>
      <c r="K323" s="38">
        <v>537</v>
      </c>
      <c r="L323" s="38">
        <v>790</v>
      </c>
      <c r="M323" s="132">
        <f t="shared" si="73"/>
        <v>146</v>
      </c>
      <c r="N323" s="78">
        <f t="shared" si="83"/>
        <v>797776</v>
      </c>
      <c r="O323" s="79">
        <f t="shared" si="83"/>
        <v>564167</v>
      </c>
      <c r="P323" s="79">
        <f t="shared" si="83"/>
        <v>1388012</v>
      </c>
      <c r="Q323" s="80">
        <f t="shared" si="84"/>
        <v>19040895.93</v>
      </c>
      <c r="R323" s="80">
        <f t="shared" si="84"/>
        <v>11288707</v>
      </c>
      <c r="S323" s="80">
        <f t="shared" si="84"/>
        <v>31062541.478</v>
      </c>
      <c r="T323" s="84">
        <f>N323/'2016'!N323-1</f>
        <v>0.103936125313942</v>
      </c>
      <c r="U323" s="84">
        <f>O323/'2016'!O323-1</f>
        <v>0.0530926372535112</v>
      </c>
      <c r="V323" s="84">
        <f>P323/'2016'!P323-1</f>
        <v>0.0835979199471633</v>
      </c>
      <c r="W323" s="85">
        <f>Q323/'2016'!Q323-1</f>
        <v>0.0842323438166759</v>
      </c>
      <c r="X323" s="85">
        <f>R323/'2016'!R323-1</f>
        <v>0.146436049215261</v>
      </c>
      <c r="Y323" s="85">
        <f>S323/'2016'!S323-1</f>
        <v>0.102772397310854</v>
      </c>
      <c r="Z323" s="141"/>
      <c r="AA323" s="141"/>
      <c r="AB323" s="109"/>
      <c r="AC323" s="109"/>
      <c r="AD323" s="38">
        <f t="shared" si="74"/>
        <v>19773834.478</v>
      </c>
      <c r="AE323" s="38">
        <f t="shared" si="76"/>
        <v>312820.78</v>
      </c>
      <c r="AF323" s="38">
        <f t="shared" si="77"/>
        <v>244203.06</v>
      </c>
      <c r="AG323" s="38">
        <f t="shared" si="75"/>
        <v>175914.708</v>
      </c>
    </row>
    <row r="324" spans="1:33">
      <c r="A324" s="106">
        <v>43054</v>
      </c>
      <c r="B324" s="21" t="s">
        <v>35</v>
      </c>
      <c r="C324" s="9">
        <v>60403</v>
      </c>
      <c r="D324" s="38">
        <f>29600+11105</f>
        <v>40705</v>
      </c>
      <c r="E324" s="38">
        <v>102635</v>
      </c>
      <c r="F324" s="13">
        <v>5208.4</v>
      </c>
      <c r="G324" s="38">
        <v>3325.1</v>
      </c>
      <c r="H324" s="25"/>
      <c r="I324" s="37"/>
      <c r="J324" s="9">
        <f t="shared" si="72"/>
        <v>61930</v>
      </c>
      <c r="K324" s="38">
        <v>535</v>
      </c>
      <c r="L324" s="38">
        <v>791</v>
      </c>
      <c r="M324" s="132">
        <f t="shared" si="73"/>
        <v>201</v>
      </c>
      <c r="N324" s="78">
        <f t="shared" si="83"/>
        <v>858179</v>
      </c>
      <c r="O324" s="79">
        <f t="shared" si="83"/>
        <v>604872</v>
      </c>
      <c r="P324" s="79">
        <f t="shared" si="83"/>
        <v>1490647</v>
      </c>
      <c r="Q324" s="80">
        <f t="shared" si="84"/>
        <v>19101298.93</v>
      </c>
      <c r="R324" s="80">
        <f t="shared" si="84"/>
        <v>11329412</v>
      </c>
      <c r="S324" s="80">
        <f t="shared" si="84"/>
        <v>31165176.478</v>
      </c>
      <c r="T324" s="84">
        <f>N324/'2016'!N324-1</f>
        <v>0.107975371410644</v>
      </c>
      <c r="U324" s="84">
        <f>O324/'2016'!O324-1</f>
        <v>0.0509843987010212</v>
      </c>
      <c r="V324" s="84">
        <f>P324/'2016'!P324-1</f>
        <v>0.0847530274396167</v>
      </c>
      <c r="W324" s="85">
        <f>Q324/'2016'!Q324-1</f>
        <v>0.0844680069628332</v>
      </c>
      <c r="X324" s="85">
        <f>R324/'2016'!R324-1</f>
        <v>0.145937506448129</v>
      </c>
      <c r="Y324" s="85">
        <f>S324/'2016'!S324-1</f>
        <v>0.102765294516632</v>
      </c>
      <c r="Z324" s="141">
        <f>(Z325-Z318)/7*6+Z318</f>
        <v>132.42</v>
      </c>
      <c r="AA324" s="141">
        <f>Q324/10000-Z324</f>
        <v>1777.709893</v>
      </c>
      <c r="AB324" s="109"/>
      <c r="AC324" s="109"/>
      <c r="AD324" s="38">
        <f t="shared" si="74"/>
        <v>19835764.478</v>
      </c>
      <c r="AE324" s="38">
        <f t="shared" si="76"/>
        <v>313355.78</v>
      </c>
      <c r="AF324" s="38">
        <f t="shared" si="77"/>
        <v>244994.06</v>
      </c>
      <c r="AG324" s="38">
        <f t="shared" si="75"/>
        <v>176115.708</v>
      </c>
    </row>
    <row r="325" spans="1:33">
      <c r="A325" s="106">
        <v>43055</v>
      </c>
      <c r="B325" s="15" t="s">
        <v>36</v>
      </c>
      <c r="C325" s="33">
        <v>63158</v>
      </c>
      <c r="D325" s="34">
        <f>26044+11253</f>
        <v>37297</v>
      </c>
      <c r="E325" s="34">
        <v>102105</v>
      </c>
      <c r="F325" s="124">
        <v>5196.1</v>
      </c>
      <c r="G325" s="34">
        <v>3292.2</v>
      </c>
      <c r="H325" s="20"/>
      <c r="I325" s="20"/>
      <c r="J325" s="33">
        <f t="shared" ref="J325:J370" si="85">E325-D325</f>
        <v>64808</v>
      </c>
      <c r="K325" s="34">
        <v>566</v>
      </c>
      <c r="L325" s="34">
        <v>789</v>
      </c>
      <c r="M325" s="133">
        <f t="shared" si="73"/>
        <v>295</v>
      </c>
      <c r="N325" s="81">
        <f t="shared" si="83"/>
        <v>921337</v>
      </c>
      <c r="O325" s="82">
        <f t="shared" si="83"/>
        <v>642169</v>
      </c>
      <c r="P325" s="82">
        <f t="shared" si="83"/>
        <v>1592752</v>
      </c>
      <c r="Q325" s="81">
        <f t="shared" si="84"/>
        <v>19164456.93</v>
      </c>
      <c r="R325" s="81">
        <f t="shared" si="84"/>
        <v>11366709</v>
      </c>
      <c r="S325" s="81">
        <f t="shared" si="84"/>
        <v>31267281.478</v>
      </c>
      <c r="T325" s="86">
        <f>N325/'2016'!N325-1</f>
        <v>0.113318808689169</v>
      </c>
      <c r="U325" s="86">
        <f>O325/'2016'!O325-1</f>
        <v>0.0450115458032347</v>
      </c>
      <c r="V325" s="86">
        <f>P325/'2016'!P325-1</f>
        <v>0.0854903970596554</v>
      </c>
      <c r="W325" s="86">
        <f>Q325/'2016'!Q325-1</f>
        <v>0.0847888498999125</v>
      </c>
      <c r="X325" s="86">
        <f>R325/'2016'!R325-1</f>
        <v>0.145194814039862</v>
      </c>
      <c r="Y325" s="86">
        <f>S325/'2016'!S325-1</f>
        <v>0.10274429111154</v>
      </c>
      <c r="Z325" s="143">
        <v>132.73</v>
      </c>
      <c r="AA325" s="143">
        <f>Q325/10000-Z325</f>
        <v>1783.715693</v>
      </c>
      <c r="AB325" s="34">
        <v>4269.48</v>
      </c>
      <c r="AC325" s="34">
        <f>AA325*10000/AB325</f>
        <v>4177.82889953812</v>
      </c>
      <c r="AD325" s="34">
        <f t="shared" si="74"/>
        <v>19900572.478</v>
      </c>
      <c r="AE325" s="34">
        <f t="shared" si="76"/>
        <v>313921.78</v>
      </c>
      <c r="AF325" s="34">
        <f t="shared" si="77"/>
        <v>245783.06</v>
      </c>
      <c r="AG325" s="34">
        <f t="shared" si="75"/>
        <v>176410.708</v>
      </c>
    </row>
    <row r="326" spans="1:33">
      <c r="A326" s="106">
        <v>43056</v>
      </c>
      <c r="B326" s="21" t="s">
        <v>37</v>
      </c>
      <c r="C326" s="9">
        <v>63724</v>
      </c>
      <c r="D326" s="38">
        <f>26230+11220</f>
        <v>37450</v>
      </c>
      <c r="E326" s="38">
        <v>102717</v>
      </c>
      <c r="F326" s="13">
        <v>5168.6</v>
      </c>
      <c r="G326" s="38">
        <v>3318.1</v>
      </c>
      <c r="H326" s="25"/>
      <c r="I326" s="37"/>
      <c r="J326" s="9">
        <f t="shared" si="85"/>
        <v>65267</v>
      </c>
      <c r="K326" s="38">
        <v>525</v>
      </c>
      <c r="L326" s="38">
        <v>793</v>
      </c>
      <c r="M326" s="132">
        <f t="shared" ref="M326:M370" si="86">J326-K326-L326-C326</f>
        <v>225</v>
      </c>
      <c r="N326" s="78">
        <f t="shared" si="83"/>
        <v>985061</v>
      </c>
      <c r="O326" s="79">
        <f t="shared" si="83"/>
        <v>679619</v>
      </c>
      <c r="P326" s="79">
        <f t="shared" si="83"/>
        <v>1695469</v>
      </c>
      <c r="Q326" s="80">
        <f t="shared" si="84"/>
        <v>19228180.93</v>
      </c>
      <c r="R326" s="80">
        <f t="shared" si="84"/>
        <v>11404159</v>
      </c>
      <c r="S326" s="80">
        <f t="shared" si="84"/>
        <v>31369998.478</v>
      </c>
      <c r="T326" s="84">
        <f>N326/'2016'!N326-1</f>
        <v>0.119854530241589</v>
      </c>
      <c r="U326" s="84">
        <f>O326/'2016'!O326-1</f>
        <v>0.0389106723838786</v>
      </c>
      <c r="V326" s="84">
        <f>P326/'2016'!P326-1</f>
        <v>0.0865883514060857</v>
      </c>
      <c r="W326" s="85">
        <f>Q326/'2016'!Q326-1</f>
        <v>0.0851971611084981</v>
      </c>
      <c r="X326" s="85">
        <f>R326/'2016'!R326-1</f>
        <v>0.14439565031353</v>
      </c>
      <c r="Y326" s="85">
        <f>S326/'2016'!S326-1</f>
        <v>0.102748078717645</v>
      </c>
      <c r="Z326" s="141"/>
      <c r="AA326" s="141"/>
      <c r="AB326" s="109"/>
      <c r="AC326" s="109"/>
      <c r="AD326" s="38">
        <f t="shared" ref="AD326:AD369" si="87">S326-R326</f>
        <v>19965839.478</v>
      </c>
      <c r="AE326" s="38">
        <f t="shared" si="76"/>
        <v>314446.78</v>
      </c>
      <c r="AF326" s="38">
        <f t="shared" si="77"/>
        <v>246576.06</v>
      </c>
      <c r="AG326" s="38">
        <f t="shared" ref="AG326:AG369" si="88">AD326-Q326-AE326-AF326</f>
        <v>176635.708</v>
      </c>
    </row>
    <row r="327" spans="1:33">
      <c r="A327" s="106">
        <v>43057</v>
      </c>
      <c r="B327" s="21" t="s">
        <v>38</v>
      </c>
      <c r="C327" s="74">
        <v>67008</v>
      </c>
      <c r="D327" s="75">
        <f>20808+11222</f>
        <v>32030</v>
      </c>
      <c r="E327" s="75">
        <v>100962</v>
      </c>
      <c r="F327" s="125">
        <v>5137.6</v>
      </c>
      <c r="G327" s="75">
        <v>3237</v>
      </c>
      <c r="H327" s="25"/>
      <c r="I327" s="25"/>
      <c r="J327" s="74">
        <f t="shared" si="85"/>
        <v>68932</v>
      </c>
      <c r="K327" s="75">
        <v>667</v>
      </c>
      <c r="L327" s="75">
        <v>787</v>
      </c>
      <c r="M327" s="134">
        <f t="shared" si="86"/>
        <v>470</v>
      </c>
      <c r="N327" s="78">
        <f t="shared" ref="N327:P338" si="89">C327+N326</f>
        <v>1052069</v>
      </c>
      <c r="O327" s="79">
        <f t="shared" si="89"/>
        <v>711649</v>
      </c>
      <c r="P327" s="79">
        <f t="shared" si="89"/>
        <v>1796431</v>
      </c>
      <c r="Q327" s="80">
        <f t="shared" si="84"/>
        <v>19295188.93</v>
      </c>
      <c r="R327" s="80">
        <f t="shared" si="84"/>
        <v>11436189</v>
      </c>
      <c r="S327" s="80">
        <f t="shared" si="84"/>
        <v>31470960.478</v>
      </c>
      <c r="T327" s="84">
        <f>N327/'2016'!N327-1</f>
        <v>0.127079523529456</v>
      </c>
      <c r="U327" s="84">
        <f>O327/'2016'!O327-1</f>
        <v>0.0277098638046041</v>
      </c>
      <c r="V327" s="84">
        <f>P327/'2016'!P327-1</f>
        <v>0.0862798761115673</v>
      </c>
      <c r="W327" s="85">
        <f>Q327/'2016'!Q327-1</f>
        <v>0.0856815745970441</v>
      </c>
      <c r="X327" s="85">
        <f>R327/'2016'!R327-1</f>
        <v>0.143216487796296</v>
      </c>
      <c r="Y327" s="85">
        <f>S327/'2016'!S327-1</f>
        <v>0.1026773290042</v>
      </c>
      <c r="Z327" s="144"/>
      <c r="AA327" s="144"/>
      <c r="AB327" s="109"/>
      <c r="AC327" s="109"/>
      <c r="AD327" s="38">
        <f t="shared" si="87"/>
        <v>20034771.478</v>
      </c>
      <c r="AE327" s="75">
        <f t="shared" ref="AE327:AE369" si="90">AE326+K327</f>
        <v>315113.78</v>
      </c>
      <c r="AF327" s="75">
        <f t="shared" ref="AF327:AF369" si="91">AF326+L327</f>
        <v>247363.06</v>
      </c>
      <c r="AG327" s="75">
        <f t="shared" si="88"/>
        <v>177105.708</v>
      </c>
    </row>
    <row r="328" spans="1:33">
      <c r="A328" s="106">
        <v>43058</v>
      </c>
      <c r="B328" s="21" t="s">
        <v>1</v>
      </c>
      <c r="C328" s="9">
        <v>61876</v>
      </c>
      <c r="D328" s="38">
        <f>22194+11170</f>
        <v>33364</v>
      </c>
      <c r="E328" s="38">
        <v>96949</v>
      </c>
      <c r="F328" s="13">
        <v>4747.5</v>
      </c>
      <c r="G328" s="38">
        <v>3269.9</v>
      </c>
      <c r="H328" s="25"/>
      <c r="I328" s="37"/>
      <c r="J328" s="9">
        <f t="shared" si="85"/>
        <v>63585</v>
      </c>
      <c r="K328" s="38">
        <v>327</v>
      </c>
      <c r="L328" s="38">
        <v>790</v>
      </c>
      <c r="M328" s="132">
        <f t="shared" si="86"/>
        <v>592</v>
      </c>
      <c r="N328" s="78">
        <f t="shared" si="89"/>
        <v>1113945</v>
      </c>
      <c r="O328" s="79">
        <f t="shared" si="89"/>
        <v>745013</v>
      </c>
      <c r="P328" s="79">
        <f t="shared" si="89"/>
        <v>1893380</v>
      </c>
      <c r="Q328" s="80">
        <f t="shared" si="84"/>
        <v>19357064.93</v>
      </c>
      <c r="R328" s="80">
        <f t="shared" si="84"/>
        <v>11469553</v>
      </c>
      <c r="S328" s="80">
        <f t="shared" si="84"/>
        <v>31567909.478</v>
      </c>
      <c r="T328" s="84">
        <f>N328/'2016'!N328-1</f>
        <v>0.129873963132238</v>
      </c>
      <c r="U328" s="84">
        <f>O328/'2016'!O328-1</f>
        <v>0.0183226536615237</v>
      </c>
      <c r="V328" s="84">
        <f>P328/'2016'!P328-1</f>
        <v>0.0840909377193655</v>
      </c>
      <c r="W328" s="85">
        <f>Q328/'2016'!Q328-1</f>
        <v>0.0859579621175464</v>
      </c>
      <c r="X328" s="85">
        <f>R328/'2016'!R328-1</f>
        <v>0.142082377121536</v>
      </c>
      <c r="Y328" s="85">
        <f>S328/'2016'!S328-1</f>
        <v>0.102490686991598</v>
      </c>
      <c r="Z328" s="141"/>
      <c r="AA328" s="141"/>
      <c r="AB328" s="109"/>
      <c r="AC328" s="109"/>
      <c r="AD328" s="38">
        <f t="shared" si="87"/>
        <v>20098356.478</v>
      </c>
      <c r="AE328" s="38">
        <f t="shared" si="90"/>
        <v>315440.78</v>
      </c>
      <c r="AF328" s="38">
        <f t="shared" si="91"/>
        <v>248153.06</v>
      </c>
      <c r="AG328" s="38">
        <f t="shared" si="88"/>
        <v>177697.708</v>
      </c>
    </row>
    <row r="329" spans="1:33">
      <c r="A329" s="106">
        <v>43059</v>
      </c>
      <c r="B329" s="21" t="s">
        <v>39</v>
      </c>
      <c r="C329" s="9">
        <v>67196</v>
      </c>
      <c r="D329" s="38">
        <v>35986</v>
      </c>
      <c r="E329" s="38">
        <v>104580</v>
      </c>
      <c r="F329" s="13">
        <v>5362</v>
      </c>
      <c r="G329" s="38">
        <v>3201</v>
      </c>
      <c r="H329" s="25"/>
      <c r="I329" s="37"/>
      <c r="J329" s="9">
        <f t="shared" si="85"/>
        <v>68594</v>
      </c>
      <c r="K329" s="38">
        <v>365</v>
      </c>
      <c r="L329" s="38">
        <v>791</v>
      </c>
      <c r="M329" s="132">
        <f t="shared" si="86"/>
        <v>242</v>
      </c>
      <c r="N329" s="78">
        <f t="shared" si="89"/>
        <v>1181141</v>
      </c>
      <c r="O329" s="79">
        <f t="shared" si="89"/>
        <v>780999</v>
      </c>
      <c r="P329" s="79">
        <f t="shared" si="89"/>
        <v>1997960</v>
      </c>
      <c r="Q329" s="80">
        <f t="shared" si="84"/>
        <v>19424260.93</v>
      </c>
      <c r="R329" s="80">
        <f t="shared" si="84"/>
        <v>11505539</v>
      </c>
      <c r="S329" s="80">
        <f t="shared" si="84"/>
        <v>31672489.478</v>
      </c>
      <c r="T329" s="84">
        <f>N329/'2016'!N329-1</f>
        <v>0.141392022805788</v>
      </c>
      <c r="U329" s="84">
        <f>O329/'2016'!O329-1</f>
        <v>0.0135604438388164</v>
      </c>
      <c r="V329" s="84">
        <f>P329/'2016'!P329-1</f>
        <v>0.0883451049091992</v>
      </c>
      <c r="W329" s="85">
        <f>Q329/'2016'!Q329-1</f>
        <v>0.0867450180426119</v>
      </c>
      <c r="X329" s="85">
        <f>R329/'2016'!R329-1</f>
        <v>0.141240351614509</v>
      </c>
      <c r="Y329" s="85">
        <f>S329/'2016'!S329-1</f>
        <v>0.102705405933257</v>
      </c>
      <c r="Z329" s="141"/>
      <c r="AA329" s="141"/>
      <c r="AB329" s="109"/>
      <c r="AC329" s="109"/>
      <c r="AD329" s="38">
        <f t="shared" si="87"/>
        <v>20166950.478</v>
      </c>
      <c r="AE329" s="38">
        <f t="shared" si="90"/>
        <v>315805.78</v>
      </c>
      <c r="AF329" s="38">
        <f t="shared" si="91"/>
        <v>248944.06</v>
      </c>
      <c r="AG329" s="38">
        <f t="shared" si="88"/>
        <v>177939.708</v>
      </c>
    </row>
    <row r="330" spans="1:33">
      <c r="A330" s="106">
        <v>43060</v>
      </c>
      <c r="B330" s="21" t="s">
        <v>34</v>
      </c>
      <c r="C330" s="9">
        <v>69569</v>
      </c>
      <c r="D330" s="38">
        <v>36490</v>
      </c>
      <c r="E330" s="38">
        <v>107366</v>
      </c>
      <c r="F330" s="13">
        <v>5488</v>
      </c>
      <c r="G330" s="38">
        <v>3358</v>
      </c>
      <c r="H330" s="25"/>
      <c r="I330" s="37"/>
      <c r="J330" s="9">
        <f t="shared" si="85"/>
        <v>70876</v>
      </c>
      <c r="K330" s="38">
        <v>435</v>
      </c>
      <c r="L330" s="38">
        <v>790</v>
      </c>
      <c r="M330" s="132">
        <f t="shared" si="86"/>
        <v>82</v>
      </c>
      <c r="N330" s="78">
        <f t="shared" si="89"/>
        <v>1250710</v>
      </c>
      <c r="O330" s="79">
        <f t="shared" si="89"/>
        <v>817489</v>
      </c>
      <c r="P330" s="79">
        <f t="shared" si="89"/>
        <v>2105326</v>
      </c>
      <c r="Q330" s="80">
        <f t="shared" si="84"/>
        <v>19493829.93</v>
      </c>
      <c r="R330" s="80">
        <f t="shared" si="84"/>
        <v>11542029</v>
      </c>
      <c r="S330" s="80">
        <f t="shared" si="84"/>
        <v>31779855.478</v>
      </c>
      <c r="T330" s="84">
        <f>N330/'2016'!N330-1</f>
        <v>0.148790459246142</v>
      </c>
      <c r="U330" s="84">
        <f>O330/'2016'!O330-1</f>
        <v>0.0114721665097368</v>
      </c>
      <c r="V330" s="84">
        <f>P330/'2016'!P330-1</f>
        <v>0.0916694407888254</v>
      </c>
      <c r="W330" s="85">
        <f>Q330/'2016'!Q330-1</f>
        <v>0.0873585919481437</v>
      </c>
      <c r="X330" s="85">
        <f>R330/'2016'!R330-1</f>
        <v>0.140598299720257</v>
      </c>
      <c r="Y330" s="85">
        <f>S330/'2016'!S330-1</f>
        <v>0.102881668135918</v>
      </c>
      <c r="Z330" s="141"/>
      <c r="AA330" s="141"/>
      <c r="AB330" s="109"/>
      <c r="AC330" s="109"/>
      <c r="AD330" s="38">
        <f t="shared" si="87"/>
        <v>20237826.478</v>
      </c>
      <c r="AE330" s="38">
        <f t="shared" si="90"/>
        <v>316240.78</v>
      </c>
      <c r="AF330" s="38">
        <f t="shared" si="91"/>
        <v>249734.06</v>
      </c>
      <c r="AG330" s="38">
        <f t="shared" si="88"/>
        <v>178021.708</v>
      </c>
    </row>
    <row r="331" spans="1:33">
      <c r="A331" s="106">
        <v>43061</v>
      </c>
      <c r="B331" s="21" t="s">
        <v>35</v>
      </c>
      <c r="C331" s="9">
        <v>67940</v>
      </c>
      <c r="D331" s="38">
        <v>36084</v>
      </c>
      <c r="E331" s="38">
        <v>105953</v>
      </c>
      <c r="F331" s="13">
        <v>5378</v>
      </c>
      <c r="G331" s="38">
        <v>3388</v>
      </c>
      <c r="H331" s="25"/>
      <c r="I331" s="37"/>
      <c r="J331" s="9">
        <f t="shared" si="85"/>
        <v>69869</v>
      </c>
      <c r="K331" s="38">
        <v>295</v>
      </c>
      <c r="L331" s="38">
        <v>791</v>
      </c>
      <c r="M331" s="132">
        <f t="shared" si="86"/>
        <v>843</v>
      </c>
      <c r="N331" s="78">
        <f t="shared" si="89"/>
        <v>1318650</v>
      </c>
      <c r="O331" s="79">
        <f t="shared" si="89"/>
        <v>853573</v>
      </c>
      <c r="P331" s="79">
        <f t="shared" si="89"/>
        <v>2211279</v>
      </c>
      <c r="Q331" s="80">
        <f t="shared" si="84"/>
        <v>19561769.93</v>
      </c>
      <c r="R331" s="80">
        <f t="shared" si="84"/>
        <v>11578113</v>
      </c>
      <c r="S331" s="80">
        <f t="shared" si="84"/>
        <v>31885808.478</v>
      </c>
      <c r="T331" s="84">
        <f>N331/'2016'!N331-1</f>
        <v>0.153557469233219</v>
      </c>
      <c r="U331" s="84">
        <f>O331/'2016'!O331-1</f>
        <v>0.00767348268685231</v>
      </c>
      <c r="V331" s="84">
        <f>P331/'2016'!P331-1</f>
        <v>0.0930481320429315</v>
      </c>
      <c r="W331" s="85">
        <f>Q331/'2016'!Q331-1</f>
        <v>0.087847464774532</v>
      </c>
      <c r="X331" s="85">
        <f>R331/'2016'!R331-1</f>
        <v>0.139787610556744</v>
      </c>
      <c r="Y331" s="85">
        <f>S331/'2016'!S331-1</f>
        <v>0.102941494907379</v>
      </c>
      <c r="Z331" s="141">
        <f>(Z332-Z325)/7*6+Z325</f>
        <v>134.864285714286</v>
      </c>
      <c r="AA331" s="141">
        <f>Q331/10000-Z331</f>
        <v>1821.31270728571</v>
      </c>
      <c r="AB331" s="109"/>
      <c r="AC331" s="109"/>
      <c r="AD331" s="38">
        <f t="shared" si="87"/>
        <v>20307695.478</v>
      </c>
      <c r="AE331" s="38">
        <f t="shared" si="90"/>
        <v>316535.78</v>
      </c>
      <c r="AF331" s="38">
        <f t="shared" si="91"/>
        <v>250525.06</v>
      </c>
      <c r="AG331" s="38">
        <f t="shared" si="88"/>
        <v>178864.708</v>
      </c>
    </row>
    <row r="332" spans="1:33">
      <c r="A332" s="106">
        <v>43062</v>
      </c>
      <c r="B332" s="15" t="s">
        <v>36</v>
      </c>
      <c r="C332" s="33">
        <v>67856</v>
      </c>
      <c r="D332" s="34">
        <v>34771</v>
      </c>
      <c r="E332" s="34">
        <v>104640</v>
      </c>
      <c r="F332" s="124">
        <v>5142</v>
      </c>
      <c r="G332" s="34">
        <v>3377</v>
      </c>
      <c r="H332" s="20"/>
      <c r="I332" s="20"/>
      <c r="J332" s="33">
        <f t="shared" si="85"/>
        <v>69869</v>
      </c>
      <c r="K332" s="34">
        <v>375</v>
      </c>
      <c r="L332" s="34">
        <v>790</v>
      </c>
      <c r="M332" s="133">
        <f t="shared" si="86"/>
        <v>848</v>
      </c>
      <c r="N332" s="81">
        <f t="shared" si="89"/>
        <v>1386506</v>
      </c>
      <c r="O332" s="82">
        <f t="shared" si="89"/>
        <v>888344</v>
      </c>
      <c r="P332" s="82">
        <f t="shared" si="89"/>
        <v>2315919</v>
      </c>
      <c r="Q332" s="81">
        <f t="shared" si="84"/>
        <v>19629625.93</v>
      </c>
      <c r="R332" s="81">
        <f t="shared" si="84"/>
        <v>11612884</v>
      </c>
      <c r="S332" s="81">
        <f t="shared" si="84"/>
        <v>31990448.478</v>
      </c>
      <c r="T332" s="86">
        <f>N332/'2016'!N332-1</f>
        <v>0.154015690883274</v>
      </c>
      <c r="U332" s="86">
        <f>O332/'2016'!O332-1</f>
        <v>0.00372635998580861</v>
      </c>
      <c r="V332" s="86">
        <f>P332/'2016'!P332-1</f>
        <v>0.0921328317646344</v>
      </c>
      <c r="W332" s="86">
        <f>Q332/'2016'!Q332-1</f>
        <v>0.0880904994807497</v>
      </c>
      <c r="X332" s="86">
        <f>R332/'2016'!R332-1</f>
        <v>0.138952962920645</v>
      </c>
      <c r="Y332" s="86">
        <f>S332/'2016'!S332-1</f>
        <v>0.10284132635148</v>
      </c>
      <c r="Z332" s="143">
        <v>135.22</v>
      </c>
      <c r="AA332" s="143">
        <f>Q332/10000-Z332</f>
        <v>1827.742593</v>
      </c>
      <c r="AB332" s="34">
        <v>4269.48</v>
      </c>
      <c r="AC332" s="34">
        <f>AA332*10000/AB332</f>
        <v>4280.94895162877</v>
      </c>
      <c r="AD332" s="34">
        <f t="shared" si="87"/>
        <v>20377564.478</v>
      </c>
      <c r="AE332" s="34">
        <f t="shared" si="90"/>
        <v>316910.78</v>
      </c>
      <c r="AF332" s="34">
        <f t="shared" si="91"/>
        <v>251315.06</v>
      </c>
      <c r="AG332" s="34">
        <f t="shared" si="88"/>
        <v>179712.708</v>
      </c>
    </row>
    <row r="333" spans="1:33">
      <c r="A333" s="106">
        <v>43063</v>
      </c>
      <c r="B333" s="21" t="s">
        <v>37</v>
      </c>
      <c r="C333" s="9">
        <v>69250</v>
      </c>
      <c r="D333" s="38">
        <v>34858</v>
      </c>
      <c r="E333" s="38">
        <v>105904</v>
      </c>
      <c r="F333" s="13">
        <v>5214</v>
      </c>
      <c r="G333" s="38">
        <v>3440</v>
      </c>
      <c r="H333" s="25"/>
      <c r="I333" s="37"/>
      <c r="J333" s="9">
        <f t="shared" si="85"/>
        <v>71046</v>
      </c>
      <c r="K333" s="38">
        <v>368</v>
      </c>
      <c r="L333" s="38">
        <v>791</v>
      </c>
      <c r="M333" s="132">
        <f t="shared" si="86"/>
        <v>637</v>
      </c>
      <c r="N333" s="78">
        <f t="shared" si="89"/>
        <v>1455756</v>
      </c>
      <c r="O333" s="79">
        <f t="shared" si="89"/>
        <v>923202</v>
      </c>
      <c r="P333" s="79">
        <f t="shared" si="89"/>
        <v>2421823</v>
      </c>
      <c r="Q333" s="80">
        <f t="shared" si="84"/>
        <v>19698875.93</v>
      </c>
      <c r="R333" s="80">
        <f t="shared" si="84"/>
        <v>11647742</v>
      </c>
      <c r="S333" s="80">
        <f t="shared" si="84"/>
        <v>32096352.478</v>
      </c>
      <c r="T333" s="84">
        <f>N333/'2016'!N333-1</f>
        <v>0.153774091845032</v>
      </c>
      <c r="U333" s="84">
        <f>O333/'2016'!O333-1</f>
        <v>-3.24954912500619e-6</v>
      </c>
      <c r="V333" s="84">
        <f>P333/'2016'!P333-1</f>
        <v>0.0907255431282421</v>
      </c>
      <c r="W333" s="85">
        <f>Q333/'2016'!Q333-1</f>
        <v>0.0882931771670576</v>
      </c>
      <c r="X333" s="85">
        <f>R333/'2016'!R333-1</f>
        <v>0.138112325419786</v>
      </c>
      <c r="Y333" s="85">
        <f>S333/'2016'!S333-1</f>
        <v>0.102697246450713</v>
      </c>
      <c r="Z333" s="141"/>
      <c r="AA333" s="141"/>
      <c r="AB333" s="109"/>
      <c r="AC333" s="109"/>
      <c r="AD333" s="38">
        <f t="shared" si="87"/>
        <v>20448610.478</v>
      </c>
      <c r="AE333" s="38">
        <f t="shared" si="90"/>
        <v>317278.78</v>
      </c>
      <c r="AF333" s="38">
        <f t="shared" si="91"/>
        <v>252106.06</v>
      </c>
      <c r="AG333" s="38">
        <f t="shared" si="88"/>
        <v>180349.708</v>
      </c>
    </row>
    <row r="334" spans="1:33">
      <c r="A334" s="106">
        <v>43064</v>
      </c>
      <c r="B334" s="21" t="s">
        <v>38</v>
      </c>
      <c r="C334" s="74">
        <v>68696</v>
      </c>
      <c r="D334" s="75">
        <v>34544</v>
      </c>
      <c r="E334" s="75">
        <v>104946</v>
      </c>
      <c r="F334" s="125">
        <v>5274</v>
      </c>
      <c r="G334" s="75">
        <v>3408</v>
      </c>
      <c r="H334" s="25"/>
      <c r="I334" s="25"/>
      <c r="J334" s="74">
        <f t="shared" si="85"/>
        <v>70402</v>
      </c>
      <c r="K334" s="75">
        <v>537</v>
      </c>
      <c r="L334" s="75">
        <v>791</v>
      </c>
      <c r="M334" s="134">
        <f t="shared" si="86"/>
        <v>378</v>
      </c>
      <c r="N334" s="78">
        <f t="shared" si="89"/>
        <v>1524452</v>
      </c>
      <c r="O334" s="79">
        <f t="shared" si="89"/>
        <v>957746</v>
      </c>
      <c r="P334" s="79">
        <f t="shared" si="89"/>
        <v>2526769</v>
      </c>
      <c r="Q334" s="80">
        <f t="shared" si="84"/>
        <v>19767571.93</v>
      </c>
      <c r="R334" s="80">
        <f t="shared" si="84"/>
        <v>11682286</v>
      </c>
      <c r="S334" s="80">
        <f t="shared" si="84"/>
        <v>32201298.478</v>
      </c>
      <c r="T334" s="84">
        <f>N334/'2016'!N334-1</f>
        <v>0.152770972093671</v>
      </c>
      <c r="U334" s="84">
        <f>O334/'2016'!O334-1</f>
        <v>-0.00530919408677089</v>
      </c>
      <c r="V334" s="84">
        <f>P334/'2016'!P334-1</f>
        <v>0.088003737529011</v>
      </c>
      <c r="W334" s="85">
        <f>Q334/'2016'!Q334-1</f>
        <v>0.0884389526862939</v>
      </c>
      <c r="X334" s="85">
        <f>R334/'2016'!R334-1</f>
        <v>0.13708199122107</v>
      </c>
      <c r="Y334" s="85">
        <f>S334/'2016'!S334-1</f>
        <v>0.102439027588374</v>
      </c>
      <c r="Z334" s="144"/>
      <c r="AA334" s="144"/>
      <c r="AB334" s="109"/>
      <c r="AC334" s="109"/>
      <c r="AD334" s="38">
        <f t="shared" si="87"/>
        <v>20519012.478</v>
      </c>
      <c r="AE334" s="75">
        <f t="shared" si="90"/>
        <v>317815.78</v>
      </c>
      <c r="AF334" s="75">
        <f t="shared" si="91"/>
        <v>252897.06</v>
      </c>
      <c r="AG334" s="75">
        <f t="shared" si="88"/>
        <v>180727.708</v>
      </c>
    </row>
    <row r="335" spans="1:33">
      <c r="A335" s="106">
        <v>43065</v>
      </c>
      <c r="B335" s="21" t="s">
        <v>1</v>
      </c>
      <c r="C335" s="9">
        <v>63215</v>
      </c>
      <c r="D335" s="38">
        <v>33766</v>
      </c>
      <c r="E335" s="38">
        <v>98512</v>
      </c>
      <c r="F335" s="13">
        <v>4867</v>
      </c>
      <c r="G335" s="38">
        <v>3368</v>
      </c>
      <c r="H335" s="25"/>
      <c r="I335" s="37"/>
      <c r="J335" s="9">
        <f t="shared" si="85"/>
        <v>64746</v>
      </c>
      <c r="K335" s="38">
        <v>210</v>
      </c>
      <c r="L335" s="38">
        <v>791</v>
      </c>
      <c r="M335" s="132">
        <f t="shared" si="86"/>
        <v>530</v>
      </c>
      <c r="N335" s="78">
        <f t="shared" si="89"/>
        <v>1587667</v>
      </c>
      <c r="O335" s="79">
        <f t="shared" si="89"/>
        <v>991512</v>
      </c>
      <c r="P335" s="79">
        <f t="shared" si="89"/>
        <v>2625281</v>
      </c>
      <c r="Q335" s="80">
        <f t="shared" si="84"/>
        <v>19830786.93</v>
      </c>
      <c r="R335" s="80">
        <f t="shared" si="84"/>
        <v>11716052</v>
      </c>
      <c r="S335" s="80">
        <f t="shared" si="84"/>
        <v>32299810.478</v>
      </c>
      <c r="T335" s="84">
        <f>N335/'2016'!N335-1</f>
        <v>0.149664405716797</v>
      </c>
      <c r="U335" s="84">
        <f>O335/'2016'!O335-1</f>
        <v>-0.00941716669763759</v>
      </c>
      <c r="V335" s="84">
        <f>P335/'2016'!P335-1</f>
        <v>0.0847497615871931</v>
      </c>
      <c r="W335" s="85">
        <f>Q335/'2016'!Q335-1</f>
        <v>0.088410253570316</v>
      </c>
      <c r="X335" s="85">
        <f>R335/'2016'!R335-1</f>
        <v>0.13615742906054</v>
      </c>
      <c r="Y335" s="85">
        <f>S335/'2016'!S335-1</f>
        <v>0.102122150495169</v>
      </c>
      <c r="Z335" s="141"/>
      <c r="AA335" s="141"/>
      <c r="AB335" s="109"/>
      <c r="AC335" s="109"/>
      <c r="AD335" s="38">
        <f t="shared" si="87"/>
        <v>20583758.478</v>
      </c>
      <c r="AE335" s="38">
        <f t="shared" si="90"/>
        <v>318025.78</v>
      </c>
      <c r="AF335" s="38">
        <f t="shared" si="91"/>
        <v>253688.06</v>
      </c>
      <c r="AG335" s="38">
        <f t="shared" si="88"/>
        <v>181257.708</v>
      </c>
    </row>
    <row r="336" spans="1:33">
      <c r="A336" s="106">
        <v>43066</v>
      </c>
      <c r="B336" s="21" t="s">
        <v>39</v>
      </c>
      <c r="C336" s="9">
        <v>64927</v>
      </c>
      <c r="D336" s="38">
        <v>35206</v>
      </c>
      <c r="E336" s="38">
        <v>101899</v>
      </c>
      <c r="F336" s="13">
        <v>5163</v>
      </c>
      <c r="G336" s="38">
        <v>3228</v>
      </c>
      <c r="H336" s="25"/>
      <c r="I336" s="37"/>
      <c r="J336" s="9">
        <f t="shared" si="85"/>
        <v>66693</v>
      </c>
      <c r="K336" s="38">
        <v>176</v>
      </c>
      <c r="L336" s="38">
        <v>790</v>
      </c>
      <c r="M336" s="132">
        <f t="shared" si="86"/>
        <v>800</v>
      </c>
      <c r="N336" s="78">
        <f t="shared" si="89"/>
        <v>1652594</v>
      </c>
      <c r="O336" s="79">
        <f t="shared" si="89"/>
        <v>1026718</v>
      </c>
      <c r="P336" s="79">
        <f t="shared" si="89"/>
        <v>2727180</v>
      </c>
      <c r="Q336" s="80">
        <f t="shared" si="84"/>
        <v>19895713.93</v>
      </c>
      <c r="R336" s="80">
        <f t="shared" si="84"/>
        <v>11751258</v>
      </c>
      <c r="S336" s="80">
        <f t="shared" si="84"/>
        <v>32401709.478</v>
      </c>
      <c r="T336" s="84">
        <f>N336/'2016'!N336-1</f>
        <v>0.152936629416665</v>
      </c>
      <c r="U336" s="84">
        <f>O336/'2016'!O336-1</f>
        <v>-0.010670731707317</v>
      </c>
      <c r="V336" s="84">
        <f>P336/'2016'!P336-1</f>
        <v>0.0864652967563562</v>
      </c>
      <c r="W336" s="85">
        <f>Q336/'2016'!Q336-1</f>
        <v>0.0888425868132678</v>
      </c>
      <c r="X336" s="85">
        <f>R336/'2016'!R336-1</f>
        <v>0.13551330481036</v>
      </c>
      <c r="Y336" s="85">
        <f>S336/'2016'!S336-1</f>
        <v>0.102215469011035</v>
      </c>
      <c r="Z336" s="141"/>
      <c r="AA336" s="141"/>
      <c r="AB336" s="109"/>
      <c r="AC336" s="109"/>
      <c r="AD336" s="38">
        <f t="shared" si="87"/>
        <v>20650451.478</v>
      </c>
      <c r="AE336" s="38">
        <f t="shared" si="90"/>
        <v>318201.78</v>
      </c>
      <c r="AF336" s="38">
        <f t="shared" si="91"/>
        <v>254478.06</v>
      </c>
      <c r="AG336" s="38">
        <f t="shared" si="88"/>
        <v>182057.708</v>
      </c>
    </row>
    <row r="337" spans="1:33">
      <c r="A337" s="106">
        <v>43067</v>
      </c>
      <c r="B337" s="21" t="s">
        <v>34</v>
      </c>
      <c r="C337" s="9">
        <v>66630</v>
      </c>
      <c r="D337" s="38">
        <v>34672</v>
      </c>
      <c r="E337" s="38">
        <v>102825</v>
      </c>
      <c r="F337" s="13">
        <v>5115</v>
      </c>
      <c r="G337" s="38">
        <v>3353</v>
      </c>
      <c r="H337" s="25"/>
      <c r="I337" s="37"/>
      <c r="J337" s="9">
        <f t="shared" si="85"/>
        <v>68153</v>
      </c>
      <c r="K337" s="38">
        <v>169</v>
      </c>
      <c r="L337" s="38">
        <v>792</v>
      </c>
      <c r="M337" s="132">
        <f t="shared" si="86"/>
        <v>562</v>
      </c>
      <c r="N337" s="78">
        <f t="shared" si="89"/>
        <v>1719224</v>
      </c>
      <c r="O337" s="79">
        <f t="shared" si="89"/>
        <v>1061390</v>
      </c>
      <c r="P337" s="79">
        <f t="shared" si="89"/>
        <v>2830005</v>
      </c>
      <c r="Q337" s="80">
        <f t="shared" si="84"/>
        <v>19962343.93</v>
      </c>
      <c r="R337" s="80">
        <f t="shared" si="84"/>
        <v>11785930</v>
      </c>
      <c r="S337" s="80">
        <f t="shared" si="84"/>
        <v>32504534.478</v>
      </c>
      <c r="T337" s="84">
        <f>N337/'2016'!N337-1</f>
        <v>0.152582279227797</v>
      </c>
      <c r="U337" s="84">
        <f>O337/'2016'!O337-1</f>
        <v>-0.0118414425351617</v>
      </c>
      <c r="V337" s="84">
        <f>P337/'2016'!P337-1</f>
        <v>0.0863163155593618</v>
      </c>
      <c r="W337" s="85">
        <f>Q337/'2016'!Q337-1</f>
        <v>0.0890174266517503</v>
      </c>
      <c r="X337" s="85">
        <f>R337/'2016'!R337-1</f>
        <v>0.134881014924361</v>
      </c>
      <c r="Y337" s="85">
        <f>S337/'2016'!S337-1</f>
        <v>0.102151574589383</v>
      </c>
      <c r="Z337" s="141"/>
      <c r="AA337" s="141"/>
      <c r="AB337" s="109"/>
      <c r="AC337" s="109"/>
      <c r="AD337" s="38">
        <f t="shared" si="87"/>
        <v>20718604.478</v>
      </c>
      <c r="AE337" s="38">
        <f t="shared" si="90"/>
        <v>318370.78</v>
      </c>
      <c r="AF337" s="38">
        <f t="shared" si="91"/>
        <v>255270.06</v>
      </c>
      <c r="AG337" s="38">
        <f t="shared" si="88"/>
        <v>182619.708</v>
      </c>
    </row>
    <row r="338" spans="1:33">
      <c r="A338" s="106">
        <v>43068</v>
      </c>
      <c r="B338" s="21" t="s">
        <v>35</v>
      </c>
      <c r="C338" s="9">
        <v>67748</v>
      </c>
      <c r="D338" s="38">
        <v>34476</v>
      </c>
      <c r="E338" s="38">
        <v>103782</v>
      </c>
      <c r="F338" s="13">
        <v>5352</v>
      </c>
      <c r="G338" s="38">
        <v>3327</v>
      </c>
      <c r="H338" s="25"/>
      <c r="I338" s="37"/>
      <c r="J338" s="9">
        <f t="shared" si="85"/>
        <v>69306</v>
      </c>
      <c r="K338" s="38">
        <v>650</v>
      </c>
      <c r="L338" s="38">
        <v>789</v>
      </c>
      <c r="M338" s="132">
        <f t="shared" si="86"/>
        <v>119</v>
      </c>
      <c r="N338" s="78">
        <f t="shared" si="89"/>
        <v>1786972</v>
      </c>
      <c r="O338" s="79">
        <f t="shared" si="89"/>
        <v>1095866</v>
      </c>
      <c r="P338" s="79">
        <f t="shared" si="89"/>
        <v>2933787</v>
      </c>
      <c r="Q338" s="80">
        <f t="shared" si="84"/>
        <v>20030091.93</v>
      </c>
      <c r="R338" s="80">
        <f t="shared" si="84"/>
        <v>11820406</v>
      </c>
      <c r="S338" s="80">
        <f t="shared" si="84"/>
        <v>32608316.478</v>
      </c>
      <c r="T338" s="84">
        <f>N338/'2016'!N338-1</f>
        <v>0.152274827333393</v>
      </c>
      <c r="U338" s="84">
        <f>O338/'2016'!O338-1</f>
        <v>-0.0153608119594379</v>
      </c>
      <c r="V338" s="84">
        <f>P338/'2016'!P338-1</f>
        <v>0.0848187196952526</v>
      </c>
      <c r="W338" s="85">
        <f>Q338/'2016'!Q338-1</f>
        <v>0.0891961013810161</v>
      </c>
      <c r="X338" s="85">
        <f>R338/'2016'!R338-1</f>
        <v>0.1339583832381</v>
      </c>
      <c r="Y338" s="85">
        <f>S338/'2016'!S338-1</f>
        <v>0.101961586269041</v>
      </c>
      <c r="Z338" s="141">
        <f>(Z339-Z332)/7*6+Z332</f>
        <v>137.282481142857</v>
      </c>
      <c r="AA338" s="141">
        <f>Q338/10000-Z338</f>
        <v>1865.72671185714</v>
      </c>
      <c r="AB338" s="109"/>
      <c r="AC338" s="109"/>
      <c r="AD338" s="38">
        <f t="shared" si="87"/>
        <v>20787910.478</v>
      </c>
      <c r="AE338" s="38">
        <f t="shared" si="90"/>
        <v>319020.78</v>
      </c>
      <c r="AF338" s="38">
        <f t="shared" si="91"/>
        <v>256059.06</v>
      </c>
      <c r="AG338" s="38">
        <f t="shared" si="88"/>
        <v>182738.708</v>
      </c>
    </row>
    <row r="339" s="1" customFormat="1" spans="1:33">
      <c r="A339" s="26">
        <v>43069</v>
      </c>
      <c r="B339" s="26" t="s">
        <v>36</v>
      </c>
      <c r="C339" s="43">
        <v>66835</v>
      </c>
      <c r="D339" s="44">
        <v>35204</v>
      </c>
      <c r="E339" s="44">
        <v>103431</v>
      </c>
      <c r="F339" s="127">
        <v>5346</v>
      </c>
      <c r="G339" s="44">
        <v>3261</v>
      </c>
      <c r="H339" s="31"/>
      <c r="I339" s="31"/>
      <c r="J339" s="43">
        <f t="shared" si="85"/>
        <v>68227</v>
      </c>
      <c r="K339" s="44">
        <v>415</v>
      </c>
      <c r="L339" s="44">
        <v>791</v>
      </c>
      <c r="M339" s="135">
        <f t="shared" si="86"/>
        <v>186</v>
      </c>
      <c r="N339" s="91">
        <f>[17]表2、统调口径电量!$D$10</f>
        <v>1853767.66</v>
      </c>
      <c r="O339" s="92">
        <f>[17]表2、统调口径电量!$D$14</f>
        <v>1131289</v>
      </c>
      <c r="P339" s="136">
        <f>[17]表2、统调口径电量!$D$3</f>
        <v>3037218.53</v>
      </c>
      <c r="Q339" s="91">
        <f t="shared" ref="Q339" si="92">Q$309+N339</f>
        <v>20096887.59</v>
      </c>
      <c r="R339" s="91">
        <f t="shared" ref="R339" si="93">R$309+O339</f>
        <v>11855829</v>
      </c>
      <c r="S339" s="91">
        <f t="shared" ref="S339" si="94">S$309+P339</f>
        <v>32711748.008</v>
      </c>
      <c r="T339" s="93">
        <f>N339/'2016'!N339-1</f>
        <v>0.153164015529231</v>
      </c>
      <c r="U339" s="93">
        <f>O339/'2016'!O339-1</f>
        <v>-0.0180899567844282</v>
      </c>
      <c r="V339" s="93">
        <f>P339/'2016'!P339-1</f>
        <v>0.0843800983976464</v>
      </c>
      <c r="W339" s="93">
        <f>Q339/'2016'!Q339-1</f>
        <v>0.0894675749715854</v>
      </c>
      <c r="X339" s="93">
        <f>R339/'2016'!R339-1</f>
        <v>0.133098892402795</v>
      </c>
      <c r="Y339" s="93">
        <f>S339/'2016'!S339-1</f>
        <v>0.101864494728514</v>
      </c>
      <c r="Z339" s="146">
        <v>137.626228</v>
      </c>
      <c r="AA339" s="146">
        <v>1872.062531</v>
      </c>
      <c r="AB339" s="44">
        <v>4269.48</v>
      </c>
      <c r="AC339" s="44">
        <f>AA339*10000/AB339</f>
        <v>4384.75535896643</v>
      </c>
      <c r="AD339" s="44">
        <f>[17]表2、统调口径电量!$I$4</f>
        <v>20855919.01</v>
      </c>
      <c r="AE339" s="44">
        <f>[17]表2、统调口径电量!$I$13</f>
        <v>319475.21</v>
      </c>
      <c r="AF339" s="44">
        <f>[17]表2、统调口径电量!$I$15</f>
        <v>256848.3</v>
      </c>
      <c r="AG339" s="44">
        <f>[17]表2、统调口径电量!$I$22</f>
        <v>182707.91</v>
      </c>
    </row>
    <row r="340" spans="1:33">
      <c r="A340" s="106">
        <v>43070</v>
      </c>
      <c r="B340" s="21" t="s">
        <v>37</v>
      </c>
      <c r="C340" s="9">
        <v>64643</v>
      </c>
      <c r="D340" s="152">
        <f>24397+11217</f>
        <v>35614</v>
      </c>
      <c r="E340" s="38">
        <v>101904</v>
      </c>
      <c r="F340" s="13">
        <v>5127.6</v>
      </c>
      <c r="G340" s="38">
        <v>3259.6</v>
      </c>
      <c r="H340" s="25"/>
      <c r="I340" s="37"/>
      <c r="J340" s="9">
        <f t="shared" si="85"/>
        <v>66290</v>
      </c>
      <c r="K340" s="38">
        <v>474</v>
      </c>
      <c r="L340" s="38">
        <v>791</v>
      </c>
      <c r="M340" s="132">
        <f t="shared" si="86"/>
        <v>382</v>
      </c>
      <c r="N340" s="78">
        <f>C340</f>
        <v>64643</v>
      </c>
      <c r="O340" s="79">
        <f>D340</f>
        <v>35614</v>
      </c>
      <c r="P340" s="79">
        <f>E340</f>
        <v>101904</v>
      </c>
      <c r="Q340" s="80">
        <f>Q$339+N340</f>
        <v>20161530.59</v>
      </c>
      <c r="R340" s="80">
        <f>R$339+O340</f>
        <v>11891443</v>
      </c>
      <c r="S340" s="80">
        <f>S$339+P340</f>
        <v>32813652.008</v>
      </c>
      <c r="T340" s="84">
        <f>N340/'2016'!N340-1</f>
        <v>0.162769363600389</v>
      </c>
      <c r="U340" s="84">
        <f>O340/'2016'!O340-1</f>
        <v>-0.0315966934957581</v>
      </c>
      <c r="V340" s="84">
        <f>P340/'2016'!P340-1</f>
        <v>0.0918207727087663</v>
      </c>
      <c r="W340" s="85">
        <f>Q340/'2016'!Q340-1</f>
        <v>0.0896878275976651</v>
      </c>
      <c r="X340" s="85">
        <f>R340/'2016'!R340-1</f>
        <v>0.132522048166632</v>
      </c>
      <c r="Y340" s="85">
        <f>S340/'2016'!S340-1</f>
        <v>0.101833017551438</v>
      </c>
      <c r="Z340" s="141"/>
      <c r="AA340" s="141"/>
      <c r="AB340" s="109"/>
      <c r="AC340" s="109"/>
      <c r="AD340" s="38">
        <f t="shared" si="87"/>
        <v>20922209.008</v>
      </c>
      <c r="AE340" s="38">
        <f t="shared" si="90"/>
        <v>319949.21</v>
      </c>
      <c r="AF340" s="38">
        <f t="shared" si="91"/>
        <v>257639.3</v>
      </c>
      <c r="AG340" s="38">
        <f t="shared" si="88"/>
        <v>183089.908000001</v>
      </c>
    </row>
    <row r="341" spans="1:33">
      <c r="A341" s="106">
        <v>43071</v>
      </c>
      <c r="B341" s="21" t="s">
        <v>38</v>
      </c>
      <c r="C341" s="74">
        <v>65937</v>
      </c>
      <c r="D341" s="75">
        <f>28422+8245</f>
        <v>36667</v>
      </c>
      <c r="E341" s="75">
        <v>103833</v>
      </c>
      <c r="F341" s="125">
        <v>5300.3</v>
      </c>
      <c r="G341" s="75">
        <v>3296.1</v>
      </c>
      <c r="H341" s="25"/>
      <c r="I341" s="25"/>
      <c r="J341" s="74">
        <f t="shared" si="85"/>
        <v>67166</v>
      </c>
      <c r="K341" s="75">
        <v>198</v>
      </c>
      <c r="L341" s="75">
        <v>792</v>
      </c>
      <c r="M341" s="134">
        <f t="shared" si="86"/>
        <v>239</v>
      </c>
      <c r="N341" s="78">
        <f t="shared" ref="N341:P356" si="95">N340+C341</f>
        <v>130580</v>
      </c>
      <c r="O341" s="79">
        <f t="shared" si="95"/>
        <v>72281</v>
      </c>
      <c r="P341" s="79">
        <f t="shared" si="95"/>
        <v>205737</v>
      </c>
      <c r="Q341" s="80">
        <f t="shared" ref="Q341:S369" si="96">Q$339+N341</f>
        <v>20227467.59</v>
      </c>
      <c r="R341" s="80">
        <f t="shared" si="96"/>
        <v>11928110</v>
      </c>
      <c r="S341" s="80">
        <f t="shared" si="96"/>
        <v>32917485.008</v>
      </c>
      <c r="T341" s="84">
        <f>N341/'2016'!N341-1</f>
        <v>0.130719407017422</v>
      </c>
      <c r="U341" s="84">
        <f>O341/'2016'!O341-1</f>
        <v>0.0015935482082976</v>
      </c>
      <c r="V341" s="84">
        <f>P341/'2016'!P341-1</f>
        <v>0.0876865573007808</v>
      </c>
      <c r="W341" s="85">
        <f>Q341/'2016'!Q341-1</f>
        <v>0.08972422431067</v>
      </c>
      <c r="X341" s="85">
        <f>R341/'2016'!R341-1</f>
        <v>0.13219809563151</v>
      </c>
      <c r="Y341" s="85">
        <f>S341/'2016'!S341-1</f>
        <v>0.10177473369193</v>
      </c>
      <c r="Z341" s="144"/>
      <c r="AA341" s="144"/>
      <c r="AB341" s="109"/>
      <c r="AC341" s="109"/>
      <c r="AD341" s="38">
        <f t="shared" si="87"/>
        <v>20989375.008</v>
      </c>
      <c r="AE341" s="75">
        <f t="shared" si="90"/>
        <v>320147.21</v>
      </c>
      <c r="AF341" s="75">
        <f t="shared" si="91"/>
        <v>258431.3</v>
      </c>
      <c r="AG341" s="75">
        <f t="shared" si="88"/>
        <v>183328.908000001</v>
      </c>
    </row>
    <row r="342" spans="1:33">
      <c r="A342" s="106">
        <v>43072</v>
      </c>
      <c r="B342" s="21" t="s">
        <v>1</v>
      </c>
      <c r="C342" s="9">
        <v>60309</v>
      </c>
      <c r="D342" s="38">
        <f>28542+8290</f>
        <v>36832</v>
      </c>
      <c r="E342" s="38">
        <v>98578</v>
      </c>
      <c r="F342" s="13">
        <v>4837.3</v>
      </c>
      <c r="G342" s="38">
        <v>3337.8</v>
      </c>
      <c r="H342" s="25"/>
      <c r="I342" s="37"/>
      <c r="J342" s="9">
        <f t="shared" si="85"/>
        <v>61746</v>
      </c>
      <c r="K342" s="38">
        <v>319</v>
      </c>
      <c r="L342" s="38">
        <v>790</v>
      </c>
      <c r="M342" s="132">
        <f t="shared" si="86"/>
        <v>328</v>
      </c>
      <c r="N342" s="78">
        <f t="shared" si="95"/>
        <v>190889</v>
      </c>
      <c r="O342" s="79">
        <f t="shared" si="95"/>
        <v>109113</v>
      </c>
      <c r="P342" s="79">
        <f t="shared" si="95"/>
        <v>304315</v>
      </c>
      <c r="Q342" s="80">
        <f t="shared" si="96"/>
        <v>20287776.59</v>
      </c>
      <c r="R342" s="80">
        <f t="shared" si="96"/>
        <v>11964942</v>
      </c>
      <c r="S342" s="80">
        <f t="shared" si="96"/>
        <v>33016063.008</v>
      </c>
      <c r="T342" s="84">
        <f>N342/'2016'!N342-1</f>
        <v>0.0746136741070171</v>
      </c>
      <c r="U342" s="84">
        <f>O342/'2016'!O342-1</f>
        <v>0.0360140524116976</v>
      </c>
      <c r="V342" s="84">
        <f>P342/'2016'!P342-1</f>
        <v>0.0682704560373788</v>
      </c>
      <c r="W342" s="85">
        <f>Q342/'2016'!Q342-1</f>
        <v>0.089325900227323</v>
      </c>
      <c r="X342" s="85">
        <f>R342/'2016'!R342-1</f>
        <v>0.132131397898095</v>
      </c>
      <c r="Y342" s="85">
        <f>S342/'2016'!S342-1</f>
        <v>0.101545207607635</v>
      </c>
      <c r="Z342" s="141"/>
      <c r="AA342" s="141"/>
      <c r="AB342" s="109"/>
      <c r="AC342" s="109"/>
      <c r="AD342" s="38">
        <f t="shared" si="87"/>
        <v>21051121.008</v>
      </c>
      <c r="AE342" s="38">
        <f t="shared" si="90"/>
        <v>320466.21</v>
      </c>
      <c r="AF342" s="38">
        <f t="shared" si="91"/>
        <v>259221.3</v>
      </c>
      <c r="AG342" s="38">
        <f t="shared" si="88"/>
        <v>183656.908000001</v>
      </c>
    </row>
    <row r="343" spans="1:33">
      <c r="A343" s="106">
        <v>43073</v>
      </c>
      <c r="B343" s="21" t="s">
        <v>39</v>
      </c>
      <c r="C343" s="9">
        <v>62086</v>
      </c>
      <c r="D343" s="38">
        <f>29538+8167</f>
        <v>37705</v>
      </c>
      <c r="E343" s="38">
        <v>101923</v>
      </c>
      <c r="F343" s="13">
        <v>5130.5</v>
      </c>
      <c r="G343" s="38">
        <v>3146.7</v>
      </c>
      <c r="H343" s="25"/>
      <c r="I343" s="37"/>
      <c r="J343" s="9">
        <f t="shared" si="85"/>
        <v>64218</v>
      </c>
      <c r="K343" s="38">
        <v>623</v>
      </c>
      <c r="L343" s="38">
        <v>791</v>
      </c>
      <c r="M343" s="132">
        <f t="shared" si="86"/>
        <v>718</v>
      </c>
      <c r="N343" s="78">
        <f t="shared" si="95"/>
        <v>252975</v>
      </c>
      <c r="O343" s="79">
        <f t="shared" si="95"/>
        <v>146818</v>
      </c>
      <c r="P343" s="79">
        <f t="shared" si="95"/>
        <v>406238</v>
      </c>
      <c r="Q343" s="80">
        <f t="shared" si="96"/>
        <v>20349862.59</v>
      </c>
      <c r="R343" s="80">
        <f t="shared" si="96"/>
        <v>12002647</v>
      </c>
      <c r="S343" s="80">
        <f t="shared" si="96"/>
        <v>33117986.008</v>
      </c>
      <c r="T343" s="84">
        <f>N343/'2016'!N343-1</f>
        <v>0.0754322346969574</v>
      </c>
      <c r="U343" s="84">
        <f>O343/'2016'!O343-1</f>
        <v>0.0649557894431427</v>
      </c>
      <c r="V343" s="84">
        <f>P343/'2016'!P343-1</f>
        <v>0.0809117976526559</v>
      </c>
      <c r="W343" s="85">
        <f>Q343/'2016'!Q343-1</f>
        <v>0.0892908492045688</v>
      </c>
      <c r="X343" s="85">
        <f>R343/'2016'!R343-1</f>
        <v>0.132212715095378</v>
      </c>
      <c r="Y343" s="85">
        <f>S343/'2016'!S343-1</f>
        <v>0.101602561110816</v>
      </c>
      <c r="Z343" s="141"/>
      <c r="AA343" s="141"/>
      <c r="AB343" s="109"/>
      <c r="AC343" s="109"/>
      <c r="AD343" s="38">
        <f t="shared" si="87"/>
        <v>21115339.008</v>
      </c>
      <c r="AE343" s="38">
        <f t="shared" si="90"/>
        <v>321089.21</v>
      </c>
      <c r="AF343" s="38">
        <f t="shared" si="91"/>
        <v>260012.3</v>
      </c>
      <c r="AG343" s="38">
        <f t="shared" si="88"/>
        <v>184374.908000001</v>
      </c>
    </row>
    <row r="344" spans="1:33">
      <c r="A344" s="106">
        <v>43074</v>
      </c>
      <c r="B344" s="21" t="s">
        <v>34</v>
      </c>
      <c r="C344" s="9">
        <v>64600</v>
      </c>
      <c r="D344" s="38">
        <f>30949+8108</f>
        <v>39057</v>
      </c>
      <c r="E344" s="38">
        <v>105891</v>
      </c>
      <c r="F344" s="117">
        <v>5230.4</v>
      </c>
      <c r="G344" s="38">
        <v>3355.1</v>
      </c>
      <c r="H344" s="25"/>
      <c r="I344" s="37"/>
      <c r="J344" s="9">
        <f t="shared" si="85"/>
        <v>66834</v>
      </c>
      <c r="K344" s="38">
        <v>686</v>
      </c>
      <c r="L344" s="38">
        <v>791</v>
      </c>
      <c r="M344" s="132">
        <f t="shared" si="86"/>
        <v>757</v>
      </c>
      <c r="N344" s="78">
        <f t="shared" si="95"/>
        <v>317575</v>
      </c>
      <c r="O344" s="79">
        <f t="shared" si="95"/>
        <v>185875</v>
      </c>
      <c r="P344" s="79">
        <f t="shared" si="95"/>
        <v>512129</v>
      </c>
      <c r="Q344" s="80">
        <f t="shared" si="96"/>
        <v>20414462.59</v>
      </c>
      <c r="R344" s="80">
        <f t="shared" si="96"/>
        <v>12041704</v>
      </c>
      <c r="S344" s="80">
        <f t="shared" si="96"/>
        <v>33223877.008</v>
      </c>
      <c r="T344" s="84">
        <f>N344/'2016'!N344-1</f>
        <v>0.0756066004633331</v>
      </c>
      <c r="U344" s="84">
        <f>O344/'2016'!O344-1</f>
        <v>0.0846224317716326</v>
      </c>
      <c r="V344" s="84">
        <f>P344/'2016'!P344-1</f>
        <v>0.088649436893369</v>
      </c>
      <c r="W344" s="85">
        <f>Q344/'2016'!Q344-1</f>
        <v>0.0892492135483012</v>
      </c>
      <c r="X344" s="85">
        <f>R344/'2016'!R344-1</f>
        <v>0.132317707836232</v>
      </c>
      <c r="Y344" s="85">
        <f>S344/'2016'!S344-1</f>
        <v>0.101658357226986</v>
      </c>
      <c r="Z344" s="141"/>
      <c r="AA344" s="141"/>
      <c r="AB344" s="109"/>
      <c r="AC344" s="109"/>
      <c r="AD344" s="38">
        <f t="shared" si="87"/>
        <v>21182173.008</v>
      </c>
      <c r="AE344" s="38">
        <f t="shared" si="90"/>
        <v>321775.21</v>
      </c>
      <c r="AF344" s="38">
        <f t="shared" si="91"/>
        <v>260803.3</v>
      </c>
      <c r="AG344" s="38">
        <f t="shared" si="88"/>
        <v>185131.908000001</v>
      </c>
    </row>
    <row r="345" spans="1:33">
      <c r="A345" s="106">
        <v>43075</v>
      </c>
      <c r="B345" s="21" t="s">
        <v>35</v>
      </c>
      <c r="C345" s="9">
        <v>66906</v>
      </c>
      <c r="D345" s="38">
        <f>31156+8128</f>
        <v>39284</v>
      </c>
      <c r="E345" s="38">
        <v>108010</v>
      </c>
      <c r="F345" s="13">
        <v>5375.2</v>
      </c>
      <c r="G345" s="38">
        <v>3439.5</v>
      </c>
      <c r="H345" s="25"/>
      <c r="I345" s="37"/>
      <c r="J345" s="9">
        <f t="shared" si="85"/>
        <v>68726</v>
      </c>
      <c r="K345" s="38">
        <v>426</v>
      </c>
      <c r="L345" s="38">
        <v>791</v>
      </c>
      <c r="M345" s="132">
        <f t="shared" si="86"/>
        <v>603</v>
      </c>
      <c r="N345" s="78">
        <f t="shared" si="95"/>
        <v>384481</v>
      </c>
      <c r="O345" s="79">
        <f t="shared" si="95"/>
        <v>225159</v>
      </c>
      <c r="P345" s="79">
        <f t="shared" si="95"/>
        <v>620139</v>
      </c>
      <c r="Q345" s="80">
        <f t="shared" si="96"/>
        <v>20481368.59</v>
      </c>
      <c r="R345" s="80">
        <f t="shared" si="96"/>
        <v>12080988</v>
      </c>
      <c r="S345" s="80">
        <f t="shared" si="96"/>
        <v>33331887.008</v>
      </c>
      <c r="T345" s="84">
        <f>N345/'2016'!N345-1</f>
        <v>0.0760371887873903</v>
      </c>
      <c r="U345" s="84">
        <f>O345/'2016'!O345-1</f>
        <v>0.0962350226151816</v>
      </c>
      <c r="V345" s="84">
        <f>P345/'2016'!P345-1</f>
        <v>0.0936115657007421</v>
      </c>
      <c r="W345" s="85">
        <f>Q345/'2016'!Q345-1</f>
        <v>0.0892123696688665</v>
      </c>
      <c r="X345" s="85">
        <f>R345/'2016'!R345-1</f>
        <v>0.132389184205625</v>
      </c>
      <c r="Y345" s="85">
        <f>S345/'2016'!S345-1</f>
        <v>0.101709812159315</v>
      </c>
      <c r="Z345" s="141">
        <f>(Z346-Z339)/7*6+Z339</f>
        <v>140.038032571429</v>
      </c>
      <c r="AA345" s="141">
        <f>Q345/10000-Z345</f>
        <v>1908.09882642857</v>
      </c>
      <c r="AB345" s="109"/>
      <c r="AC345" s="109"/>
      <c r="AD345" s="38">
        <f t="shared" si="87"/>
        <v>21250899.008</v>
      </c>
      <c r="AE345" s="38">
        <f t="shared" si="90"/>
        <v>322201.21</v>
      </c>
      <c r="AF345" s="38">
        <f t="shared" si="91"/>
        <v>261594.3</v>
      </c>
      <c r="AG345" s="38">
        <f t="shared" si="88"/>
        <v>185734.908000001</v>
      </c>
    </row>
    <row r="346" spans="1:33">
      <c r="A346" s="106">
        <v>43076</v>
      </c>
      <c r="B346" s="15" t="s">
        <v>36</v>
      </c>
      <c r="C346" s="33">
        <v>70096</v>
      </c>
      <c r="D346" s="34">
        <f>29619+7963</f>
        <v>37582</v>
      </c>
      <c r="E346" s="34">
        <v>109257</v>
      </c>
      <c r="F346" s="124">
        <v>5475.8</v>
      </c>
      <c r="G346" s="34">
        <v>3472.9</v>
      </c>
      <c r="H346" s="20"/>
      <c r="I346" s="20"/>
      <c r="J346" s="33">
        <f t="shared" si="85"/>
        <v>71675</v>
      </c>
      <c r="K346" s="34">
        <v>325</v>
      </c>
      <c r="L346" s="34">
        <v>789</v>
      </c>
      <c r="M346" s="133">
        <f t="shared" si="86"/>
        <v>465</v>
      </c>
      <c r="N346" s="81">
        <f t="shared" si="95"/>
        <v>454577</v>
      </c>
      <c r="O346" s="82">
        <f t="shared" si="95"/>
        <v>262741</v>
      </c>
      <c r="P346" s="82">
        <f t="shared" si="95"/>
        <v>729396</v>
      </c>
      <c r="Q346" s="81">
        <f t="shared" si="96"/>
        <v>20551464.59</v>
      </c>
      <c r="R346" s="81">
        <f t="shared" si="96"/>
        <v>12118570</v>
      </c>
      <c r="S346" s="81">
        <f t="shared" si="96"/>
        <v>33441144.008</v>
      </c>
      <c r="T346" s="86">
        <f>N346/'2016'!N346-1</f>
        <v>0.0804996315751942</v>
      </c>
      <c r="U346" s="86">
        <f>O346/'2016'!O346-1</f>
        <v>0.0971404471391943</v>
      </c>
      <c r="V346" s="86">
        <f>P346/'2016'!P346-1</f>
        <v>0.0969400108581715</v>
      </c>
      <c r="W346" s="86">
        <f>Q346/'2016'!Q346-1</f>
        <v>0.0892676037481279</v>
      </c>
      <c r="X346" s="86">
        <f>R346/'2016'!R346-1</f>
        <v>0.132294302691628</v>
      </c>
      <c r="Y346" s="86">
        <f>S346/'2016'!S346-1</f>
        <v>0.101756613530893</v>
      </c>
      <c r="Z346" s="143">
        <v>140.44</v>
      </c>
      <c r="AA346" s="143">
        <f>Q346/10000-Z346</f>
        <v>1914.706459</v>
      </c>
      <c r="AB346" s="34">
        <v>4269.48</v>
      </c>
      <c r="AC346" s="34">
        <f>AA346*10000/AB346</f>
        <v>4484.63620628273</v>
      </c>
      <c r="AD346" s="34">
        <f t="shared" si="87"/>
        <v>21322574.008</v>
      </c>
      <c r="AE346" s="34">
        <f t="shared" si="90"/>
        <v>322526.21</v>
      </c>
      <c r="AF346" s="34">
        <f t="shared" si="91"/>
        <v>262383.3</v>
      </c>
      <c r="AG346" s="34">
        <f t="shared" si="88"/>
        <v>186199.908000001</v>
      </c>
    </row>
    <row r="347" spans="1:33">
      <c r="A347" s="106">
        <v>43077</v>
      </c>
      <c r="B347" s="21" t="s">
        <v>37</v>
      </c>
      <c r="C347" s="9">
        <v>69258</v>
      </c>
      <c r="D347" s="38">
        <f>29730+8002</f>
        <v>37732</v>
      </c>
      <c r="E347" s="38">
        <v>109192</v>
      </c>
      <c r="F347" s="13">
        <v>5411.8</v>
      </c>
      <c r="G347" s="38">
        <v>3406.4</v>
      </c>
      <c r="H347" s="25"/>
      <c r="I347" s="37"/>
      <c r="J347" s="9">
        <f t="shared" si="85"/>
        <v>71460</v>
      </c>
      <c r="K347" s="38">
        <v>504</v>
      </c>
      <c r="L347" s="38">
        <v>791</v>
      </c>
      <c r="M347" s="132">
        <f t="shared" si="86"/>
        <v>907</v>
      </c>
      <c r="N347" s="78">
        <f t="shared" si="95"/>
        <v>523835</v>
      </c>
      <c r="O347" s="79">
        <f t="shared" si="95"/>
        <v>300473</v>
      </c>
      <c r="P347" s="79">
        <f t="shared" si="95"/>
        <v>838588</v>
      </c>
      <c r="Q347" s="80">
        <f t="shared" si="96"/>
        <v>20620722.59</v>
      </c>
      <c r="R347" s="80">
        <f t="shared" si="96"/>
        <v>12156302</v>
      </c>
      <c r="S347" s="80">
        <f t="shared" si="96"/>
        <v>33550336.008</v>
      </c>
      <c r="T347" s="84">
        <f>N347/'2016'!N347-1</f>
        <v>0.0822388741170468</v>
      </c>
      <c r="U347" s="84">
        <f>O347/'2016'!O347-1</f>
        <v>0.098428794946408</v>
      </c>
      <c r="V347" s="84">
        <f>P347/'2016'!P347-1</f>
        <v>0.099091329688866</v>
      </c>
      <c r="W347" s="85">
        <f>Q347/'2016'!Q347-1</f>
        <v>0.0892827467092743</v>
      </c>
      <c r="X347" s="85">
        <f>R347/'2016'!R347-1</f>
        <v>0.132215576090243</v>
      </c>
      <c r="Y347" s="85">
        <f>S347/'2016'!S347-1</f>
        <v>0.101795009177637</v>
      </c>
      <c r="Z347" s="141"/>
      <c r="AA347" s="141"/>
      <c r="AB347" s="109"/>
      <c r="AC347" s="109"/>
      <c r="AD347" s="38">
        <f t="shared" si="87"/>
        <v>21394034.008</v>
      </c>
      <c r="AE347" s="38">
        <f t="shared" si="90"/>
        <v>323030.21</v>
      </c>
      <c r="AF347" s="38">
        <f t="shared" si="91"/>
        <v>263174.3</v>
      </c>
      <c r="AG347" s="38">
        <f t="shared" si="88"/>
        <v>187106.908000001</v>
      </c>
    </row>
    <row r="348" spans="1:33">
      <c r="A348" s="106">
        <v>43078</v>
      </c>
      <c r="B348" s="21" t="s">
        <v>38</v>
      </c>
      <c r="C348" s="74">
        <v>67422</v>
      </c>
      <c r="D348" s="75">
        <f>31206+8166</f>
        <v>39372</v>
      </c>
      <c r="E348" s="75">
        <v>108517</v>
      </c>
      <c r="F348" s="125">
        <v>5435.9</v>
      </c>
      <c r="G348" s="75">
        <v>3515.9</v>
      </c>
      <c r="H348" s="25"/>
      <c r="I348" s="25"/>
      <c r="J348" s="74">
        <f t="shared" si="85"/>
        <v>69145</v>
      </c>
      <c r="K348" s="75">
        <v>186</v>
      </c>
      <c r="L348" s="75">
        <v>790</v>
      </c>
      <c r="M348" s="134">
        <f t="shared" si="86"/>
        <v>747</v>
      </c>
      <c r="N348" s="78">
        <f t="shared" si="95"/>
        <v>591257</v>
      </c>
      <c r="O348" s="79">
        <f t="shared" si="95"/>
        <v>339845</v>
      </c>
      <c r="P348" s="79">
        <f t="shared" si="95"/>
        <v>947105</v>
      </c>
      <c r="Q348" s="80">
        <f t="shared" si="96"/>
        <v>20688144.59</v>
      </c>
      <c r="R348" s="80">
        <f t="shared" si="96"/>
        <v>12195674</v>
      </c>
      <c r="S348" s="80">
        <f t="shared" si="96"/>
        <v>33658853.008</v>
      </c>
      <c r="T348" s="84">
        <f>N348/'2016'!N348-1</f>
        <v>0.080258857104228</v>
      </c>
      <c r="U348" s="84">
        <f>O348/'2016'!O348-1</f>
        <v>0.104400443261547</v>
      </c>
      <c r="V348" s="84">
        <f>P348/'2016'!P348-1</f>
        <v>0.0995996832760955</v>
      </c>
      <c r="W348" s="85">
        <f>Q348/'2016'!Q348-1</f>
        <v>0.0892022154959518</v>
      </c>
      <c r="X348" s="85">
        <f>R348/'2016'!R348-1</f>
        <v>0.132278993351443</v>
      </c>
      <c r="Y348" s="85">
        <f>S348/'2016'!S348-1</f>
        <v>0.101800639085395</v>
      </c>
      <c r="Z348" s="144"/>
      <c r="AA348" s="159"/>
      <c r="AB348" s="109"/>
      <c r="AC348" s="109"/>
      <c r="AD348" s="38">
        <f t="shared" si="87"/>
        <v>21463179.008</v>
      </c>
      <c r="AE348" s="75">
        <f t="shared" si="90"/>
        <v>323216.21</v>
      </c>
      <c r="AF348" s="75">
        <f t="shared" si="91"/>
        <v>263964.3</v>
      </c>
      <c r="AG348" s="75">
        <f t="shared" si="88"/>
        <v>187853.908000001</v>
      </c>
    </row>
    <row r="349" spans="1:33">
      <c r="A349" s="106">
        <v>43079</v>
      </c>
      <c r="B349" s="21" t="s">
        <v>1</v>
      </c>
      <c r="C349" s="9">
        <v>61184</v>
      </c>
      <c r="D349" s="38">
        <f>30688+8153</f>
        <v>38841</v>
      </c>
      <c r="E349" s="38">
        <v>101937</v>
      </c>
      <c r="F349" s="13">
        <v>4944.9</v>
      </c>
      <c r="G349" s="38">
        <v>3447.7</v>
      </c>
      <c r="H349" s="25"/>
      <c r="I349" s="37"/>
      <c r="J349" s="9">
        <f t="shared" si="85"/>
        <v>63096</v>
      </c>
      <c r="K349" s="38">
        <v>213</v>
      </c>
      <c r="L349" s="38">
        <v>791</v>
      </c>
      <c r="M349" s="132">
        <f t="shared" si="86"/>
        <v>908</v>
      </c>
      <c r="N349" s="78">
        <f t="shared" si="95"/>
        <v>652441</v>
      </c>
      <c r="O349" s="79">
        <f t="shared" si="95"/>
        <v>378686</v>
      </c>
      <c r="P349" s="79">
        <f t="shared" si="95"/>
        <v>1049042</v>
      </c>
      <c r="Q349" s="80">
        <f t="shared" si="96"/>
        <v>20749328.59</v>
      </c>
      <c r="R349" s="80">
        <f t="shared" si="96"/>
        <v>12234515</v>
      </c>
      <c r="S349" s="80">
        <f t="shared" si="96"/>
        <v>33760790.008</v>
      </c>
      <c r="T349" s="84">
        <f>N349/'2016'!N349-1</f>
        <v>0.0685874044326229</v>
      </c>
      <c r="U349" s="84">
        <f>O349/'2016'!O349-1</f>
        <v>0.10864346441202</v>
      </c>
      <c r="V349" s="84">
        <f>P349/'2016'!P349-1</f>
        <v>0.093734165469411</v>
      </c>
      <c r="W349" s="85">
        <f>Q349/'2016'!Q349-1</f>
        <v>0.0887986017379572</v>
      </c>
      <c r="X349" s="85">
        <f>R349/'2016'!R349-1</f>
        <v>0.13232577179367</v>
      </c>
      <c r="Y349" s="85">
        <f>S349/'2016'!S349-1</f>
        <v>0.101610043520168</v>
      </c>
      <c r="Z349" s="141"/>
      <c r="AA349" s="141"/>
      <c r="AB349" s="109"/>
      <c r="AC349" s="109"/>
      <c r="AD349" s="38">
        <f t="shared" si="87"/>
        <v>21526275.008</v>
      </c>
      <c r="AE349" s="38">
        <f t="shared" si="90"/>
        <v>323429.21</v>
      </c>
      <c r="AF349" s="38">
        <f t="shared" si="91"/>
        <v>264755.3</v>
      </c>
      <c r="AG349" s="38">
        <f t="shared" si="88"/>
        <v>188761.908000001</v>
      </c>
    </row>
    <row r="350" spans="1:33">
      <c r="A350" s="106">
        <v>43080</v>
      </c>
      <c r="B350" s="21" t="s">
        <v>39</v>
      </c>
      <c r="C350" s="9">
        <v>67945</v>
      </c>
      <c r="D350" s="38">
        <f>30333+8164</f>
        <v>38497</v>
      </c>
      <c r="E350" s="38">
        <v>108242</v>
      </c>
      <c r="F350" s="13">
        <v>5434.7</v>
      </c>
      <c r="G350" s="38">
        <v>3302.7</v>
      </c>
      <c r="H350" s="25"/>
      <c r="I350" s="37"/>
      <c r="J350" s="9">
        <f t="shared" si="85"/>
        <v>69745</v>
      </c>
      <c r="K350" s="38">
        <v>279</v>
      </c>
      <c r="L350" s="38">
        <v>791</v>
      </c>
      <c r="M350" s="132">
        <f t="shared" si="86"/>
        <v>730</v>
      </c>
      <c r="N350" s="78">
        <f t="shared" si="95"/>
        <v>720386</v>
      </c>
      <c r="O350" s="79">
        <f t="shared" si="95"/>
        <v>417183</v>
      </c>
      <c r="P350" s="79">
        <f t="shared" si="95"/>
        <v>1157284</v>
      </c>
      <c r="Q350" s="80">
        <f t="shared" si="96"/>
        <v>20817273.59</v>
      </c>
      <c r="R350" s="80">
        <f t="shared" si="96"/>
        <v>12273012</v>
      </c>
      <c r="S350" s="80">
        <f t="shared" si="96"/>
        <v>33869032.008</v>
      </c>
      <c r="T350" s="84">
        <f>N350/'2016'!N350-1</f>
        <v>0.0778638609343065</v>
      </c>
      <c r="U350" s="84">
        <f>O350/'2016'!O350-1</f>
        <v>0.110276329551533</v>
      </c>
      <c r="V350" s="84">
        <f>P350/'2016'!P350-1</f>
        <v>0.100448058666017</v>
      </c>
      <c r="W350" s="85">
        <f>Q350/'2016'!Q350-1</f>
        <v>0.0890618543638386</v>
      </c>
      <c r="X350" s="85">
        <f>R350/'2016'!R350-1</f>
        <v>0.132307716153346</v>
      </c>
      <c r="Y350" s="85">
        <f>S350/'2016'!S350-1</f>
        <v>0.101816035814194</v>
      </c>
      <c r="Z350" s="141"/>
      <c r="AA350" s="141"/>
      <c r="AB350" s="109"/>
      <c r="AC350" s="109"/>
      <c r="AD350" s="38">
        <f t="shared" si="87"/>
        <v>21596020.008</v>
      </c>
      <c r="AE350" s="38">
        <f t="shared" si="90"/>
        <v>323708.21</v>
      </c>
      <c r="AF350" s="38">
        <f t="shared" si="91"/>
        <v>265546.3</v>
      </c>
      <c r="AG350" s="38">
        <f t="shared" si="88"/>
        <v>189491.908000001</v>
      </c>
    </row>
    <row r="351" spans="1:33">
      <c r="A351" s="106">
        <v>43081</v>
      </c>
      <c r="B351" s="21" t="s">
        <v>34</v>
      </c>
      <c r="C351" s="9">
        <v>71359</v>
      </c>
      <c r="D351" s="38">
        <f>29830+8202</f>
        <v>38032</v>
      </c>
      <c r="E351" s="38">
        <v>111307</v>
      </c>
      <c r="F351" s="13">
        <v>5513.4</v>
      </c>
      <c r="G351" s="38">
        <v>3505.4</v>
      </c>
      <c r="H351" s="25"/>
      <c r="I351" s="37"/>
      <c r="J351" s="9">
        <f t="shared" si="85"/>
        <v>73275</v>
      </c>
      <c r="K351" s="38">
        <v>513</v>
      </c>
      <c r="L351" s="38">
        <v>791</v>
      </c>
      <c r="M351" s="132">
        <f t="shared" si="86"/>
        <v>612</v>
      </c>
      <c r="N351" s="78">
        <f t="shared" si="95"/>
        <v>791745</v>
      </c>
      <c r="O351" s="79">
        <f t="shared" si="95"/>
        <v>455215</v>
      </c>
      <c r="P351" s="79">
        <f t="shared" si="95"/>
        <v>1268591</v>
      </c>
      <c r="Q351" s="80">
        <f t="shared" si="96"/>
        <v>20888632.59</v>
      </c>
      <c r="R351" s="80">
        <f t="shared" si="96"/>
        <v>12311044</v>
      </c>
      <c r="S351" s="80">
        <f t="shared" si="96"/>
        <v>33980339.008</v>
      </c>
      <c r="T351" s="84">
        <f>N351/'2016'!N351-1</f>
        <v>0.0842153408367305</v>
      </c>
      <c r="U351" s="84">
        <f>O351/'2016'!O351-1</f>
        <v>0.111275214643352</v>
      </c>
      <c r="V351" s="84">
        <f>P351/'2016'!P351-1</f>
        <v>0.104988598137028</v>
      </c>
      <c r="W351" s="85">
        <f>Q351/'2016'!Q351-1</f>
        <v>0.0892675710908339</v>
      </c>
      <c r="X351" s="85">
        <f>R351/'2016'!R351-1</f>
        <v>0.132276686560611</v>
      </c>
      <c r="Y351" s="85">
        <f>S351/'2016'!S351-1</f>
        <v>0.101980809682758</v>
      </c>
      <c r="Z351" s="141"/>
      <c r="AA351" s="141"/>
      <c r="AB351" s="109"/>
      <c r="AC351" s="109"/>
      <c r="AD351" s="38">
        <f t="shared" si="87"/>
        <v>21669295.008</v>
      </c>
      <c r="AE351" s="38">
        <f t="shared" si="90"/>
        <v>324221.21</v>
      </c>
      <c r="AF351" s="38">
        <f t="shared" si="91"/>
        <v>266337.3</v>
      </c>
      <c r="AG351" s="38">
        <f t="shared" si="88"/>
        <v>190103.908000001</v>
      </c>
    </row>
    <row r="352" spans="1:33">
      <c r="A352" s="106">
        <v>43082</v>
      </c>
      <c r="B352" s="21" t="s">
        <v>35</v>
      </c>
      <c r="C352" s="9">
        <v>74114</v>
      </c>
      <c r="D352" s="38">
        <f>29232+8219</f>
        <v>37451</v>
      </c>
      <c r="E352" s="38">
        <v>113324</v>
      </c>
      <c r="F352" s="13">
        <v>5743</v>
      </c>
      <c r="G352" s="38">
        <v>3504.2</v>
      </c>
      <c r="H352" s="25"/>
      <c r="I352" s="37"/>
      <c r="J352" s="9">
        <f t="shared" si="85"/>
        <v>75873</v>
      </c>
      <c r="K352" s="38">
        <v>643</v>
      </c>
      <c r="L352" s="38">
        <v>791</v>
      </c>
      <c r="M352" s="132">
        <f t="shared" si="86"/>
        <v>325</v>
      </c>
      <c r="N352" s="78">
        <f t="shared" si="95"/>
        <v>865859</v>
      </c>
      <c r="O352" s="79">
        <f t="shared" si="95"/>
        <v>492666</v>
      </c>
      <c r="P352" s="79">
        <f t="shared" si="95"/>
        <v>1381915</v>
      </c>
      <c r="Q352" s="80">
        <f t="shared" si="96"/>
        <v>20962746.59</v>
      </c>
      <c r="R352" s="80">
        <f t="shared" si="96"/>
        <v>12348495</v>
      </c>
      <c r="S352" s="80">
        <f t="shared" si="96"/>
        <v>34093663.008</v>
      </c>
      <c r="T352" s="84">
        <f>N352/'2016'!N352-1</f>
        <v>0.0900412419933128</v>
      </c>
      <c r="U352" s="84">
        <f>O352/'2016'!O352-1</f>
        <v>0.11120233307696</v>
      </c>
      <c r="V352" s="84">
        <f>P352/'2016'!P352-1</f>
        <v>0.108659306170847</v>
      </c>
      <c r="W352" s="85">
        <f>Q352/'2016'!Q352-1</f>
        <v>0.0894912581341227</v>
      </c>
      <c r="X352" s="85">
        <f>R352/'2016'!R352-1</f>
        <v>0.132208773936183</v>
      </c>
      <c r="Y352" s="85">
        <f>S352/'2016'!S352-1</f>
        <v>0.102138288181756</v>
      </c>
      <c r="Z352" s="141">
        <f>(Z353-Z346)/7*6+Z346</f>
        <v>142.042857142857</v>
      </c>
      <c r="AA352" s="141">
        <f>Q352/10000-Z352</f>
        <v>1954.23180185714</v>
      </c>
      <c r="AB352" s="109"/>
      <c r="AC352" s="109"/>
      <c r="AD352" s="38">
        <f t="shared" si="87"/>
        <v>21745168.008</v>
      </c>
      <c r="AE352" s="38">
        <f t="shared" si="90"/>
        <v>324864.21</v>
      </c>
      <c r="AF352" s="38">
        <f t="shared" si="91"/>
        <v>267128.3</v>
      </c>
      <c r="AG352" s="38">
        <f t="shared" si="88"/>
        <v>190428.908000001</v>
      </c>
    </row>
    <row r="353" spans="1:33">
      <c r="A353" s="106">
        <v>43083</v>
      </c>
      <c r="B353" s="15" t="s">
        <v>36</v>
      </c>
      <c r="C353" s="33">
        <v>73405</v>
      </c>
      <c r="D353" s="34">
        <f>31439+8216</f>
        <v>39655</v>
      </c>
      <c r="E353" s="34">
        <v>114535</v>
      </c>
      <c r="F353" s="124">
        <v>5880.7</v>
      </c>
      <c r="G353" s="34">
        <v>3508.3</v>
      </c>
      <c r="H353" s="20"/>
      <c r="I353" s="20"/>
      <c r="J353" s="33">
        <f t="shared" si="85"/>
        <v>74880</v>
      </c>
      <c r="K353" s="34">
        <v>433</v>
      </c>
      <c r="L353" s="34">
        <v>791</v>
      </c>
      <c r="M353" s="133">
        <f t="shared" si="86"/>
        <v>251</v>
      </c>
      <c r="N353" s="81">
        <f t="shared" si="95"/>
        <v>939264</v>
      </c>
      <c r="O353" s="82">
        <f t="shared" si="95"/>
        <v>532321</v>
      </c>
      <c r="P353" s="82">
        <f t="shared" si="95"/>
        <v>1496450</v>
      </c>
      <c r="Q353" s="81">
        <f t="shared" si="96"/>
        <v>21036151.59</v>
      </c>
      <c r="R353" s="81">
        <f t="shared" si="96"/>
        <v>12388150</v>
      </c>
      <c r="S353" s="81">
        <f t="shared" si="96"/>
        <v>34208198.008</v>
      </c>
      <c r="T353" s="86">
        <f>N353/'2016'!N353-1</f>
        <v>0.0909458362322191</v>
      </c>
      <c r="U353" s="86">
        <f>O353/'2016'!O353-1</f>
        <v>0.1144022911023</v>
      </c>
      <c r="V353" s="86">
        <f>P353/'2016'!P353-1</f>
        <v>0.110083290555557</v>
      </c>
      <c r="W353" s="86">
        <f>Q353/'2016'!Q353-1</f>
        <v>0.0895334938755616</v>
      </c>
      <c r="X353" s="86">
        <f>R353/'2016'!R353-1</f>
        <v>0.13228260583442</v>
      </c>
      <c r="Y353" s="86">
        <f>S353/'2016'!S353-1</f>
        <v>0.102221482640586</v>
      </c>
      <c r="Z353" s="143">
        <v>142.31</v>
      </c>
      <c r="AA353" s="143">
        <f>Q353/10000-Z353</f>
        <v>1961.305159</v>
      </c>
      <c r="AB353" s="34">
        <v>4269.48</v>
      </c>
      <c r="AC353" s="34">
        <f>AA353*10000/AB353</f>
        <v>4593.7799427565</v>
      </c>
      <c r="AD353" s="34">
        <f t="shared" si="87"/>
        <v>21820048.008</v>
      </c>
      <c r="AE353" s="34">
        <f t="shared" si="90"/>
        <v>325297.21</v>
      </c>
      <c r="AF353" s="34">
        <f t="shared" si="91"/>
        <v>267919.3</v>
      </c>
      <c r="AG353" s="34">
        <f t="shared" si="88"/>
        <v>190679.908000001</v>
      </c>
    </row>
    <row r="354" spans="1:33">
      <c r="A354" s="106">
        <v>43084</v>
      </c>
      <c r="B354" s="21" t="s">
        <v>37</v>
      </c>
      <c r="C354" s="9">
        <v>73017</v>
      </c>
      <c r="D354" s="38">
        <v>39362</v>
      </c>
      <c r="E354" s="38">
        <v>113774</v>
      </c>
      <c r="F354" s="13">
        <v>5835</v>
      </c>
      <c r="G354" s="38">
        <v>3509</v>
      </c>
      <c r="H354" s="25"/>
      <c r="I354" s="37"/>
      <c r="J354" s="9">
        <f t="shared" si="85"/>
        <v>74412</v>
      </c>
      <c r="K354" s="38">
        <v>432</v>
      </c>
      <c r="L354" s="38">
        <v>795</v>
      </c>
      <c r="M354" s="132">
        <f t="shared" si="86"/>
        <v>168</v>
      </c>
      <c r="N354" s="78">
        <f t="shared" si="95"/>
        <v>1012281</v>
      </c>
      <c r="O354" s="79">
        <f t="shared" si="95"/>
        <v>571683</v>
      </c>
      <c r="P354" s="79">
        <f t="shared" si="95"/>
        <v>1610224</v>
      </c>
      <c r="Q354" s="80">
        <f t="shared" si="96"/>
        <v>21109168.59</v>
      </c>
      <c r="R354" s="80">
        <f t="shared" si="96"/>
        <v>12427512</v>
      </c>
      <c r="S354" s="80">
        <f t="shared" si="96"/>
        <v>34321972.008</v>
      </c>
      <c r="T354" s="84">
        <f>N354/'2016'!N354-1</f>
        <v>0.0888921876462254</v>
      </c>
      <c r="U354" s="84">
        <f>O354/'2016'!O354-1</f>
        <v>0.118210731386724</v>
      </c>
      <c r="V354" s="84">
        <f>P354/'2016'!P354-1</f>
        <v>0.109770688485904</v>
      </c>
      <c r="W354" s="85">
        <f>Q354/'2016'!Q354-1</f>
        <v>0.0894399686418854</v>
      </c>
      <c r="X354" s="85">
        <f>R354/'2016'!R354-1</f>
        <v>0.132405322258871</v>
      </c>
      <c r="Y354" s="85">
        <f>S354/'2016'!S354-1</f>
        <v>0.102232896436165</v>
      </c>
      <c r="Z354" s="141"/>
      <c r="AA354" s="141"/>
      <c r="AB354" s="109"/>
      <c r="AC354" s="109"/>
      <c r="AD354" s="38">
        <f t="shared" si="87"/>
        <v>21894460.008</v>
      </c>
      <c r="AE354" s="38">
        <f t="shared" si="90"/>
        <v>325729.21</v>
      </c>
      <c r="AF354" s="38">
        <f t="shared" si="91"/>
        <v>268714.3</v>
      </c>
      <c r="AG354" s="38">
        <f t="shared" si="88"/>
        <v>190847.908000001</v>
      </c>
    </row>
    <row r="355" spans="1:33">
      <c r="A355" s="106">
        <v>43085</v>
      </c>
      <c r="B355" s="21" t="s">
        <v>38</v>
      </c>
      <c r="C355" s="74">
        <v>69702</v>
      </c>
      <c r="D355" s="75">
        <v>40673</v>
      </c>
      <c r="E355" s="75">
        <v>111837</v>
      </c>
      <c r="F355" s="125">
        <v>5716</v>
      </c>
      <c r="G355" s="75">
        <v>3438</v>
      </c>
      <c r="H355" s="25"/>
      <c r="I355" s="25"/>
      <c r="J355" s="74">
        <f t="shared" si="85"/>
        <v>71164</v>
      </c>
      <c r="K355" s="75">
        <v>325</v>
      </c>
      <c r="L355" s="75">
        <v>789</v>
      </c>
      <c r="M355" s="134">
        <f t="shared" si="86"/>
        <v>348</v>
      </c>
      <c r="N355" s="78">
        <f t="shared" si="95"/>
        <v>1081983</v>
      </c>
      <c r="O355" s="79">
        <f t="shared" si="95"/>
        <v>612356</v>
      </c>
      <c r="P355" s="79">
        <f t="shared" si="95"/>
        <v>1722061</v>
      </c>
      <c r="Q355" s="80">
        <f t="shared" si="96"/>
        <v>21178870.59</v>
      </c>
      <c r="R355" s="80">
        <f t="shared" si="96"/>
        <v>12468185</v>
      </c>
      <c r="S355" s="80">
        <f t="shared" si="96"/>
        <v>34433809.008</v>
      </c>
      <c r="T355" s="84">
        <f>N355/'2016'!N355-1</f>
        <v>0.0832037706495221</v>
      </c>
      <c r="U355" s="84">
        <f>O355/'2016'!O355-1</f>
        <v>0.124418378326766</v>
      </c>
      <c r="V355" s="84">
        <f>P355/'2016'!P355-1</f>
        <v>0.107275934062189</v>
      </c>
      <c r="W355" s="85">
        <f>Q355/'2016'!Q355-1</f>
        <v>0.0891458152431464</v>
      </c>
      <c r="X355" s="85">
        <f>R355/'2016'!R355-1</f>
        <v>0.13266943367732</v>
      </c>
      <c r="Y355" s="85">
        <f>S355/'2016'!S355-1</f>
        <v>0.102133868152398</v>
      </c>
      <c r="Z355" s="144"/>
      <c r="AA355" s="144"/>
      <c r="AB355" s="109"/>
      <c r="AC355" s="109"/>
      <c r="AD355" s="38">
        <f t="shared" si="87"/>
        <v>21965624.008</v>
      </c>
      <c r="AE355" s="75">
        <f t="shared" si="90"/>
        <v>326054.21</v>
      </c>
      <c r="AF355" s="75">
        <f t="shared" si="91"/>
        <v>269503.3</v>
      </c>
      <c r="AG355" s="75">
        <f t="shared" si="88"/>
        <v>191195.908000001</v>
      </c>
    </row>
    <row r="356" spans="1:33">
      <c r="A356" s="106">
        <v>43086</v>
      </c>
      <c r="B356" s="21" t="s">
        <v>1</v>
      </c>
      <c r="C356" s="9">
        <v>65343</v>
      </c>
      <c r="D356" s="38">
        <v>41025</v>
      </c>
      <c r="E356" s="38">
        <v>108343</v>
      </c>
      <c r="F356" s="13">
        <v>5195</v>
      </c>
      <c r="G356" s="38">
        <v>3522</v>
      </c>
      <c r="H356" s="25"/>
      <c r="I356" s="37"/>
      <c r="J356" s="9">
        <f t="shared" si="85"/>
        <v>67318</v>
      </c>
      <c r="K356" s="38">
        <v>424</v>
      </c>
      <c r="L356" s="38">
        <v>793</v>
      </c>
      <c r="M356" s="132">
        <f t="shared" si="86"/>
        <v>758</v>
      </c>
      <c r="N356" s="78">
        <f t="shared" si="95"/>
        <v>1147326</v>
      </c>
      <c r="O356" s="79">
        <f t="shared" si="95"/>
        <v>653381</v>
      </c>
      <c r="P356" s="79">
        <f t="shared" si="95"/>
        <v>1830404</v>
      </c>
      <c r="Q356" s="80">
        <f t="shared" si="96"/>
        <v>21244213.59</v>
      </c>
      <c r="R356" s="80">
        <f t="shared" si="96"/>
        <v>12509210</v>
      </c>
      <c r="S356" s="80">
        <f t="shared" si="96"/>
        <v>34542152.008</v>
      </c>
      <c r="T356" s="84">
        <f>N356/'2016'!N356-1</f>
        <v>0.0762009550797353</v>
      </c>
      <c r="U356" s="84">
        <f>O356/'2016'!O356-1</f>
        <v>0.129725047289377</v>
      </c>
      <c r="V356" s="84">
        <f>P356/'2016'!P356-1</f>
        <v>0.104679366669584</v>
      </c>
      <c r="W356" s="85">
        <f>Q356/'2016'!Q356-1</f>
        <v>0.0887427412968977</v>
      </c>
      <c r="X356" s="85">
        <f>R356/'2016'!R356-1</f>
        <v>0.132922171029704</v>
      </c>
      <c r="Y356" s="85">
        <f>S356/'2016'!S356-1</f>
        <v>0.102013296053812</v>
      </c>
      <c r="Z356" s="141"/>
      <c r="AA356" s="141"/>
      <c r="AB356" s="109"/>
      <c r="AC356" s="109"/>
      <c r="AD356" s="38">
        <f t="shared" si="87"/>
        <v>22032942.008</v>
      </c>
      <c r="AE356" s="38">
        <f t="shared" si="90"/>
        <v>326478.21</v>
      </c>
      <c r="AF356" s="38">
        <f t="shared" si="91"/>
        <v>270296.3</v>
      </c>
      <c r="AG356" s="38">
        <f t="shared" si="88"/>
        <v>191953.908000001</v>
      </c>
    </row>
    <row r="357" spans="1:33">
      <c r="A357" s="106">
        <v>43087</v>
      </c>
      <c r="B357" s="21" t="s">
        <v>39</v>
      </c>
      <c r="C357" s="9">
        <v>71140</v>
      </c>
      <c r="D357" s="38">
        <v>41089</v>
      </c>
      <c r="E357" s="38">
        <v>114343</v>
      </c>
      <c r="F357" s="13">
        <v>5748</v>
      </c>
      <c r="G357" s="38">
        <v>3455</v>
      </c>
      <c r="H357" s="25"/>
      <c r="I357" s="37"/>
      <c r="J357" s="9">
        <f t="shared" si="85"/>
        <v>73254</v>
      </c>
      <c r="K357" s="38">
        <v>574</v>
      </c>
      <c r="L357" s="38">
        <v>793</v>
      </c>
      <c r="M357" s="132">
        <f t="shared" si="86"/>
        <v>747</v>
      </c>
      <c r="N357" s="78">
        <f t="shared" ref="N357:P369" si="97">N356+C357</f>
        <v>1218466</v>
      </c>
      <c r="O357" s="79">
        <f t="shared" si="97"/>
        <v>694470</v>
      </c>
      <c r="P357" s="79">
        <f t="shared" si="97"/>
        <v>1944747</v>
      </c>
      <c r="Q357" s="80">
        <f t="shared" si="96"/>
        <v>21315353.59</v>
      </c>
      <c r="R357" s="80">
        <f t="shared" si="96"/>
        <v>12550299</v>
      </c>
      <c r="S357" s="80">
        <f t="shared" si="96"/>
        <v>34656495.008</v>
      </c>
      <c r="T357" s="84">
        <f>N357/'2016'!N357-1</f>
        <v>0.0796777446377905</v>
      </c>
      <c r="U357" s="84">
        <f>O357/'2016'!O357-1</f>
        <v>0.134599172662576</v>
      </c>
      <c r="V357" s="84">
        <f>P357/'2016'!P357-1</f>
        <v>0.108940017642708</v>
      </c>
      <c r="W357" s="85">
        <f>Q357/'2016'!Q357-1</f>
        <v>0.0889031695828593</v>
      </c>
      <c r="X357" s="85">
        <f>R357/'2016'!R357-1</f>
        <v>0.133181806608125</v>
      </c>
      <c r="Y357" s="85">
        <f>S357/'2016'!S357-1</f>
        <v>0.102259145238854</v>
      </c>
      <c r="Z357" s="141"/>
      <c r="AA357" s="141"/>
      <c r="AB357" s="109"/>
      <c r="AC357" s="109"/>
      <c r="AD357" s="38">
        <f t="shared" si="87"/>
        <v>22106196.008</v>
      </c>
      <c r="AE357" s="38">
        <f t="shared" si="90"/>
        <v>327052.21</v>
      </c>
      <c r="AF357" s="38">
        <f t="shared" si="91"/>
        <v>271089.3</v>
      </c>
      <c r="AG357" s="38">
        <f t="shared" si="88"/>
        <v>192700.908000001</v>
      </c>
    </row>
    <row r="358" spans="1:33">
      <c r="A358" s="106">
        <v>43088</v>
      </c>
      <c r="B358" s="21" t="s">
        <v>34</v>
      </c>
      <c r="C358" s="9">
        <v>71968</v>
      </c>
      <c r="D358" s="38">
        <v>38203</v>
      </c>
      <c r="E358" s="38">
        <v>115110</v>
      </c>
      <c r="F358" s="13">
        <v>5705</v>
      </c>
      <c r="G358" s="38">
        <v>3594</v>
      </c>
      <c r="H358" s="25"/>
      <c r="I358" s="37"/>
      <c r="J358" s="9">
        <f t="shared" si="85"/>
        <v>76907</v>
      </c>
      <c r="K358" s="38">
        <v>309</v>
      </c>
      <c r="L358" s="38">
        <v>792</v>
      </c>
      <c r="M358" s="132">
        <f t="shared" si="86"/>
        <v>3838</v>
      </c>
      <c r="N358" s="78">
        <f t="shared" si="97"/>
        <v>1290434</v>
      </c>
      <c r="O358" s="79">
        <f t="shared" si="97"/>
        <v>732673</v>
      </c>
      <c r="P358" s="79">
        <f t="shared" si="97"/>
        <v>2059857</v>
      </c>
      <c r="Q358" s="80">
        <f t="shared" si="96"/>
        <v>21387321.59</v>
      </c>
      <c r="R358" s="80">
        <f t="shared" si="96"/>
        <v>12588502</v>
      </c>
      <c r="S358" s="80">
        <f t="shared" si="96"/>
        <v>34771605.008</v>
      </c>
      <c r="T358" s="84">
        <f>N358/'2016'!N358-1</f>
        <v>0.0832040640906833</v>
      </c>
      <c r="U358" s="84">
        <f>O358/'2016'!O358-1</f>
        <v>0.131574517244522</v>
      </c>
      <c r="V358" s="84">
        <f>P358/'2016'!P358-1</f>
        <v>0.112011038825376</v>
      </c>
      <c r="W358" s="85">
        <f>Q358/'2016'!Q358-1</f>
        <v>0.0890876045698319</v>
      </c>
      <c r="X358" s="85">
        <f>R358/'2016'!R358-1</f>
        <v>0.133010058528418</v>
      </c>
      <c r="Y358" s="85">
        <f>S358/'2016'!S358-1</f>
        <v>0.102460409821884</v>
      </c>
      <c r="Z358" s="141"/>
      <c r="AA358" s="141"/>
      <c r="AB358" s="109"/>
      <c r="AC358" s="109"/>
      <c r="AD358" s="38">
        <f t="shared" si="87"/>
        <v>22183103.008</v>
      </c>
      <c r="AE358" s="38">
        <f t="shared" si="90"/>
        <v>327361.21</v>
      </c>
      <c r="AF358" s="38">
        <f t="shared" si="91"/>
        <v>271881.3</v>
      </c>
      <c r="AG358" s="38">
        <f t="shared" si="88"/>
        <v>196538.908000001</v>
      </c>
    </row>
    <row r="359" spans="1:33">
      <c r="A359" s="106">
        <v>43089</v>
      </c>
      <c r="B359" s="21" t="s">
        <v>35</v>
      </c>
      <c r="C359" s="9">
        <v>71049</v>
      </c>
      <c r="D359" s="38">
        <v>38409</v>
      </c>
      <c r="E359" s="38">
        <v>114796</v>
      </c>
      <c r="F359" s="13">
        <v>5720</v>
      </c>
      <c r="G359" s="38">
        <v>3640</v>
      </c>
      <c r="H359" s="25"/>
      <c r="I359" s="37"/>
      <c r="J359" s="9">
        <f t="shared" si="85"/>
        <v>76387</v>
      </c>
      <c r="K359" s="38">
        <v>518</v>
      </c>
      <c r="L359" s="38">
        <v>795</v>
      </c>
      <c r="M359" s="132">
        <f t="shared" si="86"/>
        <v>4025</v>
      </c>
      <c r="N359" s="78">
        <f t="shared" si="97"/>
        <v>1361483</v>
      </c>
      <c r="O359" s="79">
        <f t="shared" si="97"/>
        <v>771082</v>
      </c>
      <c r="P359" s="79">
        <f t="shared" si="97"/>
        <v>2174653</v>
      </c>
      <c r="Q359" s="80">
        <f t="shared" si="96"/>
        <v>21458370.59</v>
      </c>
      <c r="R359" s="80">
        <f t="shared" si="96"/>
        <v>12626911</v>
      </c>
      <c r="S359" s="80">
        <f t="shared" si="96"/>
        <v>34886401.008</v>
      </c>
      <c r="T359" s="84">
        <f>N359/'2016'!N359-1</f>
        <v>0.0855450476920219</v>
      </c>
      <c r="U359" s="84">
        <f>O359/'2016'!O359-1</f>
        <v>0.130444726251823</v>
      </c>
      <c r="V359" s="84">
        <f>P359/'2016'!P359-1</f>
        <v>0.114906499532177</v>
      </c>
      <c r="W359" s="85">
        <f>Q359/'2016'!Q359-1</f>
        <v>0.0892178578290179</v>
      </c>
      <c r="X359" s="85">
        <f>R359/'2016'!R359-1</f>
        <v>0.132936454351365</v>
      </c>
      <c r="Y359" s="85">
        <f>S359/'2016'!S359-1</f>
        <v>0.102668547763155</v>
      </c>
      <c r="Z359" s="141">
        <f>(Z360-Z353)/7*6+Z353</f>
        <v>143.681428571429</v>
      </c>
      <c r="AA359" s="141">
        <f>Q359/10000-Z359</f>
        <v>2002.15563042857</v>
      </c>
      <c r="AB359" s="109"/>
      <c r="AC359" s="109"/>
      <c r="AD359" s="38">
        <f t="shared" si="87"/>
        <v>22259490.008</v>
      </c>
      <c r="AE359" s="38">
        <f t="shared" si="90"/>
        <v>327879.21</v>
      </c>
      <c r="AF359" s="38">
        <f t="shared" si="91"/>
        <v>272676.3</v>
      </c>
      <c r="AG359" s="38">
        <f t="shared" si="88"/>
        <v>200563.908000001</v>
      </c>
    </row>
    <row r="360" spans="1:33">
      <c r="A360" s="106">
        <v>43090</v>
      </c>
      <c r="B360" s="15" t="s">
        <v>36</v>
      </c>
      <c r="C360" s="33">
        <v>71167</v>
      </c>
      <c r="D360" s="34">
        <v>41384</v>
      </c>
      <c r="E360" s="34">
        <v>114614</v>
      </c>
      <c r="F360" s="124">
        <v>5699</v>
      </c>
      <c r="G360" s="34">
        <v>3638</v>
      </c>
      <c r="H360" s="20"/>
      <c r="I360" s="20"/>
      <c r="J360" s="33">
        <f t="shared" si="85"/>
        <v>73230</v>
      </c>
      <c r="K360" s="34">
        <v>477</v>
      </c>
      <c r="L360" s="34">
        <v>791</v>
      </c>
      <c r="M360" s="133">
        <f t="shared" si="86"/>
        <v>795</v>
      </c>
      <c r="N360" s="81">
        <f t="shared" si="97"/>
        <v>1432650</v>
      </c>
      <c r="O360" s="82">
        <f t="shared" si="97"/>
        <v>812466</v>
      </c>
      <c r="P360" s="82">
        <f t="shared" si="97"/>
        <v>2289267</v>
      </c>
      <c r="Q360" s="81">
        <f t="shared" si="96"/>
        <v>21529537.59</v>
      </c>
      <c r="R360" s="81">
        <f t="shared" si="96"/>
        <v>12668295</v>
      </c>
      <c r="S360" s="81">
        <f t="shared" si="96"/>
        <v>35001015.008</v>
      </c>
      <c r="T360" s="86">
        <f>N360/'2016'!N360-1</f>
        <v>0.0881032074607584</v>
      </c>
      <c r="U360" s="86">
        <f>O360/'2016'!O360-1</f>
        <v>0.13420946828827</v>
      </c>
      <c r="V360" s="86">
        <f>P360/'2016'!P360-1</f>
        <v>0.117948079346011</v>
      </c>
      <c r="W360" s="86">
        <f>Q360/'2016'!Q360-1</f>
        <v>0.0893766789752515</v>
      </c>
      <c r="X360" s="86">
        <f>R360/'2016'!R360-1</f>
        <v>0.133170052590818</v>
      </c>
      <c r="Y360" s="86">
        <f>S360/'2016'!S360-1</f>
        <v>0.102902295678564</v>
      </c>
      <c r="Z360" s="143">
        <v>143.91</v>
      </c>
      <c r="AA360" s="143">
        <f>Q360/10000-Z360</f>
        <v>2009.043759</v>
      </c>
      <c r="AB360" s="34">
        <v>4269.48</v>
      </c>
      <c r="AC360" s="34">
        <f>AA360*10000/AB360</f>
        <v>4705.59355940302</v>
      </c>
      <c r="AD360" s="34">
        <f t="shared" si="87"/>
        <v>22332720.008</v>
      </c>
      <c r="AE360" s="34">
        <f t="shared" si="90"/>
        <v>328356.21</v>
      </c>
      <c r="AF360" s="34">
        <f t="shared" si="91"/>
        <v>273467.3</v>
      </c>
      <c r="AG360" s="34">
        <f t="shared" si="88"/>
        <v>201358.908000001</v>
      </c>
    </row>
    <row r="361" spans="1:33">
      <c r="A361" s="106">
        <v>43091</v>
      </c>
      <c r="B361" s="21" t="s">
        <v>37</v>
      </c>
      <c r="C361" s="9">
        <v>68731</v>
      </c>
      <c r="D361" s="38">
        <f>32449+8716</f>
        <v>41165</v>
      </c>
      <c r="E361" s="38">
        <v>111965</v>
      </c>
      <c r="F361" s="13">
        <v>5597.9</v>
      </c>
      <c r="G361" s="38">
        <v>3607.1</v>
      </c>
      <c r="H361" s="25"/>
      <c r="I361" s="37"/>
      <c r="J361" s="9">
        <f t="shared" si="85"/>
        <v>70800</v>
      </c>
      <c r="K361" s="38">
        <v>517</v>
      </c>
      <c r="L361" s="38">
        <v>793</v>
      </c>
      <c r="M361" s="132">
        <f t="shared" si="86"/>
        <v>759</v>
      </c>
      <c r="N361" s="78">
        <f t="shared" si="97"/>
        <v>1501381</v>
      </c>
      <c r="O361" s="79">
        <f t="shared" si="97"/>
        <v>853631</v>
      </c>
      <c r="P361" s="79">
        <f t="shared" si="97"/>
        <v>2401232</v>
      </c>
      <c r="Q361" s="80">
        <f t="shared" si="96"/>
        <v>21598268.59</v>
      </c>
      <c r="R361" s="80">
        <f t="shared" si="96"/>
        <v>12709460</v>
      </c>
      <c r="S361" s="80">
        <f t="shared" si="96"/>
        <v>35112980.008</v>
      </c>
      <c r="T361" s="84">
        <f>N361/'2016'!N361-1</f>
        <v>0.088975201456434</v>
      </c>
      <c r="U361" s="84">
        <f>O361/'2016'!O361-1</f>
        <v>0.135349916075471</v>
      </c>
      <c r="V361" s="84">
        <f>P361/'2016'!P361-1</f>
        <v>0.119050637158771</v>
      </c>
      <c r="W361" s="85">
        <f>Q361/'2016'!Q361-1</f>
        <v>0.0894333337435849</v>
      </c>
      <c r="X361" s="85">
        <f>R361/'2016'!R361-1</f>
        <v>0.13324980276514</v>
      </c>
      <c r="Y361" s="85">
        <f>S361/'2016'!S361-1</f>
        <v>0.103022951013357</v>
      </c>
      <c r="Z361" s="141"/>
      <c r="AA361" s="141"/>
      <c r="AB361" s="109"/>
      <c r="AC361" s="109"/>
      <c r="AD361" s="38">
        <f t="shared" si="87"/>
        <v>22403520.008</v>
      </c>
      <c r="AE361" s="38">
        <f t="shared" si="90"/>
        <v>328873.21</v>
      </c>
      <c r="AF361" s="38">
        <f t="shared" si="91"/>
        <v>274260.3</v>
      </c>
      <c r="AG361" s="38">
        <f t="shared" si="88"/>
        <v>202117.908000001</v>
      </c>
    </row>
    <row r="362" spans="1:33">
      <c r="A362" s="106">
        <v>43092</v>
      </c>
      <c r="B362" s="21" t="s">
        <v>38</v>
      </c>
      <c r="C362" s="74">
        <v>69870</v>
      </c>
      <c r="D362" s="75">
        <f>29123+8753</f>
        <v>37876</v>
      </c>
      <c r="E362" s="75">
        <v>109376</v>
      </c>
      <c r="F362" s="125">
        <v>5534.1</v>
      </c>
      <c r="G362" s="75">
        <v>3516.4</v>
      </c>
      <c r="H362" s="25"/>
      <c r="I362" s="25"/>
      <c r="J362" s="74">
        <f t="shared" si="85"/>
        <v>71500</v>
      </c>
      <c r="K362" s="75">
        <v>293</v>
      </c>
      <c r="L362" s="75">
        <v>793</v>
      </c>
      <c r="M362" s="134">
        <f t="shared" si="86"/>
        <v>544</v>
      </c>
      <c r="N362" s="78">
        <f t="shared" si="97"/>
        <v>1571251</v>
      </c>
      <c r="O362" s="79">
        <f t="shared" si="97"/>
        <v>891507</v>
      </c>
      <c r="P362" s="79">
        <f t="shared" si="97"/>
        <v>2510608</v>
      </c>
      <c r="Q362" s="80">
        <f t="shared" si="96"/>
        <v>21668138.59</v>
      </c>
      <c r="R362" s="80">
        <f t="shared" si="96"/>
        <v>12747336</v>
      </c>
      <c r="S362" s="80">
        <f t="shared" si="96"/>
        <v>35222356.008</v>
      </c>
      <c r="T362" s="84">
        <f>N362/'2016'!N362-1</f>
        <v>0.0878873984465982</v>
      </c>
      <c r="U362" s="84">
        <f>O362/'2016'!O362-1</f>
        <v>0.135424586875537</v>
      </c>
      <c r="V362" s="84">
        <f>P362/'2016'!P362-1</f>
        <v>0.118242174868538</v>
      </c>
      <c r="W362" s="85">
        <f>Q362/'2016'!Q362-1</f>
        <v>0.0893528351447872</v>
      </c>
      <c r="X362" s="85">
        <f>R362/'2016'!R362-1</f>
        <v>0.133261233966003</v>
      </c>
      <c r="Y362" s="85">
        <f>S362/'2016'!S362-1</f>
        <v>0.103015981168391</v>
      </c>
      <c r="Z362" s="144"/>
      <c r="AA362" s="144"/>
      <c r="AB362" s="109"/>
      <c r="AC362" s="109"/>
      <c r="AD362" s="38">
        <f t="shared" si="87"/>
        <v>22475020.008</v>
      </c>
      <c r="AE362" s="75">
        <f t="shared" si="90"/>
        <v>329166.21</v>
      </c>
      <c r="AF362" s="75">
        <f t="shared" si="91"/>
        <v>275053.3</v>
      </c>
      <c r="AG362" s="75">
        <f t="shared" si="88"/>
        <v>202661.908000001</v>
      </c>
    </row>
    <row r="363" spans="1:33">
      <c r="A363" s="106">
        <v>43093</v>
      </c>
      <c r="B363" s="21" t="s">
        <v>1</v>
      </c>
      <c r="C363" s="9">
        <v>62333</v>
      </c>
      <c r="D363" s="38">
        <f>28701+8709</f>
        <v>37410</v>
      </c>
      <c r="E363" s="38">
        <v>101766</v>
      </c>
      <c r="F363" s="13">
        <v>4989.5</v>
      </c>
      <c r="G363" s="38">
        <v>3359.2</v>
      </c>
      <c r="H363" s="25"/>
      <c r="I363" s="37"/>
      <c r="J363" s="9">
        <f t="shared" si="85"/>
        <v>64356</v>
      </c>
      <c r="K363" s="38">
        <v>329</v>
      </c>
      <c r="L363" s="38">
        <v>793</v>
      </c>
      <c r="M363" s="132">
        <f t="shared" si="86"/>
        <v>901</v>
      </c>
      <c r="N363" s="78">
        <f t="shared" si="97"/>
        <v>1633584</v>
      </c>
      <c r="O363" s="79">
        <f t="shared" si="97"/>
        <v>928917</v>
      </c>
      <c r="P363" s="79">
        <f t="shared" si="97"/>
        <v>2612374</v>
      </c>
      <c r="Q363" s="80">
        <f t="shared" si="96"/>
        <v>21730471.59</v>
      </c>
      <c r="R363" s="80">
        <f t="shared" si="96"/>
        <v>12784746</v>
      </c>
      <c r="S363" s="80">
        <f t="shared" si="96"/>
        <v>35324122.008</v>
      </c>
      <c r="T363" s="84">
        <f>N363/'2016'!N363-1</f>
        <v>0.0806199601775472</v>
      </c>
      <c r="U363" s="84">
        <f>O363/'2016'!O363-1</f>
        <v>0.136455337229517</v>
      </c>
      <c r="V363" s="84">
        <f>P363/'2016'!P363-1</f>
        <v>0.113869614047415</v>
      </c>
      <c r="W363" s="85">
        <f>Q363/'2016'!Q363-1</f>
        <v>0.0887974240403659</v>
      </c>
      <c r="X363" s="85">
        <f>R363/'2016'!R363-1</f>
        <v>0.133342097665092</v>
      </c>
      <c r="Y363" s="85">
        <f>S363/'2016'!S363-1</f>
        <v>0.10274345772216</v>
      </c>
      <c r="Z363" s="141"/>
      <c r="AA363" s="141"/>
      <c r="AB363" s="109"/>
      <c r="AC363" s="109"/>
      <c r="AD363" s="38">
        <f t="shared" si="87"/>
        <v>22539376.008</v>
      </c>
      <c r="AE363" s="38">
        <f t="shared" si="90"/>
        <v>329495.21</v>
      </c>
      <c r="AF363" s="38">
        <f t="shared" si="91"/>
        <v>275846.3</v>
      </c>
      <c r="AG363" s="38">
        <f t="shared" si="88"/>
        <v>203562.908000001</v>
      </c>
    </row>
    <row r="364" spans="1:33">
      <c r="A364" s="106">
        <v>43094</v>
      </c>
      <c r="B364" s="21" t="s">
        <v>39</v>
      </c>
      <c r="C364" s="9">
        <v>68406</v>
      </c>
      <c r="D364" s="38">
        <f>30304+8760</f>
        <v>39064</v>
      </c>
      <c r="E364" s="38">
        <v>109486</v>
      </c>
      <c r="F364" s="13">
        <v>5511</v>
      </c>
      <c r="G364" s="38">
        <v>3305.7</v>
      </c>
      <c r="H364" s="25"/>
      <c r="I364" s="37"/>
      <c r="J364" s="9">
        <f t="shared" si="85"/>
        <v>70422</v>
      </c>
      <c r="K364" s="38">
        <v>407</v>
      </c>
      <c r="L364" s="38">
        <v>795</v>
      </c>
      <c r="M364" s="132">
        <f t="shared" si="86"/>
        <v>814</v>
      </c>
      <c r="N364" s="78">
        <f t="shared" si="97"/>
        <v>1701990</v>
      </c>
      <c r="O364" s="79">
        <f t="shared" si="97"/>
        <v>967981</v>
      </c>
      <c r="P364" s="79">
        <f t="shared" si="97"/>
        <v>2721860</v>
      </c>
      <c r="Q364" s="80">
        <f t="shared" si="96"/>
        <v>21798877.59</v>
      </c>
      <c r="R364" s="80">
        <f t="shared" si="96"/>
        <v>12823810</v>
      </c>
      <c r="S364" s="80">
        <f t="shared" si="96"/>
        <v>35433608.008</v>
      </c>
      <c r="T364" s="84">
        <f>N364/'2016'!N364-1</f>
        <v>0.0809442757884842</v>
      </c>
      <c r="U364" s="84">
        <f>O364/'2016'!O364-1</f>
        <v>0.139357450990778</v>
      </c>
      <c r="V364" s="84">
        <f>P364/'2016'!P364-1</f>
        <v>0.114841548783789</v>
      </c>
      <c r="W364" s="85">
        <f>Q364/'2016'!Q364-1</f>
        <v>0.0887972670980191</v>
      </c>
      <c r="X364" s="85">
        <f>R364/'2016'!R364-1</f>
        <v>0.13356890771716</v>
      </c>
      <c r="Y364" s="85">
        <f>S364/'2016'!S364-1</f>
        <v>0.102850615403956</v>
      </c>
      <c r="Z364" s="141"/>
      <c r="AA364" s="141"/>
      <c r="AB364" s="109"/>
      <c r="AC364" s="109"/>
      <c r="AD364" s="38">
        <f t="shared" si="87"/>
        <v>22609798.008</v>
      </c>
      <c r="AE364" s="38">
        <f t="shared" si="90"/>
        <v>329902.21</v>
      </c>
      <c r="AF364" s="38">
        <f t="shared" si="91"/>
        <v>276641.3</v>
      </c>
      <c r="AG364" s="38">
        <f t="shared" si="88"/>
        <v>204376.908000001</v>
      </c>
    </row>
    <row r="365" spans="1:33">
      <c r="A365" s="106">
        <v>43095</v>
      </c>
      <c r="B365" s="21" t="s">
        <v>34</v>
      </c>
      <c r="C365" s="9">
        <v>71236</v>
      </c>
      <c r="D365" s="38">
        <f>30507+8713</f>
        <v>39220</v>
      </c>
      <c r="E365" s="38">
        <v>112136</v>
      </c>
      <c r="F365" s="13">
        <v>5616.2</v>
      </c>
      <c r="G365" s="38">
        <v>3506.6</v>
      </c>
      <c r="H365" s="25"/>
      <c r="I365" s="37"/>
      <c r="J365" s="9">
        <f t="shared" si="85"/>
        <v>72916</v>
      </c>
      <c r="K365" s="38">
        <v>235</v>
      </c>
      <c r="L365" s="38">
        <v>789</v>
      </c>
      <c r="M365" s="132">
        <f t="shared" si="86"/>
        <v>656</v>
      </c>
      <c r="N365" s="78">
        <f t="shared" si="97"/>
        <v>1773226</v>
      </c>
      <c r="O365" s="79">
        <f t="shared" si="97"/>
        <v>1007201</v>
      </c>
      <c r="P365" s="79">
        <f t="shared" si="97"/>
        <v>2833996</v>
      </c>
      <c r="Q365" s="80">
        <f t="shared" si="96"/>
        <v>21870113.59</v>
      </c>
      <c r="R365" s="80">
        <f t="shared" si="96"/>
        <v>12863030</v>
      </c>
      <c r="S365" s="80">
        <f t="shared" si="96"/>
        <v>35545744.008</v>
      </c>
      <c r="T365" s="84">
        <f>N365/'2016'!N365-1</f>
        <v>0.0809532634166206</v>
      </c>
      <c r="U365" s="84">
        <f>O365/'2016'!O365-1</f>
        <v>0.1408853859886</v>
      </c>
      <c r="V365" s="84">
        <f>P365/'2016'!P365-1</f>
        <v>0.11529682521692</v>
      </c>
      <c r="W365" s="85">
        <f>Q365/'2016'!Q365-1</f>
        <v>0.0887722421771349</v>
      </c>
      <c r="X365" s="85">
        <f>R365/'2016'!R365-1</f>
        <v>0.133704753052482</v>
      </c>
      <c r="Y365" s="85">
        <f>S365/'2016'!S365-1</f>
        <v>0.102923548316939</v>
      </c>
      <c r="Z365" s="141"/>
      <c r="AA365" s="141"/>
      <c r="AB365" s="109"/>
      <c r="AC365" s="109"/>
      <c r="AD365" s="38">
        <f t="shared" si="87"/>
        <v>22682714.008</v>
      </c>
      <c r="AE365" s="38">
        <f t="shared" si="90"/>
        <v>330137.21</v>
      </c>
      <c r="AF365" s="38">
        <f t="shared" si="91"/>
        <v>277430.3</v>
      </c>
      <c r="AG365" s="38">
        <f t="shared" si="88"/>
        <v>205032.908000001</v>
      </c>
    </row>
    <row r="366" spans="1:33">
      <c r="A366" s="106">
        <v>43096</v>
      </c>
      <c r="B366" s="21" t="s">
        <v>35</v>
      </c>
      <c r="C366" s="9">
        <v>73320</v>
      </c>
      <c r="D366" s="38">
        <f>29370+8775</f>
        <v>38145</v>
      </c>
      <c r="E366" s="38">
        <v>113063</v>
      </c>
      <c r="F366" s="13">
        <v>5732</v>
      </c>
      <c r="G366" s="38">
        <v>3528</v>
      </c>
      <c r="H366" s="25"/>
      <c r="I366" s="37"/>
      <c r="J366" s="9">
        <f t="shared" si="85"/>
        <v>74918</v>
      </c>
      <c r="K366" s="38">
        <v>214</v>
      </c>
      <c r="L366" s="38">
        <v>795</v>
      </c>
      <c r="M366" s="132">
        <f t="shared" si="86"/>
        <v>589</v>
      </c>
      <c r="N366" s="78">
        <f t="shared" si="97"/>
        <v>1846546</v>
      </c>
      <c r="O366" s="79">
        <f t="shared" si="97"/>
        <v>1045346</v>
      </c>
      <c r="P366" s="79">
        <f t="shared" si="97"/>
        <v>2947059</v>
      </c>
      <c r="Q366" s="80">
        <f t="shared" si="96"/>
        <v>21943433.59</v>
      </c>
      <c r="R366" s="80">
        <f t="shared" si="96"/>
        <v>12901175</v>
      </c>
      <c r="S366" s="80">
        <f t="shared" si="96"/>
        <v>35658807.008</v>
      </c>
      <c r="T366" s="84">
        <f>N366/'2016'!N366-1</f>
        <v>0.0806957950773235</v>
      </c>
      <c r="U366" s="84">
        <f>O366/'2016'!O366-1</f>
        <v>0.141161328636289</v>
      </c>
      <c r="V366" s="84">
        <f>P366/'2016'!P366-1</f>
        <v>0.11470319683063</v>
      </c>
      <c r="W366" s="85">
        <f>Q366/'2016'!Q366-1</f>
        <v>0.0887239438028504</v>
      </c>
      <c r="X366" s="85">
        <f>R366/'2016'!R366-1</f>
        <v>0.133747925056772</v>
      </c>
      <c r="Y366" s="85">
        <f>S366/'2016'!S366-1</f>
        <v>0.102914340927525</v>
      </c>
      <c r="Z366" s="141">
        <f>(Z367-Z360)/7*6+Z360</f>
        <v>145.144285714286</v>
      </c>
      <c r="AA366" s="141">
        <f>Q366/10000-Z366</f>
        <v>2049.19907328571</v>
      </c>
      <c r="AB366" s="109"/>
      <c r="AC366" s="109"/>
      <c r="AD366" s="38">
        <f t="shared" si="87"/>
        <v>22757632.008</v>
      </c>
      <c r="AE366" s="38">
        <f t="shared" si="90"/>
        <v>330351.21</v>
      </c>
      <c r="AF366" s="38">
        <f t="shared" si="91"/>
        <v>278225.3</v>
      </c>
      <c r="AG366" s="38">
        <f t="shared" si="88"/>
        <v>205621.908000001</v>
      </c>
    </row>
    <row r="367" spans="1:33">
      <c r="A367" s="106">
        <v>43097</v>
      </c>
      <c r="B367" s="15" t="s">
        <v>36</v>
      </c>
      <c r="C367" s="33">
        <v>72632</v>
      </c>
      <c r="D367" s="34">
        <v>38971</v>
      </c>
      <c r="E367" s="34">
        <v>113019</v>
      </c>
      <c r="F367" s="124">
        <v>5769</v>
      </c>
      <c r="G367" s="34">
        <v>3472</v>
      </c>
      <c r="H367" s="20"/>
      <c r="I367" s="20"/>
      <c r="J367" s="33">
        <f t="shared" si="85"/>
        <v>74048</v>
      </c>
      <c r="K367" s="34">
        <v>392</v>
      </c>
      <c r="L367" s="34">
        <v>793</v>
      </c>
      <c r="M367" s="133">
        <f t="shared" si="86"/>
        <v>231</v>
      </c>
      <c r="N367" s="81">
        <f t="shared" si="97"/>
        <v>1919178</v>
      </c>
      <c r="O367" s="82">
        <f t="shared" si="97"/>
        <v>1084317</v>
      </c>
      <c r="P367" s="82">
        <f t="shared" si="97"/>
        <v>3060078</v>
      </c>
      <c r="Q367" s="81">
        <f t="shared" si="96"/>
        <v>22016065.59</v>
      </c>
      <c r="R367" s="81">
        <f t="shared" si="96"/>
        <v>12940146</v>
      </c>
      <c r="S367" s="81">
        <f t="shared" si="96"/>
        <v>35771826.008</v>
      </c>
      <c r="T367" s="86">
        <f>N367/'2016'!N367-1</f>
        <v>0.0787001491716868</v>
      </c>
      <c r="U367" s="86">
        <f>O367/'2016'!O367-1</f>
        <v>0.142489118443803</v>
      </c>
      <c r="V367" s="86">
        <f>P367/'2016'!P367-1</f>
        <v>0.113358469367596</v>
      </c>
      <c r="W367" s="86">
        <f>Q367/'2016'!Q367-1</f>
        <v>0.0885204151356098</v>
      </c>
      <c r="X367" s="86">
        <f>R367/'2016'!R367-1</f>
        <v>0.133879815177923</v>
      </c>
      <c r="Y367" s="86">
        <f>S367/'2016'!S367-1</f>
        <v>0.102838448857342</v>
      </c>
      <c r="Z367" s="143">
        <v>145.35</v>
      </c>
      <c r="AA367" s="143">
        <f>Q367/10000-Z367</f>
        <v>2056.256559</v>
      </c>
      <c r="AB367" s="34">
        <v>4269.48</v>
      </c>
      <c r="AC367" s="34">
        <f>AA367*10000/AB367</f>
        <v>4816.17564434076</v>
      </c>
      <c r="AD367" s="34">
        <f t="shared" si="87"/>
        <v>22831680.008</v>
      </c>
      <c r="AE367" s="34">
        <f t="shared" si="90"/>
        <v>330743.21</v>
      </c>
      <c r="AF367" s="34">
        <f t="shared" si="91"/>
        <v>279018.3</v>
      </c>
      <c r="AG367" s="34">
        <f t="shared" si="88"/>
        <v>205852.908000001</v>
      </c>
    </row>
    <row r="368" spans="1:33">
      <c r="A368" s="106">
        <v>43098</v>
      </c>
      <c r="B368" s="21" t="s">
        <v>37</v>
      </c>
      <c r="C368" s="9">
        <v>71818</v>
      </c>
      <c r="D368" s="38">
        <v>38432</v>
      </c>
      <c r="E368" s="38">
        <v>111474</v>
      </c>
      <c r="F368" s="13">
        <v>5667</v>
      </c>
      <c r="G368" s="38">
        <v>3474</v>
      </c>
      <c r="H368" s="25"/>
      <c r="I368" s="37"/>
      <c r="J368" s="9">
        <f t="shared" si="85"/>
        <v>73042</v>
      </c>
      <c r="K368" s="38">
        <v>282</v>
      </c>
      <c r="L368" s="38">
        <v>793</v>
      </c>
      <c r="M368" s="132">
        <f t="shared" si="86"/>
        <v>149</v>
      </c>
      <c r="N368" s="78">
        <f t="shared" si="97"/>
        <v>1990996</v>
      </c>
      <c r="O368" s="79">
        <f t="shared" si="97"/>
        <v>1122749</v>
      </c>
      <c r="P368" s="79">
        <f t="shared" si="97"/>
        <v>3171552</v>
      </c>
      <c r="Q368" s="80">
        <f t="shared" si="96"/>
        <v>22087883.59</v>
      </c>
      <c r="R368" s="80">
        <f t="shared" si="96"/>
        <v>12978578</v>
      </c>
      <c r="S368" s="80">
        <f t="shared" si="96"/>
        <v>35883300.008</v>
      </c>
      <c r="T368" s="84">
        <f>N368/'2016'!N368-1</f>
        <v>0.0765271197786166</v>
      </c>
      <c r="U368" s="84">
        <f>O368/'2016'!O368-1</f>
        <v>0.14347913320589</v>
      </c>
      <c r="V368" s="84">
        <f>P368/'2016'!P368-1</f>
        <v>0.111537439780297</v>
      </c>
      <c r="W368" s="85">
        <f>Q368/'2016'!Q368-1</f>
        <v>0.0882883820759812</v>
      </c>
      <c r="X368" s="85">
        <f>R368/'2016'!R368-1</f>
        <v>0.133989412550968</v>
      </c>
      <c r="Y368" s="85">
        <f>S368/'2016'!S368-1</f>
        <v>0.102712652103892</v>
      </c>
      <c r="Z368" s="141"/>
      <c r="AA368" s="141"/>
      <c r="AB368" s="109"/>
      <c r="AC368" s="109"/>
      <c r="AD368" s="38">
        <f t="shared" si="87"/>
        <v>22904722.008</v>
      </c>
      <c r="AE368" s="38">
        <f t="shared" si="90"/>
        <v>331025.21</v>
      </c>
      <c r="AF368" s="38">
        <f t="shared" si="91"/>
        <v>279811.3</v>
      </c>
      <c r="AG368" s="38">
        <f t="shared" si="88"/>
        <v>206001.908000001</v>
      </c>
    </row>
    <row r="369" ht="15" customHeight="1" spans="1:33">
      <c r="A369" s="106">
        <v>43099</v>
      </c>
      <c r="B369" s="21" t="s">
        <v>38</v>
      </c>
      <c r="C369" s="74">
        <v>69050</v>
      </c>
      <c r="D369" s="75">
        <v>38114</v>
      </c>
      <c r="E369" s="75">
        <v>108686</v>
      </c>
      <c r="F369" s="125">
        <v>5551</v>
      </c>
      <c r="G369" s="75">
        <v>3443</v>
      </c>
      <c r="H369" s="25"/>
      <c r="I369" s="25"/>
      <c r="J369" s="74">
        <f t="shared" si="85"/>
        <v>70572</v>
      </c>
      <c r="K369" s="75">
        <v>538</v>
      </c>
      <c r="L369" s="75">
        <v>793</v>
      </c>
      <c r="M369" s="134">
        <f t="shared" si="86"/>
        <v>191</v>
      </c>
      <c r="N369" s="78">
        <f t="shared" si="97"/>
        <v>2060046</v>
      </c>
      <c r="O369" s="79">
        <f t="shared" si="97"/>
        <v>1160863</v>
      </c>
      <c r="P369" s="79">
        <f t="shared" si="97"/>
        <v>3280238</v>
      </c>
      <c r="Q369" s="80">
        <f t="shared" si="96"/>
        <v>22156933.59</v>
      </c>
      <c r="R369" s="80">
        <f t="shared" si="96"/>
        <v>13016692</v>
      </c>
      <c r="S369" s="80">
        <f t="shared" si="96"/>
        <v>35991986.008</v>
      </c>
      <c r="T369" s="84">
        <f>N369/'2016'!N369-1</f>
        <v>0.073892586031993</v>
      </c>
      <c r="U369" s="84">
        <f>O369/'2016'!O369-1</f>
        <v>0.143716403676088</v>
      </c>
      <c r="V369" s="84">
        <f>P369/'2016'!P369-1</f>
        <v>0.109089648853207</v>
      </c>
      <c r="W369" s="85">
        <f>Q369/'2016'!Q369-1</f>
        <v>0.0880004630534421</v>
      </c>
      <c r="X369" s="85">
        <f>R369/'2016'!R369-1</f>
        <v>0.134037777062604</v>
      </c>
      <c r="Y369" s="85">
        <f>S369/'2016'!S369-1</f>
        <v>0.102519079838027</v>
      </c>
      <c r="Z369" s="144"/>
      <c r="AA369" s="144">
        <f>Q369/10000-Z369</f>
        <v>2215.693359</v>
      </c>
      <c r="AB369" s="109"/>
      <c r="AC369" s="109"/>
      <c r="AD369" s="38">
        <f t="shared" si="87"/>
        <v>22975294.008</v>
      </c>
      <c r="AE369" s="75">
        <f t="shared" si="90"/>
        <v>331563.21</v>
      </c>
      <c r="AF369" s="75">
        <f t="shared" si="91"/>
        <v>280604.3</v>
      </c>
      <c r="AG369" s="75">
        <f t="shared" si="88"/>
        <v>206192.908000001</v>
      </c>
    </row>
    <row r="370" s="1" customFormat="1" ht="15" customHeight="1" spans="1:33">
      <c r="A370" s="26">
        <v>43100</v>
      </c>
      <c r="B370" s="26" t="s">
        <v>1</v>
      </c>
      <c r="C370" s="43">
        <v>62797</v>
      </c>
      <c r="D370" s="44">
        <v>35821</v>
      </c>
      <c r="E370" s="44">
        <v>100239</v>
      </c>
      <c r="F370" s="127">
        <v>4954</v>
      </c>
      <c r="G370" s="44">
        <v>3352</v>
      </c>
      <c r="H370" s="31"/>
      <c r="I370" s="31"/>
      <c r="J370" s="43">
        <f t="shared" si="85"/>
        <v>64418</v>
      </c>
      <c r="K370" s="44">
        <v>152</v>
      </c>
      <c r="L370" s="44">
        <v>793</v>
      </c>
      <c r="M370" s="135">
        <f t="shared" si="86"/>
        <v>676</v>
      </c>
      <c r="N370" s="157">
        <f>[18]表2、统调口径电量!$D$10</f>
        <v>2122842.43</v>
      </c>
      <c r="O370" s="158">
        <f>[18]表2、统调口径电量!$D$14</f>
        <v>1202755</v>
      </c>
      <c r="P370" s="158">
        <f>[18]表2、统调口径电量!$D$3</f>
        <v>3380477.26</v>
      </c>
      <c r="Q370" s="157">
        <f>[18]表2、统调口径电量!$I$10</f>
        <v>22219730.02</v>
      </c>
      <c r="R370" s="157">
        <f>[18]表2、统调口径电量!$I$14</f>
        <v>13058458</v>
      </c>
      <c r="S370" s="157">
        <f>[18]表2、统调口径电量!$I$3</f>
        <v>36092099.27</v>
      </c>
      <c r="T370" s="93">
        <f>N370/'2016'!N370-1</f>
        <v>0.0714781085266309</v>
      </c>
      <c r="U370" s="93">
        <f>O370/'2016'!O370-1</f>
        <v>0.147600187393673</v>
      </c>
      <c r="V370" s="93">
        <f>P370/'2016'!P370-1</f>
        <v>0.106565642976084</v>
      </c>
      <c r="W370" s="93">
        <f>Q370/'2016'!Q370-1</f>
        <v>0.0874655455945046</v>
      </c>
      <c r="X370" s="93">
        <f>R370/'2016'!R370-1</f>
        <v>0.134060474098465</v>
      </c>
      <c r="Y370" s="93">
        <f>S370/'2016'!S370-1</f>
        <v>0.102078704893629</v>
      </c>
      <c r="Z370" s="146">
        <f>[18]表2、统调口径电量!$I$12/10000</f>
        <v>146.040402</v>
      </c>
      <c r="AA370" s="146">
        <f>[18]表2、统调口径电量!$I$11/10000</f>
        <v>2075.9326</v>
      </c>
      <c r="AB370" s="44">
        <f>[19]Sheet1!$C$42/10</f>
        <v>4269.2</v>
      </c>
      <c r="AC370" s="44">
        <f>AA370*10000/AB370</f>
        <v>4862.57987444955</v>
      </c>
      <c r="AD370" s="44">
        <f>[20]表2、统调口径电量!$I$4</f>
        <v>23033641.27</v>
      </c>
      <c r="AE370" s="44">
        <f>[20]表2、统调口径电量!$I$13</f>
        <v>331714.95</v>
      </c>
      <c r="AF370" s="44">
        <f>[20]表2、统调口径电量!$I$15</f>
        <v>281395.56</v>
      </c>
      <c r="AG370" s="44">
        <f>[20]表2、统调口径电量!$I$16+[20]表2、统调口径电量!$I$17</f>
        <v>200800.74</v>
      </c>
    </row>
    <row r="371" ht="15" customHeight="1" spans="1:29">
      <c r="A371" s="21"/>
      <c r="B371" s="21"/>
      <c r="C371" s="22">
        <f>MAX(C5:C370)</f>
        <v>91399</v>
      </c>
      <c r="D371" s="8">
        <f>MAX(D5:D370)</f>
        <v>53386</v>
      </c>
      <c r="E371" s="8">
        <f>MAX(E5:E370)</f>
        <v>145277</v>
      </c>
      <c r="F371" s="153">
        <f>MAX(F5:F370)</f>
        <v>6982.6</v>
      </c>
      <c r="G371" s="24"/>
      <c r="H371" s="25"/>
      <c r="I371" s="37"/>
      <c r="J371" s="9"/>
      <c r="K371" s="38"/>
      <c r="L371" s="38"/>
      <c r="M371" s="132"/>
      <c r="N371" s="39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141"/>
      <c r="AA371" s="141"/>
      <c r="AB371" s="38"/>
      <c r="AC371" s="38"/>
    </row>
    <row r="372" spans="3:17">
      <c r="C372" s="2">
        <f t="shared" ref="C372:D372" si="98">AVERAGE(C5:C370)</f>
        <v>60873.3780821918</v>
      </c>
      <c r="D372" s="66">
        <f t="shared" si="98"/>
        <v>35658.904109589</v>
      </c>
      <c r="E372" s="2">
        <f t="shared" ref="E372:M372" si="99">AVERAGE(E5:E370)</f>
        <v>98859.1643835616</v>
      </c>
      <c r="F372" s="117">
        <f t="shared" si="99"/>
        <v>4940.01068493151</v>
      </c>
      <c r="G372" s="65">
        <f t="shared" si="99"/>
        <v>3217.02109589041</v>
      </c>
      <c r="H372" s="65" t="e">
        <f t="shared" si="99"/>
        <v>#DIV/0!</v>
      </c>
      <c r="I372" s="65" t="e">
        <f t="shared" si="99"/>
        <v>#DIV/0!</v>
      </c>
      <c r="J372" s="66">
        <f t="shared" si="99"/>
        <v>63200.2602739726</v>
      </c>
      <c r="K372" s="66">
        <f t="shared" si="99"/>
        <v>909.799616438356</v>
      </c>
      <c r="L372" s="2">
        <f t="shared" si="99"/>
        <v>770.186301369863</v>
      </c>
      <c r="M372" s="118">
        <f t="shared" si="99"/>
        <v>646.896273972603</v>
      </c>
      <c r="Q372" s="2"/>
    </row>
    <row r="373" spans="16:31">
      <c r="P373" s="66"/>
      <c r="Q373" s="2"/>
      <c r="AE373" s="66">
        <f>AE370-AE367</f>
        <v>971.739999999991</v>
      </c>
    </row>
    <row r="374" spans="9:17">
      <c r="I374" s="2" t="e">
        <f>I372/H372</f>
        <v>#DIV/0!</v>
      </c>
      <c r="Q374" s="2"/>
    </row>
    <row r="375" hidden="1" spans="1:29">
      <c r="A375" s="2" t="s">
        <v>41</v>
      </c>
      <c r="C375" s="23">
        <f>MAX(C5:C35)</f>
        <v>70123</v>
      </c>
      <c r="D375" s="23">
        <f t="shared" ref="D375:AC375" si="100">MAX(D5:D35)</f>
        <v>27496</v>
      </c>
      <c r="E375" s="23">
        <f t="shared" si="100"/>
        <v>98864</v>
      </c>
      <c r="F375" s="153">
        <f t="shared" si="100"/>
        <v>5075.8</v>
      </c>
      <c r="G375" s="23">
        <f t="shared" si="100"/>
        <v>3041.1</v>
      </c>
      <c r="H375" s="23">
        <f t="shared" si="100"/>
        <v>0</v>
      </c>
      <c r="I375" s="23">
        <f t="shared" si="100"/>
        <v>0</v>
      </c>
      <c r="J375" s="23">
        <f t="shared" si="100"/>
        <v>71701</v>
      </c>
      <c r="K375" s="23">
        <f>SUM(K5:K35)</f>
        <v>11771</v>
      </c>
      <c r="L375" s="23">
        <f>SUM(L5:L35)</f>
        <v>22939</v>
      </c>
      <c r="M375" s="154"/>
      <c r="N375" s="23">
        <f t="shared" si="100"/>
        <v>1513344</v>
      </c>
      <c r="O375" s="23">
        <f t="shared" si="100"/>
        <v>714986</v>
      </c>
      <c r="P375" s="23">
        <f t="shared" si="100"/>
        <v>2253575</v>
      </c>
      <c r="Q375" s="23">
        <f t="shared" si="100"/>
        <v>1513344</v>
      </c>
      <c r="R375" s="23">
        <f t="shared" si="100"/>
        <v>714986</v>
      </c>
      <c r="S375" s="23">
        <f t="shared" si="100"/>
        <v>2253575</v>
      </c>
      <c r="T375" s="23"/>
      <c r="U375" s="23"/>
      <c r="V375" s="23"/>
      <c r="W375" s="23"/>
      <c r="X375" s="23"/>
      <c r="Y375" s="23"/>
      <c r="Z375" s="141">
        <f t="shared" si="100"/>
        <v>10.001579</v>
      </c>
      <c r="AA375" s="141">
        <f t="shared" si="100"/>
        <v>143.729683</v>
      </c>
      <c r="AB375" s="23">
        <f t="shared" si="100"/>
        <v>4258</v>
      </c>
      <c r="AC375" s="23">
        <f t="shared" si="100"/>
        <v>337.552097228746</v>
      </c>
    </row>
    <row r="376" hidden="1" spans="1:29">
      <c r="A376" s="2" t="s">
        <v>42</v>
      </c>
      <c r="C376" s="23">
        <f>MAX(C36:C64)</f>
        <v>72776</v>
      </c>
      <c r="D376" s="23">
        <f t="shared" ref="D376:AC376" si="101">MAX(D36:D64)</f>
        <v>31800</v>
      </c>
      <c r="E376" s="23">
        <f t="shared" si="101"/>
        <v>103846</v>
      </c>
      <c r="F376" s="153">
        <f t="shared" si="101"/>
        <v>5436.1</v>
      </c>
      <c r="G376" s="23">
        <f t="shared" si="101"/>
        <v>3245.3</v>
      </c>
      <c r="H376" s="23">
        <f t="shared" si="101"/>
        <v>0</v>
      </c>
      <c r="I376" s="23">
        <f t="shared" si="101"/>
        <v>0</v>
      </c>
      <c r="J376" s="23">
        <f t="shared" si="101"/>
        <v>74425</v>
      </c>
      <c r="K376" s="23">
        <f>SUM(K36:K64)</f>
        <v>11221</v>
      </c>
      <c r="L376" s="23">
        <f>SUM(L36:L64)</f>
        <v>20820</v>
      </c>
      <c r="M376" s="154"/>
      <c r="N376" s="23">
        <f t="shared" si="101"/>
        <v>1440098.7</v>
      </c>
      <c r="O376" s="23">
        <f t="shared" si="101"/>
        <v>760351</v>
      </c>
      <c r="P376" s="23">
        <f t="shared" si="101"/>
        <v>2242333.52</v>
      </c>
      <c r="Q376" s="23">
        <f t="shared" si="101"/>
        <v>2977411.32</v>
      </c>
      <c r="R376" s="23">
        <f t="shared" si="101"/>
        <v>1475337</v>
      </c>
      <c r="S376" s="23">
        <f t="shared" si="101"/>
        <v>4536897.888</v>
      </c>
      <c r="T376" s="23"/>
      <c r="U376" s="23"/>
      <c r="V376" s="23"/>
      <c r="W376" s="23"/>
      <c r="X376" s="23"/>
      <c r="Y376" s="23"/>
      <c r="Z376" s="141">
        <f t="shared" si="101"/>
        <v>21.982846</v>
      </c>
      <c r="AA376" s="141">
        <f t="shared" si="101"/>
        <v>275.758286</v>
      </c>
      <c r="AB376" s="23">
        <f t="shared" si="101"/>
        <v>4258</v>
      </c>
      <c r="AC376" s="23">
        <f t="shared" si="101"/>
        <v>647.62396899953</v>
      </c>
    </row>
    <row r="377" hidden="1" spans="1:29">
      <c r="A377" s="2" t="s">
        <v>43</v>
      </c>
      <c r="C377" s="23">
        <f>MAX(C65:C95)</f>
        <v>73636</v>
      </c>
      <c r="D377" s="23">
        <f t="shared" ref="D377:AC377" si="102">MAX(D65:D95)</f>
        <v>29837</v>
      </c>
      <c r="E377" s="23">
        <f t="shared" si="102"/>
        <v>100002</v>
      </c>
      <c r="F377" s="153">
        <f t="shared" si="102"/>
        <v>5131.5</v>
      </c>
      <c r="G377" s="23">
        <f t="shared" si="102"/>
        <v>3233.6</v>
      </c>
      <c r="H377" s="23">
        <f t="shared" si="102"/>
        <v>0</v>
      </c>
      <c r="I377" s="23">
        <f t="shared" si="102"/>
        <v>0</v>
      </c>
      <c r="J377" s="23">
        <f t="shared" si="102"/>
        <v>75156</v>
      </c>
      <c r="K377" s="23">
        <f>SUM(K65:K95)</f>
        <v>34727</v>
      </c>
      <c r="L377" s="23">
        <f>SUM(L65:L95)</f>
        <v>24530</v>
      </c>
      <c r="M377" s="154"/>
      <c r="N377" s="23">
        <f t="shared" si="102"/>
        <v>2070544.29</v>
      </c>
      <c r="O377" s="23">
        <f t="shared" si="102"/>
        <v>852116</v>
      </c>
      <c r="P377" s="23">
        <f t="shared" si="102"/>
        <v>2993204</v>
      </c>
      <c r="Q377" s="23">
        <f t="shared" si="102"/>
        <v>5047955.61</v>
      </c>
      <c r="R377" s="23">
        <f t="shared" si="102"/>
        <v>2327453</v>
      </c>
      <c r="S377" s="23">
        <f t="shared" si="102"/>
        <v>7530101.888</v>
      </c>
      <c r="T377" s="23"/>
      <c r="U377" s="23"/>
      <c r="V377" s="23"/>
      <c r="W377" s="23"/>
      <c r="X377" s="23"/>
      <c r="Y377" s="23"/>
      <c r="Z377" s="141">
        <f t="shared" si="102"/>
        <v>37.353347</v>
      </c>
      <c r="AA377" s="141">
        <f t="shared" si="102"/>
        <v>467.442214</v>
      </c>
      <c r="AB377" s="23">
        <f t="shared" si="102"/>
        <v>4258.08</v>
      </c>
      <c r="AC377" s="23">
        <f t="shared" si="102"/>
        <v>1097.77696520498</v>
      </c>
    </row>
    <row r="378" hidden="1" spans="1:29">
      <c r="A378" s="2" t="s">
        <v>44</v>
      </c>
      <c r="C378" s="23">
        <f>MAX(C96:C125)</f>
        <v>67431</v>
      </c>
      <c r="D378" s="23">
        <f t="shared" ref="D378:AC378" si="103">MAX(D96:D125)</f>
        <v>29536</v>
      </c>
      <c r="E378" s="23">
        <f t="shared" si="103"/>
        <v>94082</v>
      </c>
      <c r="F378" s="153">
        <f t="shared" si="103"/>
        <v>4823.7</v>
      </c>
      <c r="G378" s="23">
        <f t="shared" si="103"/>
        <v>3123.9</v>
      </c>
      <c r="H378" s="23">
        <f t="shared" si="103"/>
        <v>0</v>
      </c>
      <c r="I378" s="23">
        <f t="shared" si="103"/>
        <v>0</v>
      </c>
      <c r="J378" s="23">
        <f t="shared" si="103"/>
        <v>69581</v>
      </c>
      <c r="K378" s="23">
        <f>SUM(K96:K125)</f>
        <v>48645</v>
      </c>
      <c r="L378" s="23">
        <f>SUM(L96:L125)</f>
        <v>23757</v>
      </c>
      <c r="M378" s="154"/>
      <c r="N378" s="23">
        <f t="shared" si="103"/>
        <v>1851291</v>
      </c>
      <c r="O378" s="23">
        <f t="shared" si="103"/>
        <v>765566</v>
      </c>
      <c r="P378" s="23">
        <f t="shared" si="103"/>
        <v>2706381.48</v>
      </c>
      <c r="Q378" s="23">
        <f t="shared" si="103"/>
        <v>6899246.61</v>
      </c>
      <c r="R378" s="23">
        <f t="shared" si="103"/>
        <v>3093019</v>
      </c>
      <c r="S378" s="23">
        <f t="shared" si="103"/>
        <v>10236488.108</v>
      </c>
      <c r="T378" s="23"/>
      <c r="U378" s="23"/>
      <c r="V378" s="23"/>
      <c r="W378" s="23"/>
      <c r="X378" s="23"/>
      <c r="Y378" s="23"/>
      <c r="Z378" s="141">
        <f t="shared" si="103"/>
        <v>49.661538</v>
      </c>
      <c r="AA378" s="141">
        <f t="shared" si="103"/>
        <v>640.263157</v>
      </c>
      <c r="AB378" s="23">
        <f t="shared" si="103"/>
        <v>4258.08</v>
      </c>
      <c r="AC378" s="23">
        <f t="shared" si="103"/>
        <v>1503.64285546537</v>
      </c>
    </row>
    <row r="379" hidden="1" spans="1:29">
      <c r="A379" s="2" t="s">
        <v>45</v>
      </c>
      <c r="C379" s="23">
        <f>MAX(C126:C156)</f>
        <v>68675</v>
      </c>
      <c r="D379" s="23">
        <f t="shared" ref="D379:AC379" si="104">MAX(D126:D156)</f>
        <v>32022</v>
      </c>
      <c r="E379" s="23">
        <f t="shared" si="104"/>
        <v>99638</v>
      </c>
      <c r="F379" s="153">
        <f t="shared" si="104"/>
        <v>5069</v>
      </c>
      <c r="G379" s="23">
        <f t="shared" si="104"/>
        <v>3281</v>
      </c>
      <c r="H379" s="23">
        <f t="shared" si="104"/>
        <v>0</v>
      </c>
      <c r="I379" s="23">
        <f t="shared" si="104"/>
        <v>0</v>
      </c>
      <c r="J379" s="23">
        <f t="shared" si="104"/>
        <v>71825</v>
      </c>
      <c r="K379" s="23">
        <f>SUM(K126:K156)</f>
        <v>21833</v>
      </c>
      <c r="L379" s="23">
        <f>SUM(L126:L156)</f>
        <v>24251</v>
      </c>
      <c r="M379" s="154"/>
      <c r="N379" s="23">
        <f t="shared" si="104"/>
        <v>1912230.87</v>
      </c>
      <c r="O379" s="23">
        <f t="shared" si="104"/>
        <v>872265</v>
      </c>
      <c r="P379" s="23">
        <f t="shared" si="104"/>
        <v>2846588.21</v>
      </c>
      <c r="Q379" s="23">
        <f t="shared" si="104"/>
        <v>8811477.82</v>
      </c>
      <c r="R379" s="23">
        <f t="shared" si="104"/>
        <v>3965284</v>
      </c>
      <c r="S379" s="23">
        <f t="shared" si="104"/>
        <v>13083076.318</v>
      </c>
      <c r="T379" s="23"/>
      <c r="U379" s="23"/>
      <c r="V379" s="23"/>
      <c r="W379" s="23"/>
      <c r="X379" s="23"/>
      <c r="Y379" s="23"/>
      <c r="Z379" s="141">
        <f t="shared" si="104"/>
        <v>61.937675</v>
      </c>
      <c r="AA379" s="141">
        <f t="shared" si="104"/>
        <v>819.210107</v>
      </c>
      <c r="AB379" s="23">
        <f t="shared" si="104"/>
        <v>4258.08</v>
      </c>
      <c r="AC379" s="23">
        <f t="shared" si="104"/>
        <v>1923.89552803141</v>
      </c>
    </row>
    <row r="380" hidden="1" spans="1:29">
      <c r="A380" s="2" t="s">
        <v>46</v>
      </c>
      <c r="C380" s="23">
        <f>MAX(C157:C186)</f>
        <v>68973</v>
      </c>
      <c r="D380" s="23">
        <f t="shared" ref="D380:AC380" si="105">MAX(D157:D186)</f>
        <v>48578</v>
      </c>
      <c r="E380" s="23">
        <f t="shared" si="105"/>
        <v>100237</v>
      </c>
      <c r="F380" s="153">
        <f t="shared" si="105"/>
        <v>5054.2</v>
      </c>
      <c r="G380" s="23">
        <f t="shared" si="105"/>
        <v>3336.2</v>
      </c>
      <c r="H380" s="23">
        <f t="shared" si="105"/>
        <v>0</v>
      </c>
      <c r="I380" s="23">
        <f t="shared" si="105"/>
        <v>0</v>
      </c>
      <c r="J380" s="23">
        <f t="shared" si="105"/>
        <v>72323</v>
      </c>
      <c r="K380" s="23">
        <f>SUM(K157:K186)</f>
        <v>53878</v>
      </c>
      <c r="L380" s="23">
        <f>SUM(L157:L186)</f>
        <v>23363</v>
      </c>
      <c r="M380" s="154"/>
      <c r="N380" s="23">
        <f t="shared" si="105"/>
        <v>1590356.35</v>
      </c>
      <c r="O380" s="23">
        <f t="shared" si="105"/>
        <v>1129004</v>
      </c>
      <c r="P380" s="23">
        <f t="shared" si="105"/>
        <v>2809993.67</v>
      </c>
      <c r="Q380" s="23">
        <f t="shared" si="105"/>
        <v>10401834.17</v>
      </c>
      <c r="R380" s="23">
        <f t="shared" si="105"/>
        <v>5094369</v>
      </c>
      <c r="S380" s="23">
        <f t="shared" si="105"/>
        <v>15893069.988</v>
      </c>
      <c r="T380" s="23"/>
      <c r="U380" s="23"/>
      <c r="V380" s="23"/>
      <c r="W380" s="23"/>
      <c r="X380" s="23"/>
      <c r="Y380" s="23"/>
      <c r="Z380" s="141">
        <f t="shared" si="105"/>
        <v>72.042916</v>
      </c>
      <c r="AA380" s="141">
        <f t="shared" si="105"/>
        <v>968.140501</v>
      </c>
      <c r="AB380" s="23">
        <f t="shared" si="105"/>
        <v>4258.08</v>
      </c>
      <c r="AC380" s="23">
        <f t="shared" si="105"/>
        <v>2273.65502996656</v>
      </c>
    </row>
    <row r="381" hidden="1" spans="1:29">
      <c r="A381" s="2" t="s">
        <v>47</v>
      </c>
      <c r="C381" s="23">
        <f>MAX(C187:C217)</f>
        <v>91399</v>
      </c>
      <c r="D381" s="23">
        <f t="shared" ref="D381:F381" si="106">MAX(D187:D217)</f>
        <v>53386</v>
      </c>
      <c r="E381" s="23">
        <f t="shared" si="106"/>
        <v>145277</v>
      </c>
      <c r="F381" s="23">
        <f t="shared" si="106"/>
        <v>6982.6</v>
      </c>
      <c r="G381" s="23">
        <f t="shared" ref="G381:AC381" si="107">MAX(G187:G217)</f>
        <v>4796.9</v>
      </c>
      <c r="H381" s="23">
        <f t="shared" si="107"/>
        <v>0</v>
      </c>
      <c r="I381" s="23">
        <f t="shared" si="107"/>
        <v>0</v>
      </c>
      <c r="J381" s="23">
        <f t="shared" si="107"/>
        <v>93982</v>
      </c>
      <c r="K381" s="23">
        <f>SUM(K187:K217)</f>
        <v>55118</v>
      </c>
      <c r="L381" s="23">
        <f>SUM(L187:L217)</f>
        <v>23362</v>
      </c>
      <c r="M381" s="154"/>
      <c r="N381" s="23">
        <f t="shared" si="107"/>
        <v>2193364</v>
      </c>
      <c r="O381" s="23">
        <f t="shared" si="107"/>
        <v>1562848</v>
      </c>
      <c r="P381" s="23">
        <f t="shared" si="107"/>
        <v>3862604</v>
      </c>
      <c r="Q381" s="23">
        <f t="shared" si="107"/>
        <v>12523144.17</v>
      </c>
      <c r="R381" s="23">
        <f t="shared" si="107"/>
        <v>6660436</v>
      </c>
      <c r="S381" s="23">
        <f t="shared" si="107"/>
        <v>19635356.988</v>
      </c>
      <c r="T381" s="23"/>
      <c r="U381" s="23"/>
      <c r="V381" s="23"/>
      <c r="W381" s="23"/>
      <c r="X381" s="23"/>
      <c r="Y381" s="23"/>
      <c r="Z381" s="141">
        <f t="shared" si="107"/>
        <v>94.687922</v>
      </c>
      <c r="AA381" s="141">
        <f t="shared" si="107"/>
        <v>1164.831992</v>
      </c>
      <c r="AB381" s="23">
        <f t="shared" si="107"/>
        <v>4258.08</v>
      </c>
      <c r="AC381" s="23">
        <f t="shared" si="107"/>
        <v>2735.58033667756</v>
      </c>
    </row>
    <row r="382" s="116" customFormat="1" hidden="1" spans="1:29">
      <c r="A382" s="118" t="s">
        <v>48</v>
      </c>
      <c r="B382" s="118"/>
      <c r="C382" s="154">
        <f>MAX(C218:C248)</f>
        <v>85355</v>
      </c>
      <c r="D382" s="154">
        <f t="shared" ref="D382:J382" si="108">MAX(D218:D248)</f>
        <v>50248</v>
      </c>
      <c r="E382" s="154">
        <f t="shared" si="108"/>
        <v>137831</v>
      </c>
      <c r="F382" s="154">
        <f t="shared" si="108"/>
        <v>6854.9</v>
      </c>
      <c r="G382" s="154">
        <f t="shared" si="108"/>
        <v>4469.6</v>
      </c>
      <c r="H382" s="154">
        <f t="shared" si="108"/>
        <v>0</v>
      </c>
      <c r="I382" s="154">
        <f t="shared" si="108"/>
        <v>0</v>
      </c>
      <c r="J382" s="154">
        <f t="shared" si="108"/>
        <v>90848</v>
      </c>
      <c r="K382" s="154">
        <f>SUM(K218:K248)</f>
        <v>32811</v>
      </c>
      <c r="L382" s="154">
        <f>SUM(L218:L248)</f>
        <v>23020</v>
      </c>
      <c r="M382" s="154"/>
      <c r="N382" s="154">
        <f t="shared" ref="N382:S382" si="109">MAX(N218:N248)</f>
        <v>2269233</v>
      </c>
      <c r="O382" s="154">
        <f t="shared" si="109"/>
        <v>1463038</v>
      </c>
      <c r="P382" s="154">
        <f t="shared" si="109"/>
        <v>3827260</v>
      </c>
      <c r="Q382" s="154">
        <f t="shared" si="109"/>
        <v>14807489.14</v>
      </c>
      <c r="R382" s="154">
        <f t="shared" si="109"/>
        <v>8138008</v>
      </c>
      <c r="S382" s="154">
        <f t="shared" si="109"/>
        <v>23483061.948</v>
      </c>
      <c r="T382" s="154"/>
      <c r="U382" s="154"/>
      <c r="V382" s="154"/>
      <c r="W382" s="154"/>
      <c r="X382" s="154"/>
      <c r="Y382" s="154"/>
      <c r="Z382" s="160">
        <f>MAX(Z218:Z248)</f>
        <v>115.025204</v>
      </c>
      <c r="AA382" s="160">
        <f>MAX(AA218:AA248)</f>
        <v>1371.41803</v>
      </c>
      <c r="AB382" s="154">
        <f>MAX(AB218:AB248)</f>
        <v>4258.08</v>
      </c>
      <c r="AC382" s="154">
        <f>MAX(AC218:AC248)</f>
        <v>3220.74275260211</v>
      </c>
    </row>
    <row r="383" s="116" customFormat="1" hidden="1" spans="1:29">
      <c r="A383" s="116" t="s">
        <v>49</v>
      </c>
      <c r="C383" s="155">
        <f t="shared" ref="C383:J383" si="110">MAX(C189:C219)</f>
        <v>91399</v>
      </c>
      <c r="D383" s="155">
        <f t="shared" si="110"/>
        <v>53386</v>
      </c>
      <c r="E383" s="155">
        <f t="shared" si="110"/>
        <v>145277</v>
      </c>
      <c r="F383" s="156">
        <f t="shared" si="110"/>
        <v>6982.6</v>
      </c>
      <c r="G383" s="155">
        <f t="shared" si="110"/>
        <v>4796.9</v>
      </c>
      <c r="H383" s="155">
        <f t="shared" si="110"/>
        <v>0</v>
      </c>
      <c r="I383" s="155">
        <f t="shared" si="110"/>
        <v>0</v>
      </c>
      <c r="J383" s="155">
        <f t="shared" si="110"/>
        <v>93982</v>
      </c>
      <c r="K383" s="155">
        <f t="shared" ref="K383:L383" si="111">SUM(K189:K219)</f>
        <v>52287</v>
      </c>
      <c r="L383" s="155">
        <f t="shared" si="111"/>
        <v>23305</v>
      </c>
      <c r="M383" s="155"/>
      <c r="N383" s="155">
        <f t="shared" ref="N383:AC383" si="112">MAX(N189:N219)</f>
        <v>2193364</v>
      </c>
      <c r="O383" s="155">
        <f t="shared" si="112"/>
        <v>1562848</v>
      </c>
      <c r="P383" s="155">
        <f t="shared" si="112"/>
        <v>3862604</v>
      </c>
      <c r="Q383" s="155">
        <f t="shared" si="112"/>
        <v>12729936.14</v>
      </c>
      <c r="R383" s="155">
        <f t="shared" si="112"/>
        <v>6755026</v>
      </c>
      <c r="S383" s="155">
        <f t="shared" si="112"/>
        <v>19991093.948</v>
      </c>
      <c r="T383" s="155"/>
      <c r="U383" s="155"/>
      <c r="V383" s="155"/>
      <c r="W383" s="155"/>
      <c r="X383" s="155"/>
      <c r="Y383" s="155"/>
      <c r="Z383" s="161">
        <f t="shared" si="112"/>
        <v>95.7328571428571</v>
      </c>
      <c r="AA383" s="161">
        <f t="shared" si="112"/>
        <v>1177.26075685714</v>
      </c>
      <c r="AB383" s="155">
        <f t="shared" si="112"/>
        <v>4258.08</v>
      </c>
      <c r="AC383" s="155">
        <f t="shared" si="112"/>
        <v>2735.58033667756</v>
      </c>
    </row>
    <row r="384" s="116" customFormat="1" hidden="1" spans="1:29">
      <c r="A384" s="116" t="s">
        <v>50</v>
      </c>
      <c r="C384" s="155">
        <f t="shared" ref="C384:J384" si="113">MAX(C190:C220)</f>
        <v>91399</v>
      </c>
      <c r="D384" s="155">
        <f t="shared" si="113"/>
        <v>53386</v>
      </c>
      <c r="E384" s="155">
        <f t="shared" si="113"/>
        <v>145277</v>
      </c>
      <c r="F384" s="156">
        <f t="shared" si="113"/>
        <v>6982.6</v>
      </c>
      <c r="G384" s="155">
        <f t="shared" si="113"/>
        <v>4796.9</v>
      </c>
      <c r="H384" s="155">
        <f t="shared" si="113"/>
        <v>0</v>
      </c>
      <c r="I384" s="155">
        <f t="shared" si="113"/>
        <v>0</v>
      </c>
      <c r="J384" s="155">
        <f t="shared" si="113"/>
        <v>93982</v>
      </c>
      <c r="K384" s="155">
        <f t="shared" ref="K384:L384" si="114">SUM(K190:K220)</f>
        <v>50477</v>
      </c>
      <c r="L384" s="155">
        <f t="shared" si="114"/>
        <v>23278</v>
      </c>
      <c r="M384" s="155"/>
      <c r="N384" s="155">
        <f t="shared" ref="N384:AC384" si="115">MAX(N190:N220)</f>
        <v>2193364</v>
      </c>
      <c r="O384" s="155">
        <f t="shared" si="115"/>
        <v>1562848</v>
      </c>
      <c r="P384" s="155">
        <f t="shared" si="115"/>
        <v>3862604</v>
      </c>
      <c r="Q384" s="155">
        <f t="shared" si="115"/>
        <v>12809681.14</v>
      </c>
      <c r="R384" s="155">
        <f t="shared" si="115"/>
        <v>6799159</v>
      </c>
      <c r="S384" s="155">
        <f t="shared" si="115"/>
        <v>20120070.948</v>
      </c>
      <c r="T384" s="155"/>
      <c r="U384" s="155"/>
      <c r="V384" s="155"/>
      <c r="W384" s="155"/>
      <c r="X384" s="155"/>
      <c r="Y384" s="155"/>
      <c r="Z384" s="161">
        <f t="shared" si="115"/>
        <v>96.5</v>
      </c>
      <c r="AA384" s="161">
        <f t="shared" si="115"/>
        <v>1184.468114</v>
      </c>
      <c r="AB384" s="155">
        <f t="shared" si="115"/>
        <v>4258.08</v>
      </c>
      <c r="AC384" s="155">
        <f t="shared" si="115"/>
        <v>2781.69530398677</v>
      </c>
    </row>
    <row r="385" s="116" customFormat="1" hidden="1" spans="1:29">
      <c r="A385" s="116" t="s">
        <v>52</v>
      </c>
      <c r="C385" s="155">
        <f t="shared" ref="C385:J385" si="116">MAX(C191:C221)</f>
        <v>91399</v>
      </c>
      <c r="D385" s="155">
        <f t="shared" si="116"/>
        <v>53386</v>
      </c>
      <c r="E385" s="155">
        <f t="shared" si="116"/>
        <v>145277</v>
      </c>
      <c r="F385" s="156">
        <f t="shared" si="116"/>
        <v>6982.6</v>
      </c>
      <c r="G385" s="155">
        <f t="shared" si="116"/>
        <v>4796.9</v>
      </c>
      <c r="H385" s="155">
        <f t="shared" si="116"/>
        <v>0</v>
      </c>
      <c r="I385" s="155">
        <f t="shared" si="116"/>
        <v>0</v>
      </c>
      <c r="J385" s="155">
        <f t="shared" si="116"/>
        <v>93982</v>
      </c>
      <c r="K385" s="155">
        <f t="shared" ref="K385:L385" si="117">SUM(K191:K221)</f>
        <v>49149</v>
      </c>
      <c r="L385" s="155">
        <f t="shared" si="117"/>
        <v>23238</v>
      </c>
      <c r="M385" s="155"/>
      <c r="N385" s="155">
        <f t="shared" ref="N385:AC385" si="118">MAX(N191:N221)</f>
        <v>2193364</v>
      </c>
      <c r="O385" s="155">
        <f t="shared" si="118"/>
        <v>1562848</v>
      </c>
      <c r="P385" s="155">
        <f t="shared" si="118"/>
        <v>3862604</v>
      </c>
      <c r="Q385" s="155">
        <f t="shared" si="118"/>
        <v>12894429.14</v>
      </c>
      <c r="R385" s="155">
        <f t="shared" si="118"/>
        <v>6843334</v>
      </c>
      <c r="S385" s="155">
        <f t="shared" si="118"/>
        <v>20254734.948</v>
      </c>
      <c r="T385" s="155"/>
      <c r="U385" s="155"/>
      <c r="V385" s="155"/>
      <c r="W385" s="155"/>
      <c r="X385" s="155"/>
      <c r="Y385" s="155"/>
      <c r="Z385" s="161">
        <f t="shared" si="118"/>
        <v>96.5</v>
      </c>
      <c r="AA385" s="161">
        <f t="shared" si="118"/>
        <v>1184.468114</v>
      </c>
      <c r="AB385" s="155">
        <f t="shared" si="118"/>
        <v>4258.08</v>
      </c>
      <c r="AC385" s="155">
        <f t="shared" si="118"/>
        <v>2781.69530398677</v>
      </c>
    </row>
    <row r="386" s="116" customFormat="1" hidden="1" spans="1:29">
      <c r="A386" s="116" t="s">
        <v>53</v>
      </c>
      <c r="C386" s="155">
        <f t="shared" ref="C386:J386" si="119">MAX(C192:C222)</f>
        <v>91399</v>
      </c>
      <c r="D386" s="155">
        <f t="shared" si="119"/>
        <v>53386</v>
      </c>
      <c r="E386" s="155">
        <f t="shared" si="119"/>
        <v>145277</v>
      </c>
      <c r="F386" s="156">
        <f t="shared" si="119"/>
        <v>6982.6</v>
      </c>
      <c r="G386" s="155">
        <f t="shared" si="119"/>
        <v>4796.9</v>
      </c>
      <c r="H386" s="155">
        <f t="shared" si="119"/>
        <v>0</v>
      </c>
      <c r="I386" s="155">
        <f t="shared" si="119"/>
        <v>0</v>
      </c>
      <c r="J386" s="155">
        <f t="shared" si="119"/>
        <v>93982</v>
      </c>
      <c r="K386" s="155">
        <f t="shared" ref="K386:L386" si="120">SUM(K192:K222)</f>
        <v>48093</v>
      </c>
      <c r="L386" s="155">
        <f t="shared" si="120"/>
        <v>23193</v>
      </c>
      <c r="M386" s="155"/>
      <c r="N386" s="155">
        <f t="shared" ref="N386:AC386" si="121">MAX(N192:N222)</f>
        <v>2193364</v>
      </c>
      <c r="O386" s="155">
        <f t="shared" si="121"/>
        <v>1562848</v>
      </c>
      <c r="P386" s="155">
        <f t="shared" si="121"/>
        <v>3862604</v>
      </c>
      <c r="Q386" s="155">
        <f t="shared" si="121"/>
        <v>12978797.14</v>
      </c>
      <c r="R386" s="155">
        <f t="shared" si="121"/>
        <v>6886728</v>
      </c>
      <c r="S386" s="155">
        <f t="shared" si="121"/>
        <v>20388976.948</v>
      </c>
      <c r="T386" s="155"/>
      <c r="U386" s="155"/>
      <c r="V386" s="155"/>
      <c r="W386" s="155"/>
      <c r="X386" s="155"/>
      <c r="Y386" s="155"/>
      <c r="Z386" s="161">
        <f t="shared" si="121"/>
        <v>96.5</v>
      </c>
      <c r="AA386" s="161">
        <f t="shared" si="121"/>
        <v>1184.468114</v>
      </c>
      <c r="AB386" s="155">
        <f t="shared" si="121"/>
        <v>4258.08</v>
      </c>
      <c r="AC386" s="155">
        <f t="shared" si="121"/>
        <v>2781.69530398677</v>
      </c>
    </row>
    <row r="387" spans="17:17">
      <c r="Q387" s="2"/>
    </row>
    <row r="388" spans="17:17">
      <c r="Q388" s="2"/>
    </row>
    <row r="389" spans="17:17">
      <c r="Q389" s="2"/>
    </row>
    <row r="390" spans="17:17">
      <c r="Q390" s="2"/>
    </row>
    <row r="391" spans="17:17">
      <c r="Q391" s="2"/>
    </row>
    <row r="392" spans="17:17">
      <c r="Q392" s="2"/>
    </row>
    <row r="393" spans="17:17">
      <c r="Q393" s="2"/>
    </row>
    <row r="394" spans="17:17">
      <c r="Q394" s="2"/>
    </row>
    <row r="395" spans="17:17">
      <c r="Q395" s="2"/>
    </row>
    <row r="396" spans="17:17">
      <c r="Q396" s="2"/>
    </row>
    <row r="397" spans="17:17">
      <c r="Q397" s="2"/>
    </row>
    <row r="398" spans="17:17">
      <c r="Q398" s="2"/>
    </row>
    <row r="399" spans="17:17">
      <c r="Q399" s="2"/>
    </row>
    <row r="400" spans="17:17">
      <c r="Q400" s="2"/>
    </row>
    <row r="401" spans="17:17">
      <c r="Q401" s="2"/>
    </row>
    <row r="402" spans="17:17">
      <c r="Q402" s="2"/>
    </row>
    <row r="403" spans="17:17">
      <c r="Q403" s="2"/>
    </row>
    <row r="404" spans="17:17">
      <c r="Q404" s="2"/>
    </row>
    <row r="405" spans="17:17">
      <c r="Q405" s="2"/>
    </row>
    <row r="406" spans="17:17">
      <c r="Q406" s="2"/>
    </row>
    <row r="407" spans="17:17">
      <c r="Q407" s="2"/>
    </row>
    <row r="408" spans="17:17">
      <c r="Q408" s="2"/>
    </row>
    <row r="409" spans="17:17">
      <c r="Q409" s="2"/>
    </row>
    <row r="410" spans="17:17">
      <c r="Q410" s="2"/>
    </row>
    <row r="411" spans="17:17">
      <c r="Q411" s="2"/>
    </row>
    <row r="412" spans="17:17">
      <c r="Q412" s="2"/>
    </row>
    <row r="413" spans="17:17">
      <c r="Q413" s="2"/>
    </row>
    <row r="414" spans="17:17">
      <c r="Q414" s="2"/>
    </row>
    <row r="415" spans="17:17">
      <c r="Q415" s="2"/>
    </row>
    <row r="416" spans="17:17">
      <c r="Q416" s="2"/>
    </row>
    <row r="417" spans="17:17">
      <c r="Q417" s="2"/>
    </row>
    <row r="418" spans="17:17">
      <c r="Q418" s="2"/>
    </row>
    <row r="419" spans="17:17">
      <c r="Q419" s="2"/>
    </row>
    <row r="420" spans="17:17">
      <c r="Q420" s="2"/>
    </row>
    <row r="421" spans="17:17">
      <c r="Q421" s="2"/>
    </row>
    <row r="422" spans="17:17">
      <c r="Q422" s="2"/>
    </row>
    <row r="423" spans="17:17">
      <c r="Q423" s="2"/>
    </row>
    <row r="424" spans="17:17">
      <c r="Q424" s="2"/>
    </row>
    <row r="425" spans="17:17">
      <c r="Q425" s="2"/>
    </row>
    <row r="426" spans="17:17">
      <c r="Q426" s="2"/>
    </row>
    <row r="427" spans="17:17">
      <c r="Q427" s="2"/>
    </row>
    <row r="428" spans="17:17">
      <c r="Q428" s="2"/>
    </row>
    <row r="429" spans="17:17">
      <c r="Q429" s="2"/>
    </row>
    <row r="430" spans="17:17">
      <c r="Q430" s="2"/>
    </row>
    <row r="431" spans="17:17">
      <c r="Q431" s="2"/>
    </row>
    <row r="432" spans="17:17">
      <c r="Q432" s="2"/>
    </row>
    <row r="433" spans="17:17">
      <c r="Q433" s="2"/>
    </row>
    <row r="434" spans="17:17">
      <c r="Q434" s="2"/>
    </row>
    <row r="435" spans="17:17">
      <c r="Q435" s="2"/>
    </row>
    <row r="436" spans="17:17">
      <c r="Q436" s="2"/>
    </row>
    <row r="437" spans="17:17">
      <c r="Q437" s="2"/>
    </row>
    <row r="438" spans="17:17">
      <c r="Q438" s="2"/>
    </row>
    <row r="439" spans="17:17">
      <c r="Q439" s="2"/>
    </row>
    <row r="440" spans="17:17">
      <c r="Q440" s="2"/>
    </row>
    <row r="441" spans="17:17">
      <c r="Q441" s="2"/>
    </row>
    <row r="442" spans="17:17">
      <c r="Q442" s="2"/>
    </row>
    <row r="443" spans="17:17">
      <c r="Q443" s="2"/>
    </row>
    <row r="444" spans="17:17">
      <c r="Q444" s="2"/>
    </row>
    <row r="445" spans="17:17">
      <c r="Q445" s="2"/>
    </row>
    <row r="446" spans="17:17">
      <c r="Q446" s="2"/>
    </row>
    <row r="447" spans="17:17">
      <c r="Q447" s="2"/>
    </row>
    <row r="448" spans="17:17">
      <c r="Q448" s="2"/>
    </row>
    <row r="449" spans="17:17">
      <c r="Q449" s="2"/>
    </row>
    <row r="450" spans="17:17">
      <c r="Q450" s="2"/>
    </row>
    <row r="451" spans="17:17">
      <c r="Q451" s="2"/>
    </row>
    <row r="452" spans="17:17">
      <c r="Q452" s="2"/>
    </row>
    <row r="453" spans="17:17">
      <c r="Q453" s="2"/>
    </row>
    <row r="454" spans="17:17">
      <c r="Q454" s="2"/>
    </row>
    <row r="455" spans="17:17">
      <c r="Q455" s="2"/>
    </row>
    <row r="456" spans="17:17">
      <c r="Q456" s="2"/>
    </row>
    <row r="457" spans="17:17">
      <c r="Q457" s="2"/>
    </row>
    <row r="458" spans="17:17">
      <c r="Q458" s="2"/>
    </row>
    <row r="459" spans="17:17">
      <c r="Q459" s="2"/>
    </row>
    <row r="460" spans="17:17">
      <c r="Q460" s="2"/>
    </row>
    <row r="461" spans="17:17">
      <c r="Q461" s="2"/>
    </row>
    <row r="462" spans="17:17">
      <c r="Q462" s="2"/>
    </row>
    <row r="463" spans="17:17">
      <c r="Q463" s="2"/>
    </row>
    <row r="464" spans="17:17">
      <c r="Q464" s="2"/>
    </row>
    <row r="465" spans="17:17">
      <c r="Q465" s="2"/>
    </row>
    <row r="466" spans="17:17">
      <c r="Q466" s="2"/>
    </row>
    <row r="467" spans="17:17">
      <c r="Q467" s="2"/>
    </row>
    <row r="468" spans="17:17">
      <c r="Q468" s="2"/>
    </row>
    <row r="469" spans="17:17">
      <c r="Q469" s="2"/>
    </row>
    <row r="470" spans="17:17">
      <c r="Q470" s="2"/>
    </row>
    <row r="471" spans="17:17">
      <c r="Q471" s="2"/>
    </row>
    <row r="472" spans="17:17">
      <c r="Q472" s="2"/>
    </row>
    <row r="473" spans="17:17">
      <c r="Q473" s="2"/>
    </row>
    <row r="474" spans="17:17">
      <c r="Q474" s="2"/>
    </row>
    <row r="475" spans="17:17">
      <c r="Q475" s="2"/>
    </row>
    <row r="476" spans="17:17">
      <c r="Q476" s="2"/>
    </row>
    <row r="477" spans="17:17">
      <c r="Q477" s="2"/>
    </row>
    <row r="478" spans="17:17">
      <c r="Q478" s="2"/>
    </row>
    <row r="479" spans="17:17">
      <c r="Q479" s="2"/>
    </row>
    <row r="480" spans="17:17">
      <c r="Q480" s="2"/>
    </row>
    <row r="481" spans="17:17">
      <c r="Q481" s="2"/>
    </row>
    <row r="482" spans="17:17">
      <c r="Q482" s="2"/>
    </row>
    <row r="483" spans="17:17">
      <c r="Q483" s="2"/>
    </row>
    <row r="484" spans="17:17">
      <c r="Q484" s="2"/>
    </row>
    <row r="485" spans="17:17">
      <c r="Q485" s="2"/>
    </row>
    <row r="486" spans="17:17">
      <c r="Q486" s="2"/>
    </row>
    <row r="487" spans="17:17">
      <c r="Q487" s="2"/>
    </row>
    <row r="488" spans="17:17">
      <c r="Q488" s="2"/>
    </row>
    <row r="489" spans="17:17">
      <c r="Q489" s="2"/>
    </row>
    <row r="490" spans="17:17">
      <c r="Q490" s="2"/>
    </row>
    <row r="491" spans="17:17">
      <c r="Q491" s="2"/>
    </row>
    <row r="492" spans="17:17">
      <c r="Q492" s="2"/>
    </row>
    <row r="493" spans="17:17">
      <c r="Q493" s="2"/>
    </row>
    <row r="494" spans="17:17">
      <c r="Q494" s="2"/>
    </row>
    <row r="495" spans="17:17">
      <c r="Q495" s="2"/>
    </row>
    <row r="496" spans="17:17">
      <c r="Q496" s="2"/>
    </row>
    <row r="497" spans="17:17">
      <c r="Q497" s="2"/>
    </row>
    <row r="498" spans="17:17">
      <c r="Q498" s="2"/>
    </row>
    <row r="499" spans="17:17">
      <c r="Q499" s="2"/>
    </row>
    <row r="500" spans="17:17">
      <c r="Q500" s="2"/>
    </row>
    <row r="501" spans="17:17">
      <c r="Q501" s="2"/>
    </row>
    <row r="502" spans="17:17">
      <c r="Q502" s="2"/>
    </row>
    <row r="503" spans="17:17">
      <c r="Q503" s="2"/>
    </row>
    <row r="504" spans="17:17">
      <c r="Q504" s="2"/>
    </row>
    <row r="505" spans="17:17">
      <c r="Q505" s="2"/>
    </row>
    <row r="506" spans="17:17">
      <c r="Q506" s="2"/>
    </row>
    <row r="507" spans="17:17">
      <c r="Q507" s="2"/>
    </row>
    <row r="508" spans="17:17">
      <c r="Q508" s="2"/>
    </row>
    <row r="509" spans="17:17">
      <c r="Q509" s="2"/>
    </row>
    <row r="510" spans="17:17">
      <c r="Q510" s="2"/>
    </row>
    <row r="511" spans="17:17">
      <c r="Q511" s="2"/>
    </row>
    <row r="512" spans="17:17">
      <c r="Q512" s="2"/>
    </row>
    <row r="513" spans="17:17">
      <c r="Q513" s="2"/>
    </row>
    <row r="514" spans="17:17">
      <c r="Q514" s="2"/>
    </row>
    <row r="515" spans="17:17">
      <c r="Q515" s="2"/>
    </row>
    <row r="516" spans="17:17">
      <c r="Q516" s="2"/>
    </row>
    <row r="517" spans="17:17">
      <c r="Q517" s="2"/>
    </row>
    <row r="518" spans="17:17">
      <c r="Q518" s="2"/>
    </row>
    <row r="519" spans="17:17">
      <c r="Q519" s="2"/>
    </row>
    <row r="520" spans="17:17">
      <c r="Q520" s="2"/>
    </row>
    <row r="521" spans="17:17">
      <c r="Q521" s="2"/>
    </row>
    <row r="522" spans="17:17">
      <c r="Q522" s="2"/>
    </row>
    <row r="523" spans="17:17">
      <c r="Q523" s="2"/>
    </row>
    <row r="524" spans="17:17">
      <c r="Q524" s="2"/>
    </row>
    <row r="525" spans="17:17">
      <c r="Q525" s="2"/>
    </row>
    <row r="526" spans="17:17">
      <c r="Q526" s="2"/>
    </row>
    <row r="527" spans="17:17">
      <c r="Q527" s="2"/>
    </row>
    <row r="528" spans="17:17">
      <c r="Q528" s="2"/>
    </row>
    <row r="529" spans="17:17">
      <c r="Q529" s="2"/>
    </row>
    <row r="530" spans="17:17">
      <c r="Q530" s="2"/>
    </row>
    <row r="531" spans="17:17">
      <c r="Q531" s="2"/>
    </row>
    <row r="532" spans="17:17">
      <c r="Q532" s="2"/>
    </row>
    <row r="533" spans="17:17">
      <c r="Q533" s="2"/>
    </row>
    <row r="534" spans="17:17">
      <c r="Q534" s="2"/>
    </row>
    <row r="535" spans="17:17">
      <c r="Q535" s="2"/>
    </row>
    <row r="536" spans="17:17">
      <c r="Q536" s="2"/>
    </row>
    <row r="537" spans="17:17">
      <c r="Q537" s="2"/>
    </row>
    <row r="538" spans="17:17">
      <c r="Q538" s="2"/>
    </row>
    <row r="539" spans="17:17">
      <c r="Q539" s="2"/>
    </row>
    <row r="540" spans="17:17">
      <c r="Q540" s="2"/>
    </row>
    <row r="541" spans="17:17">
      <c r="Q541" s="2"/>
    </row>
    <row r="542" spans="17:17">
      <c r="Q542" s="2"/>
    </row>
    <row r="543" spans="17:17">
      <c r="Q543" s="2"/>
    </row>
    <row r="544" spans="17:17">
      <c r="Q544" s="2"/>
    </row>
    <row r="545" spans="17:17">
      <c r="Q545" s="2"/>
    </row>
    <row r="546" spans="17:17">
      <c r="Q546" s="2"/>
    </row>
    <row r="547" spans="17:17">
      <c r="Q547" s="2"/>
    </row>
    <row r="548" spans="17:17">
      <c r="Q548" s="2"/>
    </row>
    <row r="549" spans="17:17">
      <c r="Q549" s="2"/>
    </row>
    <row r="550" spans="17:17">
      <c r="Q550" s="2"/>
    </row>
    <row r="551" spans="17:17">
      <c r="Q551" s="2"/>
    </row>
    <row r="552" spans="17:17">
      <c r="Q552" s="2"/>
    </row>
    <row r="553" spans="17:17">
      <c r="Q553" s="2"/>
    </row>
    <row r="554" spans="17:17">
      <c r="Q554" s="2"/>
    </row>
    <row r="555" spans="17:17">
      <c r="Q555" s="2"/>
    </row>
    <row r="556" spans="17:17">
      <c r="Q556" s="2"/>
    </row>
    <row r="557" spans="17:17">
      <c r="Q557" s="2"/>
    </row>
    <row r="558" spans="17:17">
      <c r="Q558" s="2"/>
    </row>
    <row r="559" spans="17:17">
      <c r="Q559" s="2"/>
    </row>
    <row r="560" spans="17:17">
      <c r="Q560" s="2"/>
    </row>
    <row r="561" spans="17:17">
      <c r="Q561" s="2"/>
    </row>
    <row r="562" spans="17:17">
      <c r="Q562" s="2"/>
    </row>
    <row r="563" spans="17:17">
      <c r="Q563" s="2"/>
    </row>
    <row r="564" spans="17:17">
      <c r="Q564" s="2"/>
    </row>
    <row r="565" spans="17:17">
      <c r="Q565" s="2"/>
    </row>
    <row r="566" spans="17:17">
      <c r="Q566" s="2"/>
    </row>
    <row r="567" spans="17:17">
      <c r="Q567" s="2"/>
    </row>
    <row r="568" spans="17:17">
      <c r="Q568" s="2"/>
    </row>
    <row r="569" spans="17:17">
      <c r="Q569" s="2"/>
    </row>
    <row r="570" spans="17:17">
      <c r="Q570" s="2"/>
    </row>
    <row r="571" spans="17:17">
      <c r="Q571" s="2"/>
    </row>
    <row r="572" spans="17:17">
      <c r="Q572" s="2"/>
    </row>
    <row r="573" spans="17:17">
      <c r="Q573" s="2"/>
    </row>
    <row r="574" spans="17:17">
      <c r="Q574" s="2"/>
    </row>
    <row r="575" spans="17:17">
      <c r="Q575" s="2"/>
    </row>
    <row r="576" spans="17:17">
      <c r="Q576" s="2"/>
    </row>
    <row r="577" spans="17:17">
      <c r="Q577" s="2"/>
    </row>
    <row r="578" spans="17:17">
      <c r="Q578" s="2"/>
    </row>
    <row r="579" spans="17:17">
      <c r="Q579" s="2"/>
    </row>
    <row r="580" spans="17:17">
      <c r="Q580" s="2"/>
    </row>
    <row r="581" spans="17:17">
      <c r="Q581" s="2"/>
    </row>
    <row r="582" spans="17:17">
      <c r="Q582" s="2"/>
    </row>
    <row r="583" spans="17:17">
      <c r="Q583" s="2"/>
    </row>
    <row r="584" spans="17:17">
      <c r="Q584" s="2"/>
    </row>
    <row r="585" spans="17:17">
      <c r="Q585" s="2"/>
    </row>
    <row r="586" spans="17:17">
      <c r="Q586" s="2"/>
    </row>
    <row r="587" spans="17:17">
      <c r="Q587" s="2"/>
    </row>
    <row r="588" spans="17:17">
      <c r="Q588" s="2"/>
    </row>
    <row r="589" spans="17:17">
      <c r="Q589" s="2"/>
    </row>
    <row r="590" spans="17:17">
      <c r="Q590" s="2"/>
    </row>
    <row r="591" spans="17:17">
      <c r="Q591" s="2"/>
    </row>
    <row r="592" spans="17:17">
      <c r="Q592" s="2"/>
    </row>
    <row r="593" spans="17:17">
      <c r="Q593" s="2"/>
    </row>
    <row r="594" spans="17:17">
      <c r="Q594" s="2"/>
    </row>
    <row r="595" spans="17:17">
      <c r="Q595" s="2"/>
    </row>
    <row r="596" spans="17:17">
      <c r="Q596" s="2"/>
    </row>
    <row r="597" spans="17:17">
      <c r="Q597" s="2"/>
    </row>
    <row r="598" spans="17:17">
      <c r="Q598" s="2"/>
    </row>
    <row r="599" spans="17:17">
      <c r="Q599" s="2"/>
    </row>
    <row r="600" spans="17:17">
      <c r="Q600" s="2"/>
    </row>
    <row r="601" spans="17:17">
      <c r="Q601" s="2"/>
    </row>
    <row r="602" spans="17:17">
      <c r="Q602" s="2"/>
    </row>
    <row r="603" spans="17:17">
      <c r="Q603" s="2"/>
    </row>
    <row r="604" spans="17:17">
      <c r="Q604" s="2"/>
    </row>
    <row r="605" spans="17:17">
      <c r="Q605" s="2"/>
    </row>
    <row r="606" spans="17:17">
      <c r="Q606" s="2"/>
    </row>
    <row r="607" spans="17:17">
      <c r="Q607" s="2"/>
    </row>
    <row r="608" spans="17:17">
      <c r="Q608" s="2"/>
    </row>
    <row r="609" spans="17:17">
      <c r="Q609" s="2"/>
    </row>
    <row r="610" spans="17:17">
      <c r="Q610" s="2"/>
    </row>
    <row r="611" spans="17:17">
      <c r="Q611" s="2"/>
    </row>
    <row r="612" spans="17:17">
      <c r="Q612" s="2"/>
    </row>
    <row r="613" spans="17:17">
      <c r="Q613" s="2"/>
    </row>
    <row r="614" spans="17:17">
      <c r="Q614" s="2"/>
    </row>
    <row r="615" spans="17:17">
      <c r="Q615" s="2"/>
    </row>
    <row r="616" spans="17:17">
      <c r="Q616" s="2"/>
    </row>
    <row r="617" spans="17:17">
      <c r="Q617" s="2"/>
    </row>
    <row r="618" spans="17:17">
      <c r="Q618" s="2"/>
    </row>
    <row r="619" spans="17:17">
      <c r="Q619" s="2"/>
    </row>
    <row r="620" spans="17:17">
      <c r="Q620" s="2"/>
    </row>
    <row r="621" spans="17:17">
      <c r="Q621" s="2"/>
    </row>
    <row r="622" spans="17:17">
      <c r="Q622" s="2"/>
    </row>
    <row r="623" spans="17:17">
      <c r="Q623" s="2"/>
    </row>
    <row r="624" spans="17:17">
      <c r="Q624" s="2"/>
    </row>
    <row r="625" spans="17:17">
      <c r="Q625" s="2"/>
    </row>
    <row r="626" spans="17:17">
      <c r="Q626" s="2"/>
    </row>
    <row r="627" spans="17:17">
      <c r="Q627" s="2"/>
    </row>
    <row r="628" spans="17:17">
      <c r="Q628" s="2"/>
    </row>
    <row r="629" spans="17:17">
      <c r="Q629" s="2"/>
    </row>
    <row r="630" spans="17:17">
      <c r="Q630" s="2"/>
    </row>
    <row r="631" spans="17:17">
      <c r="Q631" s="2"/>
    </row>
    <row r="632" spans="17:17">
      <c r="Q632" s="2"/>
    </row>
    <row r="633" spans="17:17">
      <c r="Q633" s="2"/>
    </row>
    <row r="634" spans="17:17">
      <c r="Q634" s="2"/>
    </row>
    <row r="635" spans="17:17">
      <c r="Q635" s="2"/>
    </row>
    <row r="636" spans="17:17">
      <c r="Q636" s="2"/>
    </row>
    <row r="637" spans="17:17">
      <c r="Q637" s="2"/>
    </row>
    <row r="638" spans="17:17">
      <c r="Q638" s="2"/>
    </row>
    <row r="639" spans="17:17">
      <c r="Q639" s="2"/>
    </row>
    <row r="640" spans="17:17">
      <c r="Q640" s="2"/>
    </row>
    <row r="641" spans="17:17">
      <c r="Q641" s="2"/>
    </row>
    <row r="642" spans="17:17">
      <c r="Q642" s="2"/>
    </row>
    <row r="643" spans="17:17">
      <c r="Q643" s="2"/>
    </row>
    <row r="644" spans="17:17">
      <c r="Q644" s="2"/>
    </row>
    <row r="645" spans="17:17">
      <c r="Q645" s="2"/>
    </row>
    <row r="646" spans="17:17">
      <c r="Q646" s="2"/>
    </row>
    <row r="647" spans="17:17">
      <c r="Q647" s="2"/>
    </row>
    <row r="648" spans="17:17">
      <c r="Q648" s="2"/>
    </row>
    <row r="649" spans="17:17">
      <c r="Q649" s="2"/>
    </row>
    <row r="650" spans="17:17">
      <c r="Q650" s="2"/>
    </row>
    <row r="651" spans="17:17">
      <c r="Q651" s="2"/>
    </row>
    <row r="652" spans="17:17">
      <c r="Q652" s="2"/>
    </row>
    <row r="653" spans="17:17">
      <c r="Q653" s="2"/>
    </row>
    <row r="654" spans="17:17">
      <c r="Q654" s="2"/>
    </row>
    <row r="655" spans="17:17">
      <c r="Q655" s="2"/>
    </row>
    <row r="656" spans="17:17">
      <c r="Q656" s="2"/>
    </row>
    <row r="657" spans="17:17">
      <c r="Q657" s="2"/>
    </row>
    <row r="658" spans="17:17">
      <c r="Q658" s="2"/>
    </row>
    <row r="659" spans="17:17">
      <c r="Q659" s="2"/>
    </row>
    <row r="660" spans="17:17">
      <c r="Q660" s="2"/>
    </row>
    <row r="661" spans="17:17">
      <c r="Q661" s="2"/>
    </row>
    <row r="662" spans="17:17">
      <c r="Q662" s="2"/>
    </row>
    <row r="663" spans="17:17">
      <c r="Q663" s="2"/>
    </row>
    <row r="664" spans="17:17">
      <c r="Q664" s="2"/>
    </row>
    <row r="665" spans="17:17">
      <c r="Q665" s="2"/>
    </row>
    <row r="666" spans="17:17">
      <c r="Q666" s="2"/>
    </row>
    <row r="667" spans="17:17">
      <c r="Q667" s="2"/>
    </row>
    <row r="668" spans="17:17">
      <c r="Q668" s="2"/>
    </row>
    <row r="669" spans="17:17">
      <c r="Q669" s="2"/>
    </row>
    <row r="670" spans="17:17">
      <c r="Q670" s="2"/>
    </row>
    <row r="671" spans="17:17">
      <c r="Q671" s="2"/>
    </row>
    <row r="672" spans="17:17">
      <c r="Q672" s="2"/>
    </row>
    <row r="673" spans="17:17">
      <c r="Q673" s="2"/>
    </row>
    <row r="674" spans="17:17">
      <c r="Q674" s="2"/>
    </row>
    <row r="675" spans="17:17">
      <c r="Q675" s="2"/>
    </row>
    <row r="676" spans="17:17">
      <c r="Q676" s="2"/>
    </row>
    <row r="677" spans="17:17">
      <c r="Q677" s="2"/>
    </row>
    <row r="678" spans="17:17">
      <c r="Q678" s="2"/>
    </row>
    <row r="679" spans="17:17">
      <c r="Q679" s="2"/>
    </row>
    <row r="680" spans="17:17">
      <c r="Q680" s="2"/>
    </row>
    <row r="681" spans="17:17">
      <c r="Q681" s="2"/>
    </row>
    <row r="682" spans="17:17">
      <c r="Q682" s="2"/>
    </row>
    <row r="683" spans="17:17">
      <c r="Q683" s="2"/>
    </row>
    <row r="684" spans="17:17">
      <c r="Q684" s="2"/>
    </row>
    <row r="685" spans="17:17">
      <c r="Q685" s="2"/>
    </row>
    <row r="686" spans="17:17">
      <c r="Q686" s="2"/>
    </row>
    <row r="687" spans="17:17">
      <c r="Q687" s="2"/>
    </row>
    <row r="688" spans="17:17">
      <c r="Q688" s="2"/>
    </row>
    <row r="689" spans="17:17">
      <c r="Q689" s="2"/>
    </row>
    <row r="690" spans="17:17">
      <c r="Q690" s="2"/>
    </row>
    <row r="691" spans="17:17">
      <c r="Q691" s="2"/>
    </row>
    <row r="692" spans="17:17">
      <c r="Q692" s="2"/>
    </row>
    <row r="693" spans="17:17">
      <c r="Q693" s="2"/>
    </row>
    <row r="694" spans="17:17">
      <c r="Q694" s="2"/>
    </row>
    <row r="695" spans="17:17">
      <c r="Q695" s="2"/>
    </row>
    <row r="696" spans="17:17">
      <c r="Q696" s="2"/>
    </row>
    <row r="697" spans="17:17">
      <c r="Q697" s="2"/>
    </row>
    <row r="698" spans="17:17">
      <c r="Q698" s="2"/>
    </row>
    <row r="699" spans="17:17">
      <c r="Q699" s="2"/>
    </row>
    <row r="700" spans="17:17">
      <c r="Q700" s="2"/>
    </row>
    <row r="701" spans="17:17">
      <c r="Q701" s="2"/>
    </row>
    <row r="702" spans="17:17">
      <c r="Q702" s="2"/>
    </row>
    <row r="703" spans="17:17">
      <c r="Q703" s="2"/>
    </row>
    <row r="704" spans="17:17">
      <c r="Q704" s="2"/>
    </row>
    <row r="705" spans="17:17">
      <c r="Q705" s="2"/>
    </row>
    <row r="706" spans="17:17">
      <c r="Q706" s="2"/>
    </row>
    <row r="707" spans="17:17">
      <c r="Q707" s="2"/>
    </row>
    <row r="708" spans="17:17">
      <c r="Q708" s="2"/>
    </row>
    <row r="709" spans="17:17">
      <c r="Q709" s="2"/>
    </row>
    <row r="710" spans="17:17">
      <c r="Q710" s="2"/>
    </row>
    <row r="711" spans="17:17">
      <c r="Q711" s="2"/>
    </row>
    <row r="712" spans="17:17">
      <c r="Q712" s="2"/>
    </row>
    <row r="713" spans="17:17">
      <c r="Q713" s="2"/>
    </row>
    <row r="714" spans="17:17">
      <c r="Q714" s="2"/>
    </row>
    <row r="715" spans="17:17">
      <c r="Q715" s="2"/>
    </row>
    <row r="716" spans="17:17">
      <c r="Q716" s="2"/>
    </row>
    <row r="717" spans="17:17">
      <c r="Q717" s="2"/>
    </row>
    <row r="718" spans="17:17">
      <c r="Q718" s="2"/>
    </row>
    <row r="719" spans="17:17">
      <c r="Q719" s="2"/>
    </row>
    <row r="720" spans="17:17">
      <c r="Q720" s="2"/>
    </row>
    <row r="721" spans="17:17">
      <c r="Q721" s="2"/>
    </row>
    <row r="722" spans="17:17">
      <c r="Q722" s="2"/>
    </row>
    <row r="723" spans="17:17">
      <c r="Q723" s="2"/>
    </row>
    <row r="724" spans="17:17">
      <c r="Q724" s="2"/>
    </row>
    <row r="725" spans="17:17">
      <c r="Q725" s="2"/>
    </row>
    <row r="726" spans="17:17">
      <c r="Q726" s="2"/>
    </row>
    <row r="727" spans="17:17">
      <c r="Q727" s="2"/>
    </row>
    <row r="728" spans="17:17">
      <c r="Q728" s="2"/>
    </row>
    <row r="729" spans="17:17">
      <c r="Q729" s="2"/>
    </row>
    <row r="730" spans="17:17">
      <c r="Q730" s="2"/>
    </row>
    <row r="731" spans="17:17">
      <c r="Q731" s="2"/>
    </row>
    <row r="732" spans="17:17">
      <c r="Q732" s="2"/>
    </row>
    <row r="733" spans="17:17">
      <c r="Q733" s="2"/>
    </row>
    <row r="734" spans="17:17">
      <c r="Q734" s="2"/>
    </row>
    <row r="735" spans="17:17">
      <c r="Q735" s="2"/>
    </row>
    <row r="736" spans="17:17">
      <c r="Q736" s="2"/>
    </row>
    <row r="737" spans="17:17">
      <c r="Q737" s="2"/>
    </row>
    <row r="738" spans="17:17">
      <c r="Q738" s="2"/>
    </row>
    <row r="739" spans="17:17">
      <c r="Q739" s="2"/>
    </row>
    <row r="740" spans="17:17">
      <c r="Q740" s="2"/>
    </row>
    <row r="741" spans="17:17">
      <c r="Q741" s="2"/>
    </row>
    <row r="742" spans="17:17">
      <c r="Q742" s="2"/>
    </row>
    <row r="743" spans="17:17">
      <c r="Q743" s="2"/>
    </row>
    <row r="744" spans="17:17">
      <c r="Q744" s="2"/>
    </row>
    <row r="745" spans="17:17">
      <c r="Q745" s="2"/>
    </row>
    <row r="746" spans="17:17">
      <c r="Q746" s="2"/>
    </row>
    <row r="747" spans="17:17">
      <c r="Q747" s="2"/>
    </row>
    <row r="748" spans="17:17">
      <c r="Q748" s="2"/>
    </row>
    <row r="749" spans="17:17">
      <c r="Q749" s="2"/>
    </row>
    <row r="750" spans="17:17">
      <c r="Q750" s="2"/>
    </row>
    <row r="751" spans="17:17">
      <c r="Q751" s="2"/>
    </row>
    <row r="752" spans="17:17">
      <c r="Q752" s="2"/>
    </row>
    <row r="753" spans="17:17">
      <c r="Q753" s="2"/>
    </row>
    <row r="754" spans="17:17">
      <c r="Q754" s="2"/>
    </row>
    <row r="755" spans="17:17">
      <c r="Q755" s="2"/>
    </row>
    <row r="756" spans="17:17">
      <c r="Q756" s="2"/>
    </row>
    <row r="757" spans="17:17">
      <c r="Q757" s="2"/>
    </row>
    <row r="758" spans="17:17">
      <c r="Q758" s="2"/>
    </row>
    <row r="759" spans="17:17">
      <c r="Q759" s="2"/>
    </row>
    <row r="760" spans="17:17">
      <c r="Q760" s="2"/>
    </row>
    <row r="761" spans="17:17">
      <c r="Q761" s="2"/>
    </row>
    <row r="762" spans="17:17">
      <c r="Q762" s="2"/>
    </row>
    <row r="763" spans="17:17">
      <c r="Q763" s="2"/>
    </row>
    <row r="764" spans="17:17">
      <c r="Q764" s="2"/>
    </row>
    <row r="765" spans="17:17">
      <c r="Q765" s="2"/>
    </row>
    <row r="766" spans="17:17">
      <c r="Q766" s="2"/>
    </row>
    <row r="767" spans="17:17">
      <c r="Q767" s="2"/>
    </row>
    <row r="768" spans="17:17">
      <c r="Q768" s="2"/>
    </row>
    <row r="769" spans="17:17">
      <c r="Q769" s="2"/>
    </row>
    <row r="770" spans="17:17">
      <c r="Q770" s="2"/>
    </row>
    <row r="771" spans="17:17">
      <c r="Q771" s="2"/>
    </row>
    <row r="772" spans="17:17">
      <c r="Q772" s="2"/>
    </row>
    <row r="773" spans="17:17">
      <c r="Q773" s="2"/>
    </row>
    <row r="774" spans="17:17">
      <c r="Q774" s="2"/>
    </row>
    <row r="775" spans="17:17">
      <c r="Q775" s="2"/>
    </row>
    <row r="776" spans="17:17">
      <c r="Q776" s="2"/>
    </row>
    <row r="777" spans="17:17">
      <c r="Q777" s="2"/>
    </row>
    <row r="778" spans="17:17">
      <c r="Q778" s="2"/>
    </row>
    <row r="779" spans="17:17">
      <c r="Q779" s="2"/>
    </row>
    <row r="780" spans="17:17">
      <c r="Q780" s="2"/>
    </row>
    <row r="781" spans="17:17">
      <c r="Q781" s="2"/>
    </row>
    <row r="782" spans="17:17">
      <c r="Q782" s="2"/>
    </row>
    <row r="783" spans="17:17">
      <c r="Q783" s="2"/>
    </row>
    <row r="784" spans="17:17">
      <c r="Q784" s="2"/>
    </row>
    <row r="785" spans="17:17">
      <c r="Q785" s="2"/>
    </row>
    <row r="786" spans="17:17">
      <c r="Q786" s="2"/>
    </row>
    <row r="787" spans="17:17">
      <c r="Q787" s="2"/>
    </row>
    <row r="788" spans="17:17">
      <c r="Q788" s="2"/>
    </row>
    <row r="789" spans="17:17">
      <c r="Q789" s="2"/>
    </row>
    <row r="790" spans="17:17">
      <c r="Q790" s="2"/>
    </row>
    <row r="791" spans="17:17">
      <c r="Q791" s="2"/>
    </row>
    <row r="792" spans="17:17">
      <c r="Q792" s="2"/>
    </row>
    <row r="793" spans="17:17">
      <c r="Q793" s="2"/>
    </row>
    <row r="794" spans="17:17">
      <c r="Q794" s="2"/>
    </row>
    <row r="795" spans="17:17">
      <c r="Q795" s="2"/>
    </row>
    <row r="796" spans="17:17">
      <c r="Q796" s="2"/>
    </row>
    <row r="797" spans="17:17">
      <c r="Q797" s="2"/>
    </row>
    <row r="798" spans="17:17">
      <c r="Q798" s="2"/>
    </row>
    <row r="799" spans="17:17">
      <c r="Q799" s="2"/>
    </row>
    <row r="800" spans="17:17">
      <c r="Q800" s="2"/>
    </row>
    <row r="801" spans="17:17">
      <c r="Q801" s="2"/>
    </row>
    <row r="802" spans="17:17">
      <c r="Q802" s="2"/>
    </row>
    <row r="803" spans="17:17">
      <c r="Q803" s="2"/>
    </row>
    <row r="804" spans="17:17">
      <c r="Q804" s="2"/>
    </row>
    <row r="805" spans="17:17">
      <c r="Q805" s="2"/>
    </row>
    <row r="806" spans="17:17">
      <c r="Q806" s="2"/>
    </row>
    <row r="807" spans="17:17">
      <c r="Q807" s="2"/>
    </row>
    <row r="808" spans="17:17">
      <c r="Q808" s="2"/>
    </row>
    <row r="809" spans="17:17">
      <c r="Q809" s="2"/>
    </row>
    <row r="810" spans="17:17">
      <c r="Q810" s="2"/>
    </row>
    <row r="811" spans="17:17">
      <c r="Q811" s="2"/>
    </row>
    <row r="812" spans="17:17">
      <c r="Q812" s="2"/>
    </row>
    <row r="813" spans="17:17">
      <c r="Q813" s="2"/>
    </row>
    <row r="814" spans="17:17">
      <c r="Q814" s="2"/>
    </row>
    <row r="815" spans="17:17">
      <c r="Q815" s="2"/>
    </row>
    <row r="816" spans="17:17">
      <c r="Q816" s="2"/>
    </row>
    <row r="817" spans="17:17">
      <c r="Q817" s="2"/>
    </row>
    <row r="818" spans="17:17">
      <c r="Q818" s="2"/>
    </row>
    <row r="819" spans="17:17">
      <c r="Q819" s="2"/>
    </row>
    <row r="820" spans="17:17">
      <c r="Q820" s="2"/>
    </row>
    <row r="821" spans="17:17">
      <c r="Q821" s="2"/>
    </row>
    <row r="822" spans="17:17">
      <c r="Q822" s="2"/>
    </row>
    <row r="823" spans="17:17">
      <c r="Q823" s="2"/>
    </row>
    <row r="824" spans="17:17">
      <c r="Q824" s="2"/>
    </row>
    <row r="825" spans="17:17">
      <c r="Q825" s="2"/>
    </row>
    <row r="826" spans="17:17">
      <c r="Q826" s="2"/>
    </row>
    <row r="827" spans="17:17">
      <c r="Q827" s="2"/>
    </row>
    <row r="828" spans="17:17">
      <c r="Q828" s="2"/>
    </row>
    <row r="829" spans="17:17">
      <c r="Q829" s="2"/>
    </row>
    <row r="830" spans="17:17">
      <c r="Q830" s="2"/>
    </row>
    <row r="831" spans="17:17">
      <c r="Q831" s="2"/>
    </row>
    <row r="832" spans="17:17">
      <c r="Q832" s="2"/>
    </row>
    <row r="833" spans="17:17">
      <c r="Q833" s="2"/>
    </row>
    <row r="834" spans="17:17">
      <c r="Q834" s="2"/>
    </row>
    <row r="835" spans="17:17">
      <c r="Q835" s="2"/>
    </row>
    <row r="836" spans="17:17">
      <c r="Q836" s="2"/>
    </row>
    <row r="837" spans="17:17">
      <c r="Q837" s="2"/>
    </row>
    <row r="838" spans="17:17">
      <c r="Q838" s="2"/>
    </row>
    <row r="839" spans="17:17">
      <c r="Q839" s="2"/>
    </row>
    <row r="840" spans="17:17">
      <c r="Q840" s="2"/>
    </row>
    <row r="841" spans="17:17">
      <c r="Q841" s="2"/>
    </row>
    <row r="842" spans="17:17">
      <c r="Q842" s="2"/>
    </row>
    <row r="843" spans="17:17">
      <c r="Q843" s="2"/>
    </row>
    <row r="844" spans="17:17">
      <c r="Q844" s="2"/>
    </row>
    <row r="845" spans="17:17">
      <c r="Q845" s="2"/>
    </row>
    <row r="846" spans="17:17">
      <c r="Q846" s="2"/>
    </row>
    <row r="847" spans="17:17">
      <c r="Q847" s="2"/>
    </row>
    <row r="848" spans="17:17">
      <c r="Q848" s="2"/>
    </row>
    <row r="849" spans="17:17">
      <c r="Q849" s="2"/>
    </row>
    <row r="850" spans="17:17">
      <c r="Q850" s="2"/>
    </row>
    <row r="851" spans="17:17">
      <c r="Q851" s="2"/>
    </row>
    <row r="852" spans="17:17">
      <c r="Q852" s="2"/>
    </row>
    <row r="853" spans="17:17">
      <c r="Q853" s="2"/>
    </row>
    <row r="854" spans="17:17">
      <c r="Q854" s="2"/>
    </row>
    <row r="855" spans="17:17">
      <c r="Q855" s="2"/>
    </row>
    <row r="856" spans="17:17">
      <c r="Q856" s="2"/>
    </row>
    <row r="857" spans="17:17">
      <c r="Q857" s="2"/>
    </row>
    <row r="858" spans="17:17">
      <c r="Q858" s="2"/>
    </row>
    <row r="859" spans="17:17">
      <c r="Q859" s="2"/>
    </row>
    <row r="860" spans="17:17">
      <c r="Q860" s="2"/>
    </row>
    <row r="861" spans="17:17">
      <c r="Q861" s="2"/>
    </row>
    <row r="862" spans="17:17">
      <c r="Q862" s="2"/>
    </row>
    <row r="863" spans="17:17">
      <c r="Q863" s="2"/>
    </row>
    <row r="864" spans="17:17">
      <c r="Q864" s="2"/>
    </row>
    <row r="865" spans="17:17">
      <c r="Q865" s="2"/>
    </row>
    <row r="866" spans="17:17">
      <c r="Q866" s="2"/>
    </row>
    <row r="867" spans="17:17">
      <c r="Q867" s="2"/>
    </row>
    <row r="868" spans="17:17">
      <c r="Q868" s="2"/>
    </row>
    <row r="869" spans="17:17">
      <c r="Q869" s="2"/>
    </row>
    <row r="870" spans="17:17">
      <c r="Q870" s="2"/>
    </row>
    <row r="871" spans="17:17">
      <c r="Q871" s="2"/>
    </row>
    <row r="872" spans="17:17">
      <c r="Q872" s="2"/>
    </row>
    <row r="873" spans="17:17">
      <c r="Q873" s="2"/>
    </row>
    <row r="874" spans="17:17">
      <c r="Q874" s="2"/>
    </row>
    <row r="875" spans="17:17">
      <c r="Q875" s="2"/>
    </row>
    <row r="876" spans="17:17">
      <c r="Q876" s="2"/>
    </row>
    <row r="877" spans="17:17">
      <c r="Q877" s="2"/>
    </row>
    <row r="878" spans="17:17">
      <c r="Q878" s="2"/>
    </row>
    <row r="879" spans="17:17">
      <c r="Q879" s="2"/>
    </row>
    <row r="880" spans="17:17">
      <c r="Q880" s="2"/>
    </row>
    <row r="881" spans="17:17">
      <c r="Q881" s="2"/>
    </row>
    <row r="882" spans="17:17">
      <c r="Q882" s="2"/>
    </row>
    <row r="883" spans="17:17">
      <c r="Q883" s="2"/>
    </row>
    <row r="884" spans="17:17">
      <c r="Q884" s="2"/>
    </row>
    <row r="885" spans="17:17">
      <c r="Q885" s="2"/>
    </row>
    <row r="886" spans="17:17">
      <c r="Q886" s="2"/>
    </row>
    <row r="887" spans="17:17">
      <c r="Q887" s="2"/>
    </row>
    <row r="888" spans="17:17">
      <c r="Q888" s="2"/>
    </row>
    <row r="889" spans="17:17">
      <c r="Q889" s="2"/>
    </row>
    <row r="890" spans="17:17">
      <c r="Q890" s="2"/>
    </row>
    <row r="891" spans="17:17">
      <c r="Q891" s="2"/>
    </row>
    <row r="892" spans="17:17">
      <c r="Q892" s="2"/>
    </row>
    <row r="893" spans="17:17">
      <c r="Q893" s="2"/>
    </row>
    <row r="894" spans="17:17">
      <c r="Q894" s="2"/>
    </row>
    <row r="895" spans="17:17">
      <c r="Q895" s="2"/>
    </row>
    <row r="896" spans="17:17">
      <c r="Q896" s="2"/>
    </row>
    <row r="897" spans="17:17">
      <c r="Q897" s="2"/>
    </row>
    <row r="898" spans="17:17">
      <c r="Q898" s="2"/>
    </row>
    <row r="899" spans="17:17">
      <c r="Q899" s="2"/>
    </row>
    <row r="900" spans="17:17">
      <c r="Q900" s="2"/>
    </row>
    <row r="901" spans="17:17">
      <c r="Q901" s="2"/>
    </row>
    <row r="902" spans="17:17">
      <c r="Q902" s="2"/>
    </row>
    <row r="903" spans="17:17">
      <c r="Q903" s="2"/>
    </row>
    <row r="904" spans="17:17">
      <c r="Q904" s="2"/>
    </row>
    <row r="905" spans="17:17">
      <c r="Q905" s="2"/>
    </row>
    <row r="906" spans="17:17">
      <c r="Q906" s="2"/>
    </row>
    <row r="907" spans="17:17">
      <c r="Q907" s="2"/>
    </row>
    <row r="908" spans="17:17">
      <c r="Q908" s="2"/>
    </row>
    <row r="909" spans="17:17">
      <c r="Q909" s="2"/>
    </row>
    <row r="910" spans="17:17">
      <c r="Q910" s="2"/>
    </row>
    <row r="911" spans="17:17">
      <c r="Q911" s="2"/>
    </row>
    <row r="912" spans="17:17">
      <c r="Q912" s="2"/>
    </row>
    <row r="913" spans="17:17">
      <c r="Q913" s="2"/>
    </row>
    <row r="914" spans="17:17">
      <c r="Q914" s="2"/>
    </row>
    <row r="915" spans="17:17">
      <c r="Q915" s="2"/>
    </row>
    <row r="916" spans="17:17">
      <c r="Q916" s="2"/>
    </row>
    <row r="917" spans="17:17">
      <c r="Q917" s="2"/>
    </row>
    <row r="918" spans="17:17">
      <c r="Q918" s="2"/>
    </row>
    <row r="919" spans="17:17">
      <c r="Q919" s="2"/>
    </row>
    <row r="920" spans="17:17">
      <c r="Q920" s="2"/>
    </row>
    <row r="921" spans="17:17">
      <c r="Q921" s="2"/>
    </row>
    <row r="922" spans="17:17">
      <c r="Q922" s="2"/>
    </row>
    <row r="923" spans="17:17">
      <c r="Q923" s="2"/>
    </row>
    <row r="924" spans="17:17">
      <c r="Q924" s="2"/>
    </row>
    <row r="925" spans="17:17">
      <c r="Q925" s="2"/>
    </row>
    <row r="926" spans="17:17">
      <c r="Q926" s="2"/>
    </row>
    <row r="927" spans="17:17">
      <c r="Q927" s="2"/>
    </row>
    <row r="928" spans="17:17">
      <c r="Q928" s="2"/>
    </row>
    <row r="929" spans="17:17">
      <c r="Q929" s="2"/>
    </row>
    <row r="930" spans="17:17">
      <c r="Q930" s="2"/>
    </row>
    <row r="931" spans="17:17">
      <c r="Q931" s="2"/>
    </row>
    <row r="932" spans="17:17">
      <c r="Q932" s="2"/>
    </row>
    <row r="933" spans="17:17">
      <c r="Q933" s="2"/>
    </row>
    <row r="934" spans="17:17">
      <c r="Q934" s="2"/>
    </row>
    <row r="935" spans="17:17">
      <c r="Q935" s="2"/>
    </row>
    <row r="936" spans="17:17">
      <c r="Q936" s="2"/>
    </row>
    <row r="937" spans="17:17">
      <c r="Q937" s="2"/>
    </row>
    <row r="938" spans="17:17">
      <c r="Q938" s="2"/>
    </row>
    <row r="939" spans="17:17">
      <c r="Q939" s="2"/>
    </row>
    <row r="940" spans="17:17">
      <c r="Q940" s="2"/>
    </row>
    <row r="941" spans="17:17">
      <c r="Q941" s="2"/>
    </row>
    <row r="942" spans="17:17">
      <c r="Q942" s="2"/>
    </row>
    <row r="943" spans="17:17">
      <c r="Q943" s="2"/>
    </row>
    <row r="944" spans="17:17">
      <c r="Q944" s="2"/>
    </row>
    <row r="945" spans="17:17">
      <c r="Q945" s="2"/>
    </row>
    <row r="946" spans="17:17">
      <c r="Q946" s="2"/>
    </row>
    <row r="947" spans="17:17">
      <c r="Q947" s="2"/>
    </row>
    <row r="948" spans="17:17">
      <c r="Q948" s="2"/>
    </row>
    <row r="949" spans="17:17">
      <c r="Q949" s="2"/>
    </row>
    <row r="950" spans="17:17">
      <c r="Q950" s="2"/>
    </row>
    <row r="951" spans="17:17">
      <c r="Q951" s="2"/>
    </row>
    <row r="952" spans="17:17">
      <c r="Q952" s="2"/>
    </row>
    <row r="953" spans="17:17">
      <c r="Q953" s="2"/>
    </row>
    <row r="954" spans="17:17">
      <c r="Q954" s="2"/>
    </row>
    <row r="955" spans="17:17">
      <c r="Q955" s="2"/>
    </row>
    <row r="956" spans="17:17">
      <c r="Q956" s="2"/>
    </row>
    <row r="957" spans="17:17">
      <c r="Q957" s="2"/>
    </row>
    <row r="958" spans="17:17">
      <c r="Q958" s="2"/>
    </row>
    <row r="959" spans="17:17">
      <c r="Q959" s="2"/>
    </row>
    <row r="960" spans="17:17">
      <c r="Q960" s="2"/>
    </row>
    <row r="961" spans="17:17">
      <c r="Q961" s="2"/>
    </row>
    <row r="962" spans="17:17">
      <c r="Q962" s="2"/>
    </row>
    <row r="963" spans="17:17">
      <c r="Q963" s="2"/>
    </row>
    <row r="964" spans="17:17">
      <c r="Q964" s="2"/>
    </row>
    <row r="965" spans="17:17">
      <c r="Q965" s="2"/>
    </row>
    <row r="966" spans="17:17">
      <c r="Q966" s="2"/>
    </row>
    <row r="967" spans="17:17">
      <c r="Q967" s="2"/>
    </row>
    <row r="968" spans="17:17">
      <c r="Q968" s="2"/>
    </row>
    <row r="969" spans="17:17">
      <c r="Q969" s="2"/>
    </row>
    <row r="970" spans="17:17">
      <c r="Q970" s="2"/>
    </row>
    <row r="971" spans="17:17">
      <c r="Q971" s="2"/>
    </row>
    <row r="972" spans="17:17">
      <c r="Q972" s="2"/>
    </row>
    <row r="973" spans="17:17">
      <c r="Q973" s="2"/>
    </row>
    <row r="974" spans="17:17">
      <c r="Q974" s="2"/>
    </row>
    <row r="975" spans="17:17">
      <c r="Q975" s="2"/>
    </row>
    <row r="976" spans="17:17">
      <c r="Q976" s="2"/>
    </row>
    <row r="977" spans="17:17">
      <c r="Q977" s="2"/>
    </row>
    <row r="978" spans="17:17">
      <c r="Q978" s="2"/>
    </row>
    <row r="979" spans="17:17">
      <c r="Q979" s="2"/>
    </row>
    <row r="980" spans="17:17">
      <c r="Q980" s="2"/>
    </row>
    <row r="981" spans="17:17">
      <c r="Q981" s="2"/>
    </row>
    <row r="982" spans="17:17">
      <c r="Q982" s="2"/>
    </row>
    <row r="983" spans="17:17">
      <c r="Q983" s="2"/>
    </row>
    <row r="984" spans="17:17">
      <c r="Q984" s="2"/>
    </row>
    <row r="985" spans="17:17">
      <c r="Q985" s="2"/>
    </row>
    <row r="986" spans="17:17">
      <c r="Q986" s="2"/>
    </row>
    <row r="987" spans="17:17">
      <c r="Q987" s="2"/>
    </row>
    <row r="988" spans="17:17">
      <c r="Q988" s="2"/>
    </row>
    <row r="989" spans="17:17">
      <c r="Q989" s="2"/>
    </row>
    <row r="990" spans="17:17">
      <c r="Q990" s="2"/>
    </row>
    <row r="991" spans="17:17">
      <c r="Q991" s="2"/>
    </row>
    <row r="992" spans="17:17">
      <c r="Q992" s="2"/>
    </row>
    <row r="993" spans="17:17">
      <c r="Q993" s="2"/>
    </row>
    <row r="994" spans="17:17">
      <c r="Q994" s="2"/>
    </row>
    <row r="995" spans="17:17">
      <c r="Q995" s="2"/>
    </row>
    <row r="996" spans="17:17">
      <c r="Q996" s="2"/>
    </row>
    <row r="997" spans="17:17">
      <c r="Q997" s="2"/>
    </row>
    <row r="998" spans="17:17">
      <c r="Q998" s="2"/>
    </row>
    <row r="999" spans="17:17">
      <c r="Q999" s="2"/>
    </row>
    <row r="1000" spans="17:17">
      <c r="Q1000" s="2"/>
    </row>
    <row r="1001" spans="17:17">
      <c r="Q1001" s="2"/>
    </row>
    <row r="1002" spans="17:17">
      <c r="Q1002" s="2"/>
    </row>
    <row r="1003" spans="17:17">
      <c r="Q1003" s="2"/>
    </row>
    <row r="1004" spans="17:17">
      <c r="Q1004" s="2"/>
    </row>
    <row r="1005" spans="17:17">
      <c r="Q1005" s="2"/>
    </row>
    <row r="1006" spans="17:17">
      <c r="Q1006" s="2"/>
    </row>
    <row r="1007" spans="17:17">
      <c r="Q1007" s="2"/>
    </row>
    <row r="1008" spans="17:17">
      <c r="Q1008" s="2"/>
    </row>
    <row r="1009" spans="17:17">
      <c r="Q1009" s="2"/>
    </row>
    <row r="1010" spans="17:17">
      <c r="Q1010" s="2"/>
    </row>
    <row r="1011" spans="17:17">
      <c r="Q1011" s="2"/>
    </row>
    <row r="1012" spans="17:17">
      <c r="Q1012" s="2"/>
    </row>
    <row r="1013" spans="17:17">
      <c r="Q1013" s="2"/>
    </row>
    <row r="1014" spans="17:17">
      <c r="Q1014" s="2"/>
    </row>
    <row r="1015" spans="17:17">
      <c r="Q1015" s="2"/>
    </row>
    <row r="1016" spans="17:17">
      <c r="Q1016" s="2"/>
    </row>
    <row r="1017" spans="17:17">
      <c r="Q1017" s="2"/>
    </row>
    <row r="1018" spans="17:17">
      <c r="Q1018" s="2"/>
    </row>
    <row r="1019" spans="17:17">
      <c r="Q1019" s="2"/>
    </row>
    <row r="1020" spans="17:17">
      <c r="Q1020" s="2"/>
    </row>
    <row r="1021" spans="17:17">
      <c r="Q1021" s="2"/>
    </row>
    <row r="1022" spans="17:17">
      <c r="Q1022" s="2"/>
    </row>
    <row r="1023" spans="17:17">
      <c r="Q1023" s="2"/>
    </row>
    <row r="1024" spans="17:17">
      <c r="Q1024" s="2"/>
    </row>
    <row r="1025" spans="17:17">
      <c r="Q1025" s="2"/>
    </row>
    <row r="1026" spans="17:17">
      <c r="Q1026" s="2"/>
    </row>
    <row r="1027" spans="17:17">
      <c r="Q1027" s="2"/>
    </row>
    <row r="1028" spans="17:17">
      <c r="Q1028" s="2"/>
    </row>
    <row r="1029" spans="17:17">
      <c r="Q1029" s="2"/>
    </row>
    <row r="1030" spans="17:17">
      <c r="Q1030" s="2"/>
    </row>
    <row r="1031" spans="17:17">
      <c r="Q1031" s="2"/>
    </row>
    <row r="1032" spans="17:17">
      <c r="Q1032" s="2"/>
    </row>
    <row r="1033" spans="17:17">
      <c r="Q1033" s="2"/>
    </row>
    <row r="1034" spans="17:17">
      <c r="Q1034" s="2"/>
    </row>
    <row r="1035" spans="17:17">
      <c r="Q1035" s="2"/>
    </row>
    <row r="1036" spans="17:17">
      <c r="Q1036" s="2"/>
    </row>
    <row r="1037" spans="17:17">
      <c r="Q1037" s="2"/>
    </row>
    <row r="1038" spans="17:17">
      <c r="Q1038" s="2"/>
    </row>
    <row r="1039" spans="17:17">
      <c r="Q1039" s="2"/>
    </row>
    <row r="1040" spans="17:17">
      <c r="Q1040" s="2"/>
    </row>
    <row r="1041" spans="17:17">
      <c r="Q1041" s="2"/>
    </row>
    <row r="1042" spans="17:17">
      <c r="Q1042" s="2"/>
    </row>
    <row r="1043" spans="17:17">
      <c r="Q1043" s="2"/>
    </row>
    <row r="1044" spans="17:17">
      <c r="Q1044" s="2"/>
    </row>
    <row r="1045" spans="17:17">
      <c r="Q1045" s="2"/>
    </row>
    <row r="1046" spans="17:17">
      <c r="Q1046" s="2"/>
    </row>
    <row r="1047" spans="17:17">
      <c r="Q1047" s="2"/>
    </row>
    <row r="1048" spans="17:17">
      <c r="Q1048" s="2"/>
    </row>
    <row r="1049" spans="17:17">
      <c r="Q1049" s="2"/>
    </row>
    <row r="1050" spans="17:17">
      <c r="Q1050" s="2"/>
    </row>
    <row r="1051" spans="17:17">
      <c r="Q1051" s="2"/>
    </row>
    <row r="1052" spans="17:17">
      <c r="Q1052" s="2"/>
    </row>
    <row r="1053" spans="17:17">
      <c r="Q1053" s="2"/>
    </row>
    <row r="1054" spans="17:17">
      <c r="Q1054" s="2"/>
    </row>
    <row r="1055" spans="17:17">
      <c r="Q1055" s="2"/>
    </row>
    <row r="1056" spans="17:17">
      <c r="Q1056" s="2"/>
    </row>
    <row r="1057" spans="17:17">
      <c r="Q1057" s="2"/>
    </row>
    <row r="1058" spans="17:17">
      <c r="Q1058" s="2"/>
    </row>
    <row r="1059" spans="17:17">
      <c r="Q1059" s="2"/>
    </row>
    <row r="1060" spans="17:17">
      <c r="Q1060" s="2"/>
    </row>
    <row r="1061" spans="17:17">
      <c r="Q1061" s="2"/>
    </row>
    <row r="1062" spans="17:17">
      <c r="Q1062" s="2"/>
    </row>
    <row r="1063" spans="17:17">
      <c r="Q1063" s="2"/>
    </row>
    <row r="1064" spans="17:17">
      <c r="Q1064" s="2"/>
    </row>
    <row r="1065" spans="17:17">
      <c r="Q1065" s="2"/>
    </row>
    <row r="1066" spans="17:17">
      <c r="Q1066" s="2"/>
    </row>
    <row r="1067" spans="17:17">
      <c r="Q1067" s="2"/>
    </row>
    <row r="1068" spans="17:17">
      <c r="Q1068" s="2"/>
    </row>
    <row r="1069" spans="17:17">
      <c r="Q1069" s="2"/>
    </row>
    <row r="1070" spans="17:17">
      <c r="Q1070" s="2"/>
    </row>
    <row r="1071" spans="17:17">
      <c r="Q1071" s="2"/>
    </row>
    <row r="1072" spans="17:17">
      <c r="Q1072" s="2"/>
    </row>
    <row r="1073" spans="17:17">
      <c r="Q1073" s="2"/>
    </row>
    <row r="1074" spans="17:17">
      <c r="Q1074" s="2"/>
    </row>
    <row r="1075" spans="17:17">
      <c r="Q1075" s="2"/>
    </row>
    <row r="1076" spans="17:17">
      <c r="Q1076" s="2"/>
    </row>
    <row r="1077" spans="17:17">
      <c r="Q1077" s="2"/>
    </row>
    <row r="1078" spans="17:17">
      <c r="Q1078" s="2"/>
    </row>
    <row r="1079" spans="17:17">
      <c r="Q1079" s="2"/>
    </row>
    <row r="1080" spans="17:17">
      <c r="Q1080" s="2"/>
    </row>
    <row r="1081" spans="17:17">
      <c r="Q1081" s="2"/>
    </row>
    <row r="1082" spans="17:17">
      <c r="Q1082" s="2"/>
    </row>
    <row r="1083" spans="17:17">
      <c r="Q1083" s="2"/>
    </row>
    <row r="1084" spans="17:17">
      <c r="Q1084" s="2"/>
    </row>
    <row r="1085" spans="17:17">
      <c r="Q1085" s="2"/>
    </row>
    <row r="1086" spans="17:17">
      <c r="Q1086" s="2"/>
    </row>
    <row r="1087" spans="17:17">
      <c r="Q1087" s="2"/>
    </row>
    <row r="1088" spans="17:17">
      <c r="Q1088" s="2"/>
    </row>
    <row r="1089" spans="17:17">
      <c r="Q1089" s="2"/>
    </row>
    <row r="1090" spans="17:17">
      <c r="Q1090" s="2"/>
    </row>
    <row r="1091" spans="17:17">
      <c r="Q1091" s="2"/>
    </row>
    <row r="1092" spans="17:17">
      <c r="Q1092" s="2"/>
    </row>
    <row r="1093" spans="17:17">
      <c r="Q1093" s="2"/>
    </row>
    <row r="1094" spans="17:17">
      <c r="Q1094" s="2"/>
    </row>
    <row r="1095" spans="17:17">
      <c r="Q1095" s="2"/>
    </row>
    <row r="1096" spans="17:17">
      <c r="Q1096" s="2"/>
    </row>
    <row r="1097" spans="17:17">
      <c r="Q1097" s="2"/>
    </row>
    <row r="1098" spans="17:17">
      <c r="Q1098" s="2"/>
    </row>
    <row r="1099" spans="17:17">
      <c r="Q1099" s="2"/>
    </row>
    <row r="1100" spans="17:17">
      <c r="Q1100" s="2"/>
    </row>
    <row r="1101" spans="17:17">
      <c r="Q1101" s="2"/>
    </row>
    <row r="1102" spans="17:17">
      <c r="Q1102" s="2"/>
    </row>
    <row r="1103" spans="17:17">
      <c r="Q1103" s="2"/>
    </row>
    <row r="1104" spans="17:17">
      <c r="Q1104" s="2"/>
    </row>
    <row r="1105" spans="17:17">
      <c r="Q1105" s="2"/>
    </row>
    <row r="1106" spans="17:17">
      <c r="Q1106" s="2"/>
    </row>
    <row r="1107" spans="17:17">
      <c r="Q1107" s="2"/>
    </row>
    <row r="1108" spans="17:17">
      <c r="Q1108" s="2"/>
    </row>
    <row r="1109" spans="17:17">
      <c r="Q1109" s="2"/>
    </row>
    <row r="1110" spans="17:17">
      <c r="Q1110" s="2"/>
    </row>
    <row r="1111" spans="17:17">
      <c r="Q1111" s="2"/>
    </row>
    <row r="1112" spans="17:17">
      <c r="Q1112" s="2"/>
    </row>
    <row r="1113" spans="17:17">
      <c r="Q1113" s="2"/>
    </row>
    <row r="1114" spans="17:17">
      <c r="Q1114" s="2"/>
    </row>
    <row r="1115" spans="17:17">
      <c r="Q1115" s="2"/>
    </row>
    <row r="1116" spans="17:17">
      <c r="Q1116" s="2"/>
    </row>
    <row r="1117" spans="17:17">
      <c r="Q1117" s="2"/>
    </row>
    <row r="1118" spans="17:17">
      <c r="Q1118" s="2"/>
    </row>
    <row r="1119" spans="17:17">
      <c r="Q1119" s="2"/>
    </row>
    <row r="1120" spans="17:17">
      <c r="Q1120" s="2"/>
    </row>
    <row r="1121" spans="17:17">
      <c r="Q1121" s="2"/>
    </row>
    <row r="1122" spans="17:17">
      <c r="Q1122" s="2"/>
    </row>
    <row r="1123" spans="17:17">
      <c r="Q1123" s="2"/>
    </row>
    <row r="1124" spans="17:17">
      <c r="Q1124" s="2"/>
    </row>
    <row r="1125" spans="17:17">
      <c r="Q1125" s="2"/>
    </row>
    <row r="1126" spans="17:17">
      <c r="Q1126" s="2"/>
    </row>
    <row r="1127" spans="17:17">
      <c r="Q1127" s="2"/>
    </row>
    <row r="1128" spans="17:17">
      <c r="Q1128" s="2"/>
    </row>
    <row r="1129" spans="17:17">
      <c r="Q1129" s="2"/>
    </row>
    <row r="1130" spans="17:17">
      <c r="Q1130" s="2"/>
    </row>
    <row r="1131" spans="17:17">
      <c r="Q1131" s="2"/>
    </row>
    <row r="1132" spans="17:17">
      <c r="Q1132" s="2"/>
    </row>
    <row r="1133" spans="17:17">
      <c r="Q1133" s="2"/>
    </row>
    <row r="1134" spans="17:17">
      <c r="Q1134" s="2"/>
    </row>
    <row r="1135" spans="17:17">
      <c r="Q1135" s="2"/>
    </row>
    <row r="1136" spans="17:17">
      <c r="Q1136" s="2"/>
    </row>
    <row r="1137" spans="17:17">
      <c r="Q1137" s="2"/>
    </row>
    <row r="1138" spans="17:17">
      <c r="Q1138" s="2"/>
    </row>
    <row r="1139" spans="17:17">
      <c r="Q1139" s="2"/>
    </row>
    <row r="1140" spans="17:17">
      <c r="Q1140" s="2"/>
    </row>
    <row r="1141" spans="17:17">
      <c r="Q1141" s="2"/>
    </row>
    <row r="1142" spans="17:17">
      <c r="Q1142" s="2"/>
    </row>
    <row r="1143" spans="17:17">
      <c r="Q1143" s="2"/>
    </row>
    <row r="1144" spans="17:17">
      <c r="Q1144" s="2"/>
    </row>
    <row r="1145" spans="17:17">
      <c r="Q1145" s="2"/>
    </row>
    <row r="1146" spans="17:17">
      <c r="Q1146" s="2"/>
    </row>
    <row r="1147" spans="17:17">
      <c r="Q1147" s="2"/>
    </row>
    <row r="1148" spans="17:17">
      <c r="Q1148" s="2"/>
    </row>
    <row r="1149" spans="17:17">
      <c r="Q1149" s="2"/>
    </row>
    <row r="1150" spans="17:17">
      <c r="Q1150" s="2"/>
    </row>
    <row r="1151" spans="17:17">
      <c r="Q1151" s="2"/>
    </row>
    <row r="1152" spans="17:17">
      <c r="Q1152" s="2"/>
    </row>
    <row r="1153" spans="17:17">
      <c r="Q1153" s="2"/>
    </row>
    <row r="1154" spans="17:17">
      <c r="Q1154" s="2"/>
    </row>
    <row r="1155" spans="17:17">
      <c r="Q1155" s="2"/>
    </row>
    <row r="1156" spans="17:17">
      <c r="Q1156" s="2"/>
    </row>
    <row r="1157" spans="17:17">
      <c r="Q1157" s="2"/>
    </row>
    <row r="1158" spans="17:17">
      <c r="Q1158" s="2"/>
    </row>
    <row r="1159" spans="17:17">
      <c r="Q1159" s="2"/>
    </row>
    <row r="1160" spans="17:17">
      <c r="Q1160" s="2"/>
    </row>
    <row r="1161" spans="17:17">
      <c r="Q1161" s="2"/>
    </row>
    <row r="1162" spans="17:17">
      <c r="Q1162" s="2"/>
    </row>
    <row r="1163" spans="17:17">
      <c r="Q1163" s="2"/>
    </row>
    <row r="1164" spans="17:17">
      <c r="Q1164" s="2"/>
    </row>
    <row r="1165" spans="17:17">
      <c r="Q1165" s="2"/>
    </row>
    <row r="1166" spans="17:17">
      <c r="Q1166" s="2"/>
    </row>
    <row r="1167" spans="17:17">
      <c r="Q1167" s="2"/>
    </row>
    <row r="1168" spans="17:17">
      <c r="Q1168" s="2"/>
    </row>
    <row r="1169" spans="17:17">
      <c r="Q1169" s="2"/>
    </row>
    <row r="1170" spans="17:17">
      <c r="Q1170" s="2"/>
    </row>
    <row r="1171" spans="17:17">
      <c r="Q1171" s="2"/>
    </row>
    <row r="1172" spans="17:17">
      <c r="Q1172" s="2"/>
    </row>
    <row r="1173" spans="17:17">
      <c r="Q1173" s="2"/>
    </row>
    <row r="1174" spans="17:17">
      <c r="Q1174" s="2"/>
    </row>
    <row r="1175" spans="17:17">
      <c r="Q1175" s="2"/>
    </row>
    <row r="1176" spans="17:17">
      <c r="Q1176" s="2"/>
    </row>
    <row r="1177" spans="17:17">
      <c r="Q1177" s="2"/>
    </row>
    <row r="1178" spans="17:17">
      <c r="Q1178" s="2"/>
    </row>
    <row r="1179" spans="17:17">
      <c r="Q1179" s="2"/>
    </row>
    <row r="1180" spans="17:17">
      <c r="Q1180" s="2"/>
    </row>
    <row r="1181" spans="17:17">
      <c r="Q1181" s="2"/>
    </row>
    <row r="1182" spans="17:17">
      <c r="Q1182" s="2"/>
    </row>
    <row r="1183" spans="17:17">
      <c r="Q1183" s="2"/>
    </row>
    <row r="1184" spans="17:17">
      <c r="Q1184" s="2"/>
    </row>
    <row r="1185" spans="17:17">
      <c r="Q1185" s="2"/>
    </row>
    <row r="1186" spans="17:17">
      <c r="Q1186" s="2"/>
    </row>
    <row r="1187" spans="17:17">
      <c r="Q1187" s="2"/>
    </row>
    <row r="1188" spans="17:17">
      <c r="Q1188" s="2"/>
    </row>
    <row r="1189" spans="17:17">
      <c r="Q1189" s="2"/>
    </row>
    <row r="1190" spans="17:17">
      <c r="Q1190" s="2"/>
    </row>
    <row r="1191" spans="17:17">
      <c r="Q1191" s="2"/>
    </row>
    <row r="1192" spans="17:17">
      <c r="Q1192" s="2"/>
    </row>
    <row r="1193" spans="17:17">
      <c r="Q1193" s="2"/>
    </row>
    <row r="1194" spans="17:17">
      <c r="Q1194" s="2"/>
    </row>
    <row r="1195" spans="17:17">
      <c r="Q1195" s="2"/>
    </row>
    <row r="1196" spans="17:17">
      <c r="Q1196" s="2"/>
    </row>
    <row r="1197" spans="17:17">
      <c r="Q1197" s="2"/>
    </row>
    <row r="1198" spans="17:17">
      <c r="Q1198" s="2"/>
    </row>
    <row r="1199" spans="17:17">
      <c r="Q1199" s="2"/>
    </row>
    <row r="1200" spans="17:17">
      <c r="Q1200" s="2"/>
    </row>
    <row r="1201" spans="17:17">
      <c r="Q1201" s="2"/>
    </row>
    <row r="1202" spans="17:17">
      <c r="Q1202" s="2"/>
    </row>
    <row r="1203" spans="17:17">
      <c r="Q1203" s="2"/>
    </row>
    <row r="1204" spans="17:17">
      <c r="Q1204" s="2"/>
    </row>
    <row r="1205" spans="17:17">
      <c r="Q1205" s="2"/>
    </row>
    <row r="1206" spans="17:17">
      <c r="Q1206" s="2"/>
    </row>
    <row r="1207" spans="17:17">
      <c r="Q1207" s="2"/>
    </row>
    <row r="1208" spans="17:17">
      <c r="Q1208" s="2"/>
    </row>
    <row r="1209" spans="17:17">
      <c r="Q1209" s="2"/>
    </row>
    <row r="1210" spans="17:17">
      <c r="Q1210" s="2"/>
    </row>
    <row r="1211" spans="17:17">
      <c r="Q1211" s="2"/>
    </row>
    <row r="1212" spans="17:17">
      <c r="Q1212" s="2"/>
    </row>
    <row r="1213" spans="17:17">
      <c r="Q1213" s="2"/>
    </row>
    <row r="1214" spans="17:17">
      <c r="Q1214" s="2"/>
    </row>
    <row r="1215" spans="17:17">
      <c r="Q1215" s="2"/>
    </row>
    <row r="1216" spans="17:17">
      <c r="Q1216" s="2"/>
    </row>
    <row r="1217" spans="17:17">
      <c r="Q1217" s="2"/>
    </row>
    <row r="1218" spans="17:17">
      <c r="Q1218" s="2"/>
    </row>
    <row r="1219" spans="17:17">
      <c r="Q1219" s="2"/>
    </row>
    <row r="1220" spans="17:17">
      <c r="Q1220" s="2"/>
    </row>
    <row r="1221" spans="17:17">
      <c r="Q1221" s="2"/>
    </row>
    <row r="1222" spans="17:17">
      <c r="Q1222" s="2"/>
    </row>
    <row r="1223" spans="17:17">
      <c r="Q1223" s="2"/>
    </row>
    <row r="1224" spans="17:17">
      <c r="Q1224" s="2"/>
    </row>
    <row r="1225" spans="17:17">
      <c r="Q1225" s="2"/>
    </row>
    <row r="1226" spans="17:17">
      <c r="Q1226" s="2"/>
    </row>
    <row r="1227" spans="17:17">
      <c r="Q1227" s="2"/>
    </row>
    <row r="1228" spans="17:17">
      <c r="Q1228" s="2"/>
    </row>
    <row r="1229" spans="17:17">
      <c r="Q1229" s="2"/>
    </row>
    <row r="1230" spans="17:17">
      <c r="Q1230" s="2"/>
    </row>
    <row r="1231" spans="17:17">
      <c r="Q1231" s="2"/>
    </row>
    <row r="1232" spans="17:17">
      <c r="Q1232" s="2"/>
    </row>
    <row r="1233" spans="17:17">
      <c r="Q1233" s="2"/>
    </row>
    <row r="1234" spans="17:17">
      <c r="Q1234" s="2"/>
    </row>
    <row r="1235" spans="17:17">
      <c r="Q1235" s="2"/>
    </row>
    <row r="1236" spans="17:17">
      <c r="Q1236" s="2"/>
    </row>
    <row r="1237" spans="17:17">
      <c r="Q1237" s="2"/>
    </row>
    <row r="1238" spans="17:17">
      <c r="Q1238" s="2"/>
    </row>
    <row r="1239" spans="17:17">
      <c r="Q1239" s="2"/>
    </row>
    <row r="1240" spans="17:17">
      <c r="Q1240" s="2"/>
    </row>
    <row r="1241" spans="17:17">
      <c r="Q1241" s="2"/>
    </row>
    <row r="1242" spans="17:17">
      <c r="Q1242" s="2"/>
    </row>
    <row r="1243" spans="17:17">
      <c r="Q1243" s="2"/>
    </row>
    <row r="1244" spans="17:17">
      <c r="Q1244" s="2"/>
    </row>
    <row r="1245" spans="17:17">
      <c r="Q1245" s="2"/>
    </row>
    <row r="1246" spans="17:17">
      <c r="Q1246" s="2"/>
    </row>
    <row r="1247" spans="17:17">
      <c r="Q1247" s="2"/>
    </row>
    <row r="1248" spans="17:17">
      <c r="Q1248" s="2"/>
    </row>
    <row r="1249" spans="17:17">
      <c r="Q1249" s="2"/>
    </row>
    <row r="1250" spans="17:17">
      <c r="Q1250" s="2"/>
    </row>
    <row r="1251" spans="17:17">
      <c r="Q1251" s="2"/>
    </row>
    <row r="1252" spans="17:17">
      <c r="Q1252" s="2"/>
    </row>
    <row r="1253" spans="17:17">
      <c r="Q1253" s="2"/>
    </row>
    <row r="1254" spans="17:17">
      <c r="Q1254" s="2"/>
    </row>
    <row r="1255" spans="17:17">
      <c r="Q1255" s="2"/>
    </row>
    <row r="1256" spans="17:17">
      <c r="Q1256" s="2"/>
    </row>
    <row r="1257" spans="17:17">
      <c r="Q1257" s="2"/>
    </row>
    <row r="1258" spans="17:17">
      <c r="Q1258" s="2"/>
    </row>
    <row r="1259" spans="17:17">
      <c r="Q1259" s="2"/>
    </row>
    <row r="1260" spans="17:17">
      <c r="Q1260" s="2"/>
    </row>
    <row r="1261" spans="17:17">
      <c r="Q1261" s="2"/>
    </row>
    <row r="1262" spans="17:17">
      <c r="Q1262" s="2"/>
    </row>
    <row r="1263" spans="17:17">
      <c r="Q1263" s="2"/>
    </row>
    <row r="1264" spans="17:17">
      <c r="Q1264" s="2"/>
    </row>
    <row r="1265" spans="17:17">
      <c r="Q1265" s="2"/>
    </row>
    <row r="1266" spans="17:17">
      <c r="Q1266" s="2"/>
    </row>
    <row r="1267" spans="17:17">
      <c r="Q1267" s="2"/>
    </row>
    <row r="1268" spans="17:17">
      <c r="Q1268" s="2"/>
    </row>
    <row r="1269" spans="17:17">
      <c r="Q1269" s="2"/>
    </row>
    <row r="1270" spans="17:17">
      <c r="Q1270" s="2"/>
    </row>
    <row r="1271" spans="17:17">
      <c r="Q1271" s="2"/>
    </row>
    <row r="1272" spans="17:17">
      <c r="Q1272" s="2"/>
    </row>
    <row r="1273" spans="17:17">
      <c r="Q1273" s="2"/>
    </row>
    <row r="1274" spans="17:17">
      <c r="Q1274" s="2"/>
    </row>
    <row r="1275" spans="17:17">
      <c r="Q1275" s="2"/>
    </row>
    <row r="1276" spans="17:17">
      <c r="Q1276" s="2"/>
    </row>
    <row r="1277" spans="17:17">
      <c r="Q1277" s="2"/>
    </row>
    <row r="1278" spans="17:17">
      <c r="Q1278" s="2"/>
    </row>
    <row r="1279" spans="17:17">
      <c r="Q1279" s="2"/>
    </row>
    <row r="1280" spans="17:17">
      <c r="Q1280" s="2"/>
    </row>
    <row r="1281" spans="17:17">
      <c r="Q1281" s="2"/>
    </row>
    <row r="1282" spans="17:17">
      <c r="Q1282" s="2"/>
    </row>
    <row r="1283" spans="17:17">
      <c r="Q1283" s="2"/>
    </row>
    <row r="1284" spans="17:17">
      <c r="Q1284" s="2"/>
    </row>
    <row r="1285" spans="17:17">
      <c r="Q1285" s="2"/>
    </row>
    <row r="1286" spans="17:17">
      <c r="Q1286" s="2"/>
    </row>
    <row r="1287" spans="17:17">
      <c r="Q1287" s="2"/>
    </row>
    <row r="1288" spans="17:17">
      <c r="Q1288" s="2"/>
    </row>
    <row r="1289" spans="17:17">
      <c r="Q1289" s="2"/>
    </row>
    <row r="1290" spans="17:17">
      <c r="Q1290" s="2"/>
    </row>
    <row r="1291" spans="17:17">
      <c r="Q1291" s="2"/>
    </row>
    <row r="1292" spans="17:17">
      <c r="Q1292" s="2"/>
    </row>
    <row r="1293" spans="17:17">
      <c r="Q1293" s="2"/>
    </row>
    <row r="1294" spans="17:17">
      <c r="Q1294" s="2"/>
    </row>
    <row r="1295" spans="17:17">
      <c r="Q1295" s="2"/>
    </row>
    <row r="1296" spans="17:17">
      <c r="Q1296" s="2"/>
    </row>
    <row r="1297" spans="17:17">
      <c r="Q1297" s="2"/>
    </row>
    <row r="1298" spans="17:17">
      <c r="Q1298" s="2"/>
    </row>
    <row r="1299" spans="17:17">
      <c r="Q1299" s="2"/>
    </row>
    <row r="1300" spans="17:17">
      <c r="Q1300" s="2"/>
    </row>
    <row r="1301" spans="17:17">
      <c r="Q1301" s="2"/>
    </row>
    <row r="1302" spans="17:17">
      <c r="Q1302" s="2"/>
    </row>
    <row r="1303" spans="17:17">
      <c r="Q1303" s="2"/>
    </row>
    <row r="1304" spans="17:17">
      <c r="Q1304" s="2"/>
    </row>
    <row r="1305" spans="17:17">
      <c r="Q1305" s="2"/>
    </row>
    <row r="1306" spans="17:17">
      <c r="Q1306" s="2"/>
    </row>
    <row r="1307" spans="17:17">
      <c r="Q1307" s="2"/>
    </row>
    <row r="1308" spans="17:17">
      <c r="Q1308" s="2"/>
    </row>
    <row r="1309" spans="17:17">
      <c r="Q1309" s="2"/>
    </row>
    <row r="1310" spans="17:17">
      <c r="Q1310" s="2"/>
    </row>
    <row r="1311" spans="17:17">
      <c r="Q1311" s="2"/>
    </row>
    <row r="1312" spans="17:17">
      <c r="Q1312" s="2"/>
    </row>
    <row r="1313" spans="17:17">
      <c r="Q1313" s="2"/>
    </row>
    <row r="1314" spans="17:17">
      <c r="Q1314" s="2"/>
    </row>
    <row r="1315" spans="17:17">
      <c r="Q1315" s="2"/>
    </row>
    <row r="1316" spans="17:17">
      <c r="Q1316" s="2"/>
    </row>
    <row r="1317" spans="17:17">
      <c r="Q1317" s="2"/>
    </row>
    <row r="1318" spans="17:17">
      <c r="Q1318" s="2"/>
    </row>
    <row r="1319" spans="17:17">
      <c r="Q1319" s="2"/>
    </row>
    <row r="1320" spans="17:17">
      <c r="Q1320" s="2"/>
    </row>
    <row r="1321" spans="17:17">
      <c r="Q1321" s="2"/>
    </row>
    <row r="1322" spans="17:17">
      <c r="Q1322" s="2"/>
    </row>
    <row r="1323" spans="17:17">
      <c r="Q1323" s="2"/>
    </row>
    <row r="1324" spans="17:17">
      <c r="Q1324" s="2"/>
    </row>
    <row r="1325" spans="17:17">
      <c r="Q1325" s="2"/>
    </row>
    <row r="1326" spans="17:17">
      <c r="Q1326" s="2"/>
    </row>
    <row r="1327" spans="17:17">
      <c r="Q1327" s="2"/>
    </row>
    <row r="1328" spans="17:17">
      <c r="Q1328" s="2"/>
    </row>
    <row r="1329" spans="17:17">
      <c r="Q1329" s="2"/>
    </row>
    <row r="1330" spans="17:17">
      <c r="Q1330" s="2"/>
    </row>
    <row r="1331" spans="17:17">
      <c r="Q1331" s="2"/>
    </row>
    <row r="1332" spans="17:17">
      <c r="Q1332" s="2"/>
    </row>
    <row r="1333" spans="17:17">
      <c r="Q1333" s="2"/>
    </row>
    <row r="1334" spans="17:17">
      <c r="Q1334" s="2"/>
    </row>
    <row r="1335" spans="17:17">
      <c r="Q1335" s="2"/>
    </row>
    <row r="1336" spans="17:17">
      <c r="Q1336" s="2"/>
    </row>
    <row r="1337" spans="17:17">
      <c r="Q1337" s="2"/>
    </row>
    <row r="1338" spans="17:17">
      <c r="Q1338" s="2"/>
    </row>
    <row r="1339" spans="17:17">
      <c r="Q1339" s="2"/>
    </row>
    <row r="1340" spans="17:17">
      <c r="Q1340" s="2"/>
    </row>
    <row r="1341" spans="17:17">
      <c r="Q1341" s="2"/>
    </row>
    <row r="1342" spans="17:17">
      <c r="Q1342" s="2"/>
    </row>
    <row r="1343" spans="17:17">
      <c r="Q1343" s="2"/>
    </row>
    <row r="1344" spans="17:17">
      <c r="Q1344" s="2"/>
    </row>
    <row r="1345" spans="17:17">
      <c r="Q1345" s="2"/>
    </row>
    <row r="1346" spans="17:17">
      <c r="Q1346" s="2"/>
    </row>
    <row r="1347" spans="17:17">
      <c r="Q1347" s="2"/>
    </row>
    <row r="1348" spans="17:17">
      <c r="Q1348" s="2"/>
    </row>
    <row r="1349" spans="17:17">
      <c r="Q1349" s="2"/>
    </row>
    <row r="1350" spans="17:17">
      <c r="Q1350" s="2"/>
    </row>
    <row r="1351" spans="17:17">
      <c r="Q1351" s="2"/>
    </row>
    <row r="1352" spans="17:17">
      <c r="Q1352" s="2"/>
    </row>
    <row r="1353" spans="17:17">
      <c r="Q1353" s="2"/>
    </row>
    <row r="1354" spans="17:17">
      <c r="Q1354" s="2"/>
    </row>
    <row r="1355" spans="17:17">
      <c r="Q1355" s="2"/>
    </row>
    <row r="1356" spans="17:17">
      <c r="Q1356" s="2"/>
    </row>
    <row r="1357" spans="17:17">
      <c r="Q1357" s="2"/>
    </row>
    <row r="1358" spans="17:17">
      <c r="Q1358" s="2"/>
    </row>
    <row r="1359" spans="17:17">
      <c r="Q1359" s="2"/>
    </row>
    <row r="1360" spans="17:17">
      <c r="Q1360" s="2"/>
    </row>
    <row r="1361" spans="17:17">
      <c r="Q1361" s="2"/>
    </row>
    <row r="1362" spans="17:17">
      <c r="Q1362" s="2"/>
    </row>
    <row r="1363" spans="17:17">
      <c r="Q1363" s="2"/>
    </row>
    <row r="1364" spans="17:17">
      <c r="Q1364" s="2"/>
    </row>
    <row r="1365" spans="17:17">
      <c r="Q1365" s="2"/>
    </row>
    <row r="1366" spans="17:17">
      <c r="Q1366" s="2"/>
    </row>
    <row r="1367" spans="17:17">
      <c r="Q1367" s="2"/>
    </row>
    <row r="1368" spans="17:17">
      <c r="Q1368" s="2"/>
    </row>
    <row r="1369" spans="17:17">
      <c r="Q1369" s="2"/>
    </row>
    <row r="1370" spans="17:17">
      <c r="Q1370" s="2"/>
    </row>
    <row r="1371" spans="17:17">
      <c r="Q1371" s="2"/>
    </row>
    <row r="1372" spans="17:17">
      <c r="Q1372" s="2"/>
    </row>
    <row r="1373" spans="17:17">
      <c r="Q1373" s="2"/>
    </row>
    <row r="1374" spans="17:17">
      <c r="Q1374" s="2"/>
    </row>
    <row r="1375" spans="17:17">
      <c r="Q1375" s="2"/>
    </row>
    <row r="1376" spans="17:17">
      <c r="Q1376" s="2"/>
    </row>
    <row r="1377" spans="17:17">
      <c r="Q1377" s="2"/>
    </row>
    <row r="1378" spans="17:17">
      <c r="Q1378" s="2"/>
    </row>
    <row r="1379" spans="17:17">
      <c r="Q1379" s="2"/>
    </row>
    <row r="1380" spans="17:17">
      <c r="Q1380" s="2"/>
    </row>
    <row r="1381" spans="17:17">
      <c r="Q1381" s="2"/>
    </row>
    <row r="1382" spans="17:17">
      <c r="Q1382" s="2"/>
    </row>
    <row r="1383" spans="17:17">
      <c r="Q1383" s="2"/>
    </row>
    <row r="1384" spans="17:17">
      <c r="Q1384" s="2"/>
    </row>
    <row r="1385" spans="17:17">
      <c r="Q1385" s="2"/>
    </row>
    <row r="1386" spans="17:17">
      <c r="Q1386" s="2"/>
    </row>
    <row r="1387" spans="17:17">
      <c r="Q1387" s="2"/>
    </row>
    <row r="1388" spans="17:17">
      <c r="Q1388" s="2"/>
    </row>
    <row r="1389" spans="17:17">
      <c r="Q1389" s="2"/>
    </row>
    <row r="1390" spans="17:17">
      <c r="Q1390" s="2"/>
    </row>
    <row r="1391" spans="17:17">
      <c r="Q1391" s="2"/>
    </row>
    <row r="1392" spans="17:17">
      <c r="Q1392" s="2"/>
    </row>
    <row r="1393" spans="17:17">
      <c r="Q1393" s="2"/>
    </row>
    <row r="1394" spans="17:17">
      <c r="Q1394" s="2"/>
    </row>
    <row r="1395" spans="17:17">
      <c r="Q1395" s="2"/>
    </row>
    <row r="1396" spans="17:17">
      <c r="Q1396" s="2"/>
    </row>
    <row r="1397" spans="17:17">
      <c r="Q1397" s="2"/>
    </row>
    <row r="1398" spans="17:17">
      <c r="Q1398" s="2"/>
    </row>
    <row r="1399" spans="17:17">
      <c r="Q1399" s="2"/>
    </row>
    <row r="1400" spans="17:17">
      <c r="Q1400" s="2"/>
    </row>
    <row r="1401" spans="17:17">
      <c r="Q1401" s="2"/>
    </row>
    <row r="1402" spans="17:17">
      <c r="Q1402" s="2"/>
    </row>
    <row r="1403" spans="17:17">
      <c r="Q1403" s="2"/>
    </row>
    <row r="1404" spans="17:17">
      <c r="Q1404" s="2"/>
    </row>
    <row r="1405" spans="17:17">
      <c r="Q1405" s="2"/>
    </row>
    <row r="1406" spans="17:17">
      <c r="Q1406" s="2"/>
    </row>
    <row r="1407" spans="17:17">
      <c r="Q1407" s="2"/>
    </row>
    <row r="1408" spans="17:17">
      <c r="Q1408" s="2"/>
    </row>
    <row r="1409" spans="17:17">
      <c r="Q1409" s="2"/>
    </row>
    <row r="1410" spans="17:17">
      <c r="Q1410" s="2"/>
    </row>
    <row r="1411" spans="17:17">
      <c r="Q1411" s="2"/>
    </row>
    <row r="1412" spans="17:17">
      <c r="Q1412" s="2"/>
    </row>
    <row r="1413" spans="17:17">
      <c r="Q1413" s="2"/>
    </row>
    <row r="1414" spans="17:17">
      <c r="Q1414" s="2"/>
    </row>
    <row r="1415" spans="17:17">
      <c r="Q1415" s="2"/>
    </row>
    <row r="1416" spans="17:17">
      <c r="Q1416" s="2"/>
    </row>
    <row r="1417" spans="17:17">
      <c r="Q1417" s="2"/>
    </row>
    <row r="1418" spans="17:17">
      <c r="Q1418" s="2"/>
    </row>
    <row r="1419" spans="17:17">
      <c r="Q1419" s="2"/>
    </row>
    <row r="1420" spans="17:17">
      <c r="Q1420" s="2"/>
    </row>
    <row r="1421" spans="17:17">
      <c r="Q1421" s="2"/>
    </row>
    <row r="1422" spans="17:17">
      <c r="Q1422" s="2"/>
    </row>
    <row r="1423" spans="17:17">
      <c r="Q1423" s="2"/>
    </row>
    <row r="1424" spans="17:17">
      <c r="Q1424" s="2"/>
    </row>
    <row r="1425" spans="17:17">
      <c r="Q1425" s="2"/>
    </row>
    <row r="1426" spans="17:17">
      <c r="Q1426" s="2"/>
    </row>
    <row r="1427" spans="17:17">
      <c r="Q1427" s="2"/>
    </row>
    <row r="1428" spans="17:17">
      <c r="Q1428" s="2"/>
    </row>
    <row r="1429" spans="17:17">
      <c r="Q1429" s="2"/>
    </row>
    <row r="1430" spans="17:17">
      <c r="Q1430" s="2"/>
    </row>
    <row r="1431" spans="17:17">
      <c r="Q1431" s="2"/>
    </row>
    <row r="1432" spans="17:17">
      <c r="Q1432" s="2"/>
    </row>
    <row r="1433" spans="17:17">
      <c r="Q1433" s="2"/>
    </row>
    <row r="1434" spans="17:17">
      <c r="Q1434" s="2"/>
    </row>
    <row r="1435" spans="17:17">
      <c r="Q1435" s="2"/>
    </row>
    <row r="1436" spans="17:17">
      <c r="Q1436" s="2"/>
    </row>
    <row r="1437" spans="17:17">
      <c r="Q1437" s="2"/>
    </row>
    <row r="1438" spans="17:17">
      <c r="Q1438" s="2"/>
    </row>
    <row r="1439" spans="17:17">
      <c r="Q1439" s="2"/>
    </row>
    <row r="1440" spans="17:17">
      <c r="Q1440" s="2"/>
    </row>
    <row r="1441" spans="17:17">
      <c r="Q1441" s="2"/>
    </row>
    <row r="1442" spans="17:17">
      <c r="Q1442" s="2"/>
    </row>
    <row r="1443" spans="17:17">
      <c r="Q1443" s="2"/>
    </row>
    <row r="1444" spans="17:17">
      <c r="Q1444" s="2"/>
    </row>
    <row r="1445" spans="17:17">
      <c r="Q1445" s="2"/>
    </row>
    <row r="1446" spans="17:17">
      <c r="Q1446" s="2"/>
    </row>
    <row r="1447" spans="17:17">
      <c r="Q1447" s="2"/>
    </row>
    <row r="1448" spans="17:17">
      <c r="Q1448" s="2"/>
    </row>
    <row r="1449" spans="17:17">
      <c r="Q1449" s="2"/>
    </row>
    <row r="1450" spans="17:17">
      <c r="Q1450" s="2"/>
    </row>
    <row r="1451" spans="17:17">
      <c r="Q1451" s="2"/>
    </row>
    <row r="1452" spans="17:17">
      <c r="Q1452" s="2"/>
    </row>
    <row r="1453" spans="17:17">
      <c r="Q1453" s="2"/>
    </row>
    <row r="1454" spans="17:17">
      <c r="Q1454" s="2"/>
    </row>
    <row r="1455" spans="17:17">
      <c r="Q1455" s="2"/>
    </row>
    <row r="1456" spans="17:17">
      <c r="Q1456" s="2"/>
    </row>
    <row r="1457" spans="17:17">
      <c r="Q1457" s="2"/>
    </row>
    <row r="1458" spans="17:17">
      <c r="Q1458" s="2"/>
    </row>
    <row r="1459" spans="17:17">
      <c r="Q1459" s="2"/>
    </row>
    <row r="1460" spans="17:17">
      <c r="Q1460" s="2"/>
    </row>
    <row r="1461" spans="17:17">
      <c r="Q1461" s="2"/>
    </row>
    <row r="1462" spans="17:17">
      <c r="Q1462" s="2"/>
    </row>
    <row r="1463" spans="17:17">
      <c r="Q1463" s="2"/>
    </row>
    <row r="1464" spans="17:17">
      <c r="Q1464" s="2"/>
    </row>
    <row r="1465" spans="17:17">
      <c r="Q1465" s="2"/>
    </row>
    <row r="1466" spans="17:17">
      <c r="Q1466" s="2"/>
    </row>
    <row r="1467" spans="17:17">
      <c r="Q1467" s="2"/>
    </row>
    <row r="1468" spans="17:17">
      <c r="Q1468" s="2"/>
    </row>
    <row r="1469" spans="17:17">
      <c r="Q1469" s="2"/>
    </row>
    <row r="1470" spans="17:17">
      <c r="Q1470" s="2"/>
    </row>
    <row r="1471" spans="17:17">
      <c r="Q1471" s="2"/>
    </row>
    <row r="1472" spans="17:17">
      <c r="Q1472" s="2"/>
    </row>
    <row r="1473" spans="17:17">
      <c r="Q1473" s="2"/>
    </row>
    <row r="1474" spans="17:17">
      <c r="Q1474" s="2"/>
    </row>
    <row r="1475" spans="17:17">
      <c r="Q1475" s="2"/>
    </row>
    <row r="1476" spans="17:17">
      <c r="Q1476" s="2"/>
    </row>
    <row r="1477" spans="17:17">
      <c r="Q1477" s="2"/>
    </row>
    <row r="1478" spans="17:17">
      <c r="Q1478" s="2"/>
    </row>
    <row r="1479" spans="17:17">
      <c r="Q1479" s="2"/>
    </row>
    <row r="1480" spans="17:17">
      <c r="Q1480" s="2"/>
    </row>
    <row r="1481" spans="17:17">
      <c r="Q1481" s="2"/>
    </row>
    <row r="1482" spans="17:17">
      <c r="Q1482" s="2"/>
    </row>
    <row r="1483" spans="17:17">
      <c r="Q1483" s="2"/>
    </row>
    <row r="1484" spans="17:17">
      <c r="Q1484" s="2"/>
    </row>
    <row r="1485" spans="17:17">
      <c r="Q1485" s="2"/>
    </row>
    <row r="1486" spans="17:17">
      <c r="Q1486" s="2"/>
    </row>
    <row r="1487" spans="17:17">
      <c r="Q1487" s="2"/>
    </row>
    <row r="1488" spans="17:17">
      <c r="Q1488" s="2"/>
    </row>
    <row r="1489" spans="17:17">
      <c r="Q1489" s="2"/>
    </row>
    <row r="1490" spans="17:17">
      <c r="Q1490" s="2"/>
    </row>
    <row r="1491" spans="17:17">
      <c r="Q1491" s="2"/>
    </row>
    <row r="1492" spans="17:17">
      <c r="Q1492" s="2"/>
    </row>
    <row r="1493" spans="17:17">
      <c r="Q1493" s="2"/>
    </row>
    <row r="1494" spans="17:17">
      <c r="Q1494" s="2"/>
    </row>
    <row r="1495" spans="17:17">
      <c r="Q1495" s="2"/>
    </row>
    <row r="1496" spans="17:17">
      <c r="Q1496" s="2"/>
    </row>
    <row r="1497" spans="17:17">
      <c r="Q1497" s="2"/>
    </row>
    <row r="1498" spans="17:17">
      <c r="Q1498" s="2"/>
    </row>
    <row r="1499" spans="17:17">
      <c r="Q1499" s="2"/>
    </row>
    <row r="1500" spans="17:17">
      <c r="Q1500" s="2"/>
    </row>
    <row r="1501" spans="17:17">
      <c r="Q1501" s="2"/>
    </row>
    <row r="1502" spans="17:17">
      <c r="Q1502" s="2"/>
    </row>
    <row r="1503" spans="17:17">
      <c r="Q1503" s="2"/>
    </row>
    <row r="1504" spans="17:17">
      <c r="Q1504" s="2"/>
    </row>
    <row r="1505" spans="17:17">
      <c r="Q1505" s="2"/>
    </row>
    <row r="1506" spans="17:17">
      <c r="Q1506" s="2"/>
    </row>
    <row r="1507" spans="17:17">
      <c r="Q1507" s="2"/>
    </row>
    <row r="1508" spans="17:17">
      <c r="Q1508" s="2"/>
    </row>
    <row r="1509" spans="17:17">
      <c r="Q1509" s="2"/>
    </row>
    <row r="1510" spans="17:17">
      <c r="Q1510" s="2"/>
    </row>
    <row r="1511" spans="17:17">
      <c r="Q1511" s="2"/>
    </row>
    <row r="1512" spans="17:17">
      <c r="Q1512" s="2"/>
    </row>
    <row r="1513" spans="17:17">
      <c r="Q1513" s="2"/>
    </row>
    <row r="1514" spans="17:17">
      <c r="Q1514" s="2"/>
    </row>
    <row r="1515" spans="17:17">
      <c r="Q1515" s="2"/>
    </row>
    <row r="1516" spans="17:17">
      <c r="Q1516" s="2"/>
    </row>
    <row r="1517" spans="17:17">
      <c r="Q1517" s="2"/>
    </row>
    <row r="1518" spans="17:17">
      <c r="Q1518" s="2"/>
    </row>
    <row r="1519" spans="17:17">
      <c r="Q1519" s="2"/>
    </row>
    <row r="1520" spans="17:17">
      <c r="Q1520" s="2"/>
    </row>
    <row r="1521" spans="17:17">
      <c r="Q1521" s="2"/>
    </row>
    <row r="1522" spans="17:17">
      <c r="Q1522" s="2"/>
    </row>
    <row r="1523" spans="17:17">
      <c r="Q1523" s="2"/>
    </row>
    <row r="1524" spans="17:17">
      <c r="Q1524" s="2"/>
    </row>
    <row r="1525" spans="17:17">
      <c r="Q1525" s="2"/>
    </row>
    <row r="1526" spans="17:17">
      <c r="Q1526" s="2"/>
    </row>
    <row r="1527" spans="17:17">
      <c r="Q1527" s="2"/>
    </row>
    <row r="1528" spans="17:17">
      <c r="Q1528" s="2"/>
    </row>
    <row r="1529" spans="17:17">
      <c r="Q1529" s="2"/>
    </row>
    <row r="1530" spans="17:17">
      <c r="Q1530" s="2"/>
    </row>
    <row r="1531" spans="17:17">
      <c r="Q1531" s="2"/>
    </row>
    <row r="1532" spans="17:17">
      <c r="Q1532" s="2"/>
    </row>
    <row r="1533" spans="17:17">
      <c r="Q1533" s="2"/>
    </row>
    <row r="1534" spans="17:17">
      <c r="Q1534" s="2"/>
    </row>
    <row r="1535" spans="17:17">
      <c r="Q1535" s="2"/>
    </row>
    <row r="1536" spans="17:17">
      <c r="Q1536" s="2"/>
    </row>
    <row r="1537" spans="17:17">
      <c r="Q1537" s="2"/>
    </row>
    <row r="1538" spans="17:17">
      <c r="Q1538" s="2"/>
    </row>
    <row r="1539" spans="17:17">
      <c r="Q1539" s="2"/>
    </row>
    <row r="1540" spans="17:17">
      <c r="Q1540" s="2"/>
    </row>
    <row r="1541" spans="17:17">
      <c r="Q1541" s="2"/>
    </row>
    <row r="1542" spans="17:17">
      <c r="Q1542" s="2"/>
    </row>
    <row r="1543" spans="17:17">
      <c r="Q1543" s="2"/>
    </row>
    <row r="1544" spans="17:17">
      <c r="Q1544" s="2"/>
    </row>
    <row r="1545" spans="17:17">
      <c r="Q1545" s="2"/>
    </row>
    <row r="1546" spans="17:17">
      <c r="Q1546" s="2"/>
    </row>
    <row r="1547" spans="17:17">
      <c r="Q1547" s="2"/>
    </row>
    <row r="1548" spans="17:17">
      <c r="Q1548" s="2"/>
    </row>
    <row r="1549" spans="17:17">
      <c r="Q1549" s="2"/>
    </row>
    <row r="1550" spans="17:17">
      <c r="Q1550" s="2"/>
    </row>
    <row r="1551" spans="17:17">
      <c r="Q1551" s="2"/>
    </row>
    <row r="1552" spans="17:17">
      <c r="Q1552" s="2"/>
    </row>
    <row r="1553" spans="17:17">
      <c r="Q1553" s="2"/>
    </row>
    <row r="1554" spans="17:17">
      <c r="Q1554" s="2"/>
    </row>
    <row r="1555" spans="17:17">
      <c r="Q1555" s="2"/>
    </row>
    <row r="1556" spans="17:17">
      <c r="Q1556" s="2"/>
    </row>
    <row r="1557" spans="17:17">
      <c r="Q1557" s="2"/>
    </row>
    <row r="1558" spans="17:17">
      <c r="Q1558" s="2"/>
    </row>
    <row r="1559" spans="17:17">
      <c r="Q1559" s="2"/>
    </row>
    <row r="1560" spans="17:17">
      <c r="Q1560" s="2"/>
    </row>
    <row r="1561" spans="17:17">
      <c r="Q1561" s="2"/>
    </row>
    <row r="1562" spans="17:17">
      <c r="Q1562" s="2"/>
    </row>
    <row r="1563" spans="17:17">
      <c r="Q1563" s="2"/>
    </row>
    <row r="1564" spans="17:17">
      <c r="Q1564" s="2"/>
    </row>
    <row r="1565" spans="17:17">
      <c r="Q1565" s="2"/>
    </row>
    <row r="1566" spans="17:17">
      <c r="Q1566" s="2"/>
    </row>
    <row r="1567" spans="17:17">
      <c r="Q1567" s="2"/>
    </row>
    <row r="1568" spans="17:17">
      <c r="Q1568" s="2"/>
    </row>
    <row r="1569" spans="17:17">
      <c r="Q1569" s="2"/>
    </row>
    <row r="1570" spans="17:17">
      <c r="Q1570" s="2"/>
    </row>
    <row r="1571" spans="17:17">
      <c r="Q1571" s="2"/>
    </row>
    <row r="1572" spans="17:17">
      <c r="Q1572" s="2"/>
    </row>
    <row r="1573" spans="17:17">
      <c r="Q1573" s="2"/>
    </row>
    <row r="1574" spans="17:17">
      <c r="Q1574" s="2"/>
    </row>
    <row r="1575" spans="17:17">
      <c r="Q1575" s="2"/>
    </row>
    <row r="1576" spans="17:17">
      <c r="Q1576" s="2"/>
    </row>
    <row r="1577" spans="17:17">
      <c r="Q1577" s="2"/>
    </row>
    <row r="1578" spans="17:17">
      <c r="Q1578" s="2"/>
    </row>
    <row r="1579" spans="17:17">
      <c r="Q1579" s="2"/>
    </row>
    <row r="1580" spans="17:17">
      <c r="Q1580" s="2"/>
    </row>
    <row r="1581" spans="17:17">
      <c r="Q1581" s="2"/>
    </row>
    <row r="1582" spans="17:17">
      <c r="Q1582" s="2"/>
    </row>
    <row r="1583" spans="17:17">
      <c r="Q1583" s="2"/>
    </row>
    <row r="1584" spans="17:17">
      <c r="Q1584" s="2"/>
    </row>
    <row r="1585" spans="17:17">
      <c r="Q1585" s="2"/>
    </row>
    <row r="1586" spans="17:17">
      <c r="Q1586" s="2"/>
    </row>
    <row r="1587" spans="17:17">
      <c r="Q1587" s="2"/>
    </row>
    <row r="1588" spans="17:17">
      <c r="Q1588" s="2"/>
    </row>
    <row r="1589" spans="17:17">
      <c r="Q1589" s="2"/>
    </row>
    <row r="1590" spans="17:17">
      <c r="Q1590" s="2"/>
    </row>
    <row r="1591" spans="17:17">
      <c r="Q1591" s="2"/>
    </row>
    <row r="1592" spans="17:17">
      <c r="Q1592" s="2"/>
    </row>
    <row r="1593" spans="17:17">
      <c r="Q1593" s="2"/>
    </row>
    <row r="1594" spans="17:17">
      <c r="Q1594" s="2"/>
    </row>
    <row r="1595" spans="17:17">
      <c r="Q1595" s="2"/>
    </row>
    <row r="1596" spans="17:17">
      <c r="Q1596" s="2"/>
    </row>
    <row r="1597" spans="17:17">
      <c r="Q1597" s="2"/>
    </row>
    <row r="1598" spans="17:17">
      <c r="Q1598" s="2"/>
    </row>
    <row r="1599" spans="17:17">
      <c r="Q1599" s="2"/>
    </row>
    <row r="1600" spans="17:17">
      <c r="Q1600" s="2"/>
    </row>
    <row r="1601" spans="17:17">
      <c r="Q1601" s="2"/>
    </row>
    <row r="1602" spans="17:17">
      <c r="Q1602" s="2"/>
    </row>
    <row r="1603" spans="17:17">
      <c r="Q1603" s="2"/>
    </row>
    <row r="1604" spans="17:17">
      <c r="Q1604" s="2"/>
    </row>
    <row r="1605" spans="17:17">
      <c r="Q1605" s="2"/>
    </row>
    <row r="1606" spans="17:17">
      <c r="Q1606" s="2"/>
    </row>
    <row r="1607" spans="17:17">
      <c r="Q1607" s="2"/>
    </row>
    <row r="1608" spans="17:17">
      <c r="Q1608" s="2"/>
    </row>
    <row r="1609" spans="17:17">
      <c r="Q1609" s="2"/>
    </row>
    <row r="1610" spans="17:17">
      <c r="Q1610" s="2"/>
    </row>
    <row r="1611" spans="17:17">
      <c r="Q1611" s="2"/>
    </row>
    <row r="1612" spans="17:17">
      <c r="Q1612" s="2"/>
    </row>
    <row r="1613" spans="17:17">
      <c r="Q1613" s="2"/>
    </row>
    <row r="1614" spans="17:17">
      <c r="Q1614" s="2"/>
    </row>
    <row r="1615" spans="17:17">
      <c r="Q1615" s="2"/>
    </row>
    <row r="1616" spans="17:17">
      <c r="Q1616" s="2"/>
    </row>
    <row r="1617" spans="17:17">
      <c r="Q1617" s="2"/>
    </row>
    <row r="1618" spans="17:17">
      <c r="Q1618" s="2"/>
    </row>
    <row r="1619" spans="17:17">
      <c r="Q1619" s="2"/>
    </row>
    <row r="1620" spans="17:17">
      <c r="Q1620" s="2"/>
    </row>
    <row r="1621" spans="17:17">
      <c r="Q1621" s="2"/>
    </row>
    <row r="1622" spans="17:17">
      <c r="Q1622" s="2"/>
    </row>
    <row r="1623" spans="17:17">
      <c r="Q1623" s="2"/>
    </row>
    <row r="1624" spans="17:17">
      <c r="Q1624" s="2"/>
    </row>
    <row r="1625" spans="17:17">
      <c r="Q1625" s="2"/>
    </row>
    <row r="1626" spans="17:17">
      <c r="Q1626" s="2"/>
    </row>
    <row r="1627" spans="17:17">
      <c r="Q1627" s="2"/>
    </row>
    <row r="1628" spans="17:17">
      <c r="Q1628" s="2"/>
    </row>
    <row r="1629" spans="17:17">
      <c r="Q1629" s="2"/>
    </row>
    <row r="1630" spans="17:17">
      <c r="Q1630" s="2"/>
    </row>
    <row r="1631" spans="17:17">
      <c r="Q1631" s="2"/>
    </row>
    <row r="1632" spans="17:17">
      <c r="Q1632" s="2"/>
    </row>
    <row r="1633" spans="17:17">
      <c r="Q1633" s="2"/>
    </row>
    <row r="1634" spans="17:17">
      <c r="Q1634" s="2"/>
    </row>
    <row r="1635" spans="17:17">
      <c r="Q1635" s="2"/>
    </row>
    <row r="1636" spans="17:17">
      <c r="Q1636" s="2"/>
    </row>
    <row r="1637" spans="17:17">
      <c r="Q1637" s="2"/>
    </row>
    <row r="1638" spans="17:17">
      <c r="Q1638" s="2"/>
    </row>
    <row r="1639" spans="17:17">
      <c r="Q1639" s="2"/>
    </row>
    <row r="1640" spans="17:17">
      <c r="Q1640" s="2"/>
    </row>
    <row r="1641" spans="17:17">
      <c r="Q1641" s="2"/>
    </row>
    <row r="1642" spans="17:17">
      <c r="Q1642" s="2"/>
    </row>
    <row r="1643" spans="17:17">
      <c r="Q1643" s="2"/>
    </row>
    <row r="1644" spans="17:17">
      <c r="Q1644" s="2"/>
    </row>
    <row r="1645" spans="17:17">
      <c r="Q1645" s="2"/>
    </row>
    <row r="1646" spans="17:17">
      <c r="Q1646" s="2"/>
    </row>
    <row r="1647" spans="17:17">
      <c r="Q1647" s="2"/>
    </row>
    <row r="1648" spans="17:17">
      <c r="Q1648" s="2"/>
    </row>
    <row r="1649" spans="17:17">
      <c r="Q1649" s="2"/>
    </row>
    <row r="1650" spans="17:17">
      <c r="Q1650" s="2"/>
    </row>
    <row r="1651" spans="17:17">
      <c r="Q1651" s="2"/>
    </row>
    <row r="1652" spans="17:17">
      <c r="Q1652" s="2"/>
    </row>
    <row r="1653" spans="17:17">
      <c r="Q1653" s="2"/>
    </row>
    <row r="1654" spans="17:17">
      <c r="Q1654" s="2"/>
    </row>
    <row r="1655" spans="17:17">
      <c r="Q1655" s="2"/>
    </row>
    <row r="1656" spans="17:17">
      <c r="Q1656" s="2"/>
    </row>
    <row r="1657" spans="17:17">
      <c r="Q1657" s="2"/>
    </row>
    <row r="1658" spans="17:17">
      <c r="Q1658" s="2"/>
    </row>
    <row r="1659" spans="17:17">
      <c r="Q1659" s="2"/>
    </row>
    <row r="1660" spans="17:17">
      <c r="Q1660" s="2"/>
    </row>
    <row r="1661" spans="17:17">
      <c r="Q1661" s="2"/>
    </row>
    <row r="1662" spans="17:17">
      <c r="Q1662" s="2"/>
    </row>
    <row r="1663" spans="17:17">
      <c r="Q1663" s="2"/>
    </row>
    <row r="1664" spans="17:17">
      <c r="Q1664" s="2"/>
    </row>
    <row r="1665" spans="17:17">
      <c r="Q1665" s="2"/>
    </row>
    <row r="1666" spans="17:17">
      <c r="Q1666" s="2"/>
    </row>
    <row r="1667" spans="17:17">
      <c r="Q1667" s="2"/>
    </row>
    <row r="1668" spans="17:17">
      <c r="Q1668" s="2"/>
    </row>
    <row r="1669" spans="17:17">
      <c r="Q1669" s="2"/>
    </row>
    <row r="1670" spans="17:17">
      <c r="Q1670" s="2"/>
    </row>
    <row r="1671" spans="17:17">
      <c r="Q1671" s="2"/>
    </row>
    <row r="1672" spans="17:17">
      <c r="Q1672" s="2"/>
    </row>
    <row r="1673" spans="17:17">
      <c r="Q1673" s="2"/>
    </row>
    <row r="1674" spans="17:17">
      <c r="Q1674" s="2"/>
    </row>
    <row r="1675" spans="17:17">
      <c r="Q1675" s="2"/>
    </row>
    <row r="1676" spans="17:17">
      <c r="Q1676" s="2"/>
    </row>
    <row r="1677" spans="17:17">
      <c r="Q1677" s="2"/>
    </row>
    <row r="1678" spans="17:17">
      <c r="Q1678" s="2"/>
    </row>
    <row r="1679" spans="17:17">
      <c r="Q1679" s="2"/>
    </row>
    <row r="1680" spans="17:17">
      <c r="Q1680" s="2"/>
    </row>
    <row r="1681" spans="17:17">
      <c r="Q1681" s="2"/>
    </row>
    <row r="1682" spans="17:17">
      <c r="Q1682" s="2"/>
    </row>
    <row r="1683" spans="17:17">
      <c r="Q1683" s="2"/>
    </row>
    <row r="1684" spans="17:17">
      <c r="Q1684" s="2"/>
    </row>
    <row r="1685" spans="17:17">
      <c r="Q1685" s="2"/>
    </row>
    <row r="1686" spans="17:17">
      <c r="Q1686" s="2"/>
    </row>
    <row r="1687" spans="17:17">
      <c r="Q1687" s="2"/>
    </row>
    <row r="1688" spans="17:17">
      <c r="Q1688" s="2"/>
    </row>
    <row r="1689" spans="17:17">
      <c r="Q1689" s="2"/>
    </row>
    <row r="1690" spans="17:17">
      <c r="Q1690" s="2"/>
    </row>
    <row r="1691" spans="17:17">
      <c r="Q1691" s="2"/>
    </row>
    <row r="1692" spans="17:17">
      <c r="Q1692" s="2"/>
    </row>
    <row r="1693" spans="17:17">
      <c r="Q1693" s="2"/>
    </row>
    <row r="1694" spans="17:17">
      <c r="Q1694" s="2"/>
    </row>
    <row r="1695" spans="17:17">
      <c r="Q1695" s="2"/>
    </row>
    <row r="1696" spans="17:17">
      <c r="Q1696" s="2"/>
    </row>
    <row r="1697" spans="17:17">
      <c r="Q1697" s="2"/>
    </row>
    <row r="1698" spans="17:17">
      <c r="Q1698" s="2"/>
    </row>
    <row r="1699" spans="17:17">
      <c r="Q1699" s="2"/>
    </row>
    <row r="1700" spans="17:17">
      <c r="Q1700" s="2"/>
    </row>
    <row r="1701" spans="17:17">
      <c r="Q1701" s="2"/>
    </row>
    <row r="1702" spans="17:17">
      <c r="Q1702" s="2"/>
    </row>
    <row r="1703" spans="17:17">
      <c r="Q1703" s="2"/>
    </row>
    <row r="1704" spans="17:17">
      <c r="Q1704" s="2"/>
    </row>
    <row r="1705" spans="17:17">
      <c r="Q1705" s="2"/>
    </row>
    <row r="1706" spans="17:17">
      <c r="Q1706" s="2"/>
    </row>
    <row r="1707" spans="17:17">
      <c r="Q1707" s="2"/>
    </row>
    <row r="1708" spans="17:17">
      <c r="Q1708" s="2"/>
    </row>
    <row r="1709" spans="17:17">
      <c r="Q1709" s="2"/>
    </row>
    <row r="1710" spans="17:17">
      <c r="Q1710" s="2"/>
    </row>
    <row r="1711" spans="17:17">
      <c r="Q1711" s="2"/>
    </row>
    <row r="1712" spans="17:17">
      <c r="Q1712" s="2"/>
    </row>
    <row r="1713" spans="17:17">
      <c r="Q1713" s="2"/>
    </row>
    <row r="1714" spans="17:17">
      <c r="Q1714" s="2"/>
    </row>
    <row r="1715" spans="17:17">
      <c r="Q1715" s="2"/>
    </row>
    <row r="1716" spans="17:17">
      <c r="Q1716" s="2"/>
    </row>
    <row r="1717" spans="17:17">
      <c r="Q1717" s="2"/>
    </row>
    <row r="1718" spans="17:17">
      <c r="Q1718" s="2"/>
    </row>
    <row r="1719" spans="17:17">
      <c r="Q1719" s="2"/>
    </row>
    <row r="1720" spans="17:17">
      <c r="Q1720" s="2"/>
    </row>
    <row r="1721" spans="17:17">
      <c r="Q1721" s="2"/>
    </row>
    <row r="1722" spans="17:17">
      <c r="Q1722" s="2"/>
    </row>
    <row r="1723" spans="17:17">
      <c r="Q1723" s="2"/>
    </row>
    <row r="1724" spans="17:17">
      <c r="Q1724" s="2"/>
    </row>
    <row r="1725" spans="17:17">
      <c r="Q1725" s="2"/>
    </row>
    <row r="1726" spans="17:17">
      <c r="Q1726" s="2"/>
    </row>
    <row r="1727" spans="17:17">
      <c r="Q1727" s="2"/>
    </row>
    <row r="1728" spans="17:17">
      <c r="Q1728" s="2"/>
    </row>
    <row r="1729" spans="17:17">
      <c r="Q1729" s="2"/>
    </row>
    <row r="1730" spans="17:17">
      <c r="Q1730" s="2"/>
    </row>
    <row r="1731" spans="17:17">
      <c r="Q1731" s="2"/>
    </row>
    <row r="1732" spans="17:17">
      <c r="Q1732" s="2"/>
    </row>
    <row r="1733" spans="17:17">
      <c r="Q1733" s="2"/>
    </row>
    <row r="1734" spans="17:17">
      <c r="Q1734" s="2"/>
    </row>
    <row r="1735" spans="17:17">
      <c r="Q1735" s="2"/>
    </row>
    <row r="1736" spans="17:17">
      <c r="Q1736" s="2"/>
    </row>
    <row r="1737" spans="17:17">
      <c r="Q1737" s="2"/>
    </row>
    <row r="1738" spans="17:17">
      <c r="Q1738" s="2"/>
    </row>
    <row r="1739" spans="17:17">
      <c r="Q1739" s="2"/>
    </row>
    <row r="1740" spans="17:17">
      <c r="Q1740" s="2"/>
    </row>
    <row r="1741" spans="17:17">
      <c r="Q1741" s="2"/>
    </row>
    <row r="1742" spans="17:17">
      <c r="Q1742" s="2"/>
    </row>
    <row r="1743" spans="17:17">
      <c r="Q1743" s="2"/>
    </row>
    <row r="1744" spans="17:17">
      <c r="Q1744" s="2"/>
    </row>
    <row r="1745" spans="17:17">
      <c r="Q1745" s="2"/>
    </row>
    <row r="1746" spans="17:17">
      <c r="Q1746" s="2"/>
    </row>
    <row r="1747" spans="17:17">
      <c r="Q1747" s="2"/>
    </row>
    <row r="1748" spans="17:17">
      <c r="Q1748" s="2"/>
    </row>
    <row r="1749" spans="17:17">
      <c r="Q1749" s="2"/>
    </row>
    <row r="1750" spans="17:17">
      <c r="Q1750" s="2"/>
    </row>
    <row r="1751" spans="17:17">
      <c r="Q1751" s="2"/>
    </row>
    <row r="1752" spans="17:17">
      <c r="Q1752" s="2"/>
    </row>
    <row r="1753" spans="17:17">
      <c r="Q1753" s="2"/>
    </row>
    <row r="1754" spans="17:17">
      <c r="Q1754" s="2"/>
    </row>
    <row r="1755" spans="17:17">
      <c r="Q1755" s="2"/>
    </row>
    <row r="1756" spans="17:17">
      <c r="Q1756" s="2"/>
    </row>
    <row r="1757" spans="17:17">
      <c r="Q1757" s="2"/>
    </row>
    <row r="1758" spans="17:17">
      <c r="Q1758" s="2"/>
    </row>
    <row r="1759" spans="17:17">
      <c r="Q1759" s="2"/>
    </row>
    <row r="1760" spans="17:17">
      <c r="Q1760" s="2"/>
    </row>
    <row r="1761" spans="17:17">
      <c r="Q1761" s="2"/>
    </row>
    <row r="1762" spans="17:17">
      <c r="Q1762" s="2"/>
    </row>
    <row r="1763" spans="17:17">
      <c r="Q1763" s="2"/>
    </row>
    <row r="1764" spans="17:17">
      <c r="Q1764" s="2"/>
    </row>
    <row r="1765" spans="17:17">
      <c r="Q1765" s="2"/>
    </row>
    <row r="1766" spans="17:17">
      <c r="Q1766" s="2"/>
    </row>
    <row r="1767" spans="17:17">
      <c r="Q1767" s="2"/>
    </row>
    <row r="1768" spans="17:17">
      <c r="Q1768" s="2"/>
    </row>
    <row r="1769" spans="17:17">
      <c r="Q1769" s="2"/>
    </row>
    <row r="1770" spans="17:17">
      <c r="Q1770" s="2"/>
    </row>
    <row r="1771" spans="17:17">
      <c r="Q1771" s="2"/>
    </row>
    <row r="1772" spans="17:17">
      <c r="Q1772" s="2"/>
    </row>
    <row r="1773" spans="17:17">
      <c r="Q1773" s="2"/>
    </row>
    <row r="1774" spans="17:17">
      <c r="Q1774" s="2"/>
    </row>
    <row r="1775" spans="17:17">
      <c r="Q1775" s="2"/>
    </row>
    <row r="1776" spans="17:17">
      <c r="Q1776" s="2"/>
    </row>
    <row r="1777" spans="17:17">
      <c r="Q1777" s="2"/>
    </row>
    <row r="1778" spans="17:17">
      <c r="Q1778" s="2"/>
    </row>
    <row r="1779" spans="17:17">
      <c r="Q1779" s="2"/>
    </row>
    <row r="1780" spans="17:17">
      <c r="Q1780" s="2"/>
    </row>
    <row r="1781" spans="17:17">
      <c r="Q1781" s="2"/>
    </row>
    <row r="1782" spans="17:17">
      <c r="Q1782" s="2"/>
    </row>
    <row r="1783" spans="17:17">
      <c r="Q1783" s="2"/>
    </row>
    <row r="1784" spans="17:17">
      <c r="Q1784" s="2"/>
    </row>
    <row r="1785" spans="17:17">
      <c r="Q1785" s="2"/>
    </row>
    <row r="1786" spans="17:17">
      <c r="Q1786" s="2"/>
    </row>
    <row r="1787" spans="17:17">
      <c r="Q1787" s="2"/>
    </row>
    <row r="1788" spans="17:17">
      <c r="Q1788" s="2"/>
    </row>
    <row r="1789" spans="17:17">
      <c r="Q1789" s="2"/>
    </row>
    <row r="1790" spans="17:17">
      <c r="Q1790" s="2"/>
    </row>
    <row r="1791" spans="17:17">
      <c r="Q1791" s="2"/>
    </row>
    <row r="1792" spans="17:17">
      <c r="Q1792" s="2"/>
    </row>
    <row r="1793" spans="17:17">
      <c r="Q1793" s="2"/>
    </row>
    <row r="1794" spans="17:17">
      <c r="Q1794" s="2"/>
    </row>
    <row r="1795" spans="17:17">
      <c r="Q1795" s="2"/>
    </row>
    <row r="1796" spans="17:17">
      <c r="Q1796" s="2"/>
    </row>
    <row r="1797" spans="17:17">
      <c r="Q1797" s="2"/>
    </row>
    <row r="1798" spans="17:17">
      <c r="Q1798" s="2"/>
    </row>
    <row r="1799" spans="17:17">
      <c r="Q1799" s="2"/>
    </row>
    <row r="1800" spans="17:17">
      <c r="Q1800" s="2"/>
    </row>
    <row r="1801" spans="17:17">
      <c r="Q1801" s="2"/>
    </row>
    <row r="1802" spans="17:17">
      <c r="Q1802" s="2"/>
    </row>
    <row r="1803" spans="17:17">
      <c r="Q1803" s="2"/>
    </row>
    <row r="1804" spans="17:17">
      <c r="Q1804" s="2"/>
    </row>
    <row r="1805" spans="17:17">
      <c r="Q1805" s="2"/>
    </row>
    <row r="1806" spans="17:17">
      <c r="Q1806" s="2"/>
    </row>
    <row r="1807" spans="17:17">
      <c r="Q1807" s="2"/>
    </row>
    <row r="1808" spans="17:17">
      <c r="Q1808" s="2"/>
    </row>
    <row r="1809" spans="17:17">
      <c r="Q1809" s="2"/>
    </row>
    <row r="1810" spans="17:17">
      <c r="Q1810" s="2"/>
    </row>
    <row r="1811" spans="17:17">
      <c r="Q1811" s="2"/>
    </row>
    <row r="1812" spans="17:17">
      <c r="Q1812" s="2"/>
    </row>
    <row r="1813" spans="17:17">
      <c r="Q1813" s="2"/>
    </row>
    <row r="1814" spans="17:17">
      <c r="Q1814" s="2"/>
    </row>
    <row r="1815" spans="17:17">
      <c r="Q1815" s="2"/>
    </row>
    <row r="1816" spans="17:17">
      <c r="Q1816" s="2"/>
    </row>
    <row r="1817" spans="17:17">
      <c r="Q1817" s="2"/>
    </row>
    <row r="1818" spans="17:17">
      <c r="Q1818" s="2"/>
    </row>
    <row r="1819" spans="17:17">
      <c r="Q1819" s="2"/>
    </row>
    <row r="1820" spans="17:17">
      <c r="Q1820" s="2"/>
    </row>
    <row r="1821" spans="17:17">
      <c r="Q1821" s="2"/>
    </row>
    <row r="1822" spans="17:17">
      <c r="Q1822" s="2"/>
    </row>
    <row r="1823" spans="17:17">
      <c r="Q1823" s="2"/>
    </row>
    <row r="1824" spans="17:17">
      <c r="Q1824" s="2"/>
    </row>
    <row r="1825" spans="17:17">
      <c r="Q1825" s="2"/>
    </row>
    <row r="1826" spans="17:17">
      <c r="Q1826" s="2"/>
    </row>
    <row r="1827" spans="17:17">
      <c r="Q1827" s="2"/>
    </row>
    <row r="1828" spans="17:17">
      <c r="Q1828" s="2"/>
    </row>
    <row r="1829" spans="17:17">
      <c r="Q1829" s="2"/>
    </row>
    <row r="1830" spans="17:17">
      <c r="Q1830" s="2"/>
    </row>
    <row r="1831" spans="17:17">
      <c r="Q1831" s="2"/>
    </row>
    <row r="1832" spans="17:17">
      <c r="Q1832" s="2"/>
    </row>
    <row r="1833" spans="17:17">
      <c r="Q1833" s="2"/>
    </row>
    <row r="1834" spans="17:17">
      <c r="Q1834" s="2"/>
    </row>
    <row r="1835" spans="17:17">
      <c r="Q1835" s="2"/>
    </row>
    <row r="1836" spans="17:17">
      <c r="Q1836" s="2"/>
    </row>
    <row r="1837" spans="17:17">
      <c r="Q1837" s="2"/>
    </row>
    <row r="1838" spans="17:17">
      <c r="Q1838" s="2"/>
    </row>
    <row r="1839" spans="17:17">
      <c r="Q1839" s="2"/>
    </row>
    <row r="1840" spans="17:17">
      <c r="Q1840" s="2"/>
    </row>
    <row r="1841" spans="17:17">
      <c r="Q1841" s="2"/>
    </row>
    <row r="1842" spans="17:17">
      <c r="Q1842" s="2"/>
    </row>
    <row r="1843" spans="17:17">
      <c r="Q1843" s="2"/>
    </row>
    <row r="1844" spans="17:17">
      <c r="Q1844" s="2"/>
    </row>
    <row r="1845" spans="17:17">
      <c r="Q1845" s="2"/>
    </row>
    <row r="1846" spans="17:17">
      <c r="Q1846" s="2"/>
    </row>
    <row r="1847" spans="17:17">
      <c r="Q1847" s="2"/>
    </row>
    <row r="1848" spans="17:17">
      <c r="Q1848" s="2"/>
    </row>
    <row r="1849" spans="17:17">
      <c r="Q1849" s="2"/>
    </row>
    <row r="1850" spans="17:17">
      <c r="Q1850" s="2"/>
    </row>
    <row r="1851" spans="17:17">
      <c r="Q1851" s="2"/>
    </row>
    <row r="1852" spans="17:17">
      <c r="Q1852" s="2"/>
    </row>
    <row r="1853" spans="17:17">
      <c r="Q1853" s="2"/>
    </row>
    <row r="1854" spans="17:17">
      <c r="Q1854" s="2"/>
    </row>
    <row r="1855" spans="17:17">
      <c r="Q1855" s="2"/>
    </row>
    <row r="1856" spans="17:17">
      <c r="Q1856" s="2"/>
    </row>
    <row r="1857" spans="17:17">
      <c r="Q1857" s="2"/>
    </row>
    <row r="1858" spans="17:17">
      <c r="Q1858" s="2"/>
    </row>
    <row r="1859" spans="17:17">
      <c r="Q1859" s="2"/>
    </row>
    <row r="1860" spans="17:17">
      <c r="Q1860" s="2"/>
    </row>
    <row r="1861" spans="17:17">
      <c r="Q1861" s="2"/>
    </row>
    <row r="1862" spans="17:17">
      <c r="Q1862" s="2"/>
    </row>
    <row r="1863" spans="17:17">
      <c r="Q1863" s="2"/>
    </row>
    <row r="1864" spans="17:17">
      <c r="Q1864" s="2"/>
    </row>
    <row r="1865" spans="17:17">
      <c r="Q1865" s="2"/>
    </row>
    <row r="1866" spans="17:17">
      <c r="Q1866" s="2"/>
    </row>
    <row r="1867" spans="17:17">
      <c r="Q1867" s="2"/>
    </row>
    <row r="1868" spans="17:17">
      <c r="Q1868" s="2"/>
    </row>
    <row r="1869" spans="17:17">
      <c r="Q1869" s="2"/>
    </row>
    <row r="1870" spans="17:17">
      <c r="Q1870" s="2"/>
    </row>
    <row r="1871" spans="17:17">
      <c r="Q1871" s="2"/>
    </row>
    <row r="1872" spans="17:17">
      <c r="Q1872" s="2"/>
    </row>
    <row r="1873" spans="17:17">
      <c r="Q1873" s="2"/>
    </row>
    <row r="1874" spans="17:17">
      <c r="Q1874" s="2"/>
    </row>
    <row r="1875" spans="17:17">
      <c r="Q1875" s="2"/>
    </row>
    <row r="1876" spans="17:17">
      <c r="Q1876" s="2"/>
    </row>
    <row r="1877" spans="17:17">
      <c r="Q1877" s="2"/>
    </row>
    <row r="1878" spans="17:17">
      <c r="Q1878" s="2"/>
    </row>
    <row r="1879" spans="17:17">
      <c r="Q1879" s="2"/>
    </row>
    <row r="1880" spans="17:17">
      <c r="Q1880" s="2"/>
    </row>
    <row r="1881" spans="17:17">
      <c r="Q1881" s="2"/>
    </row>
    <row r="1882" spans="17:17">
      <c r="Q1882" s="2"/>
    </row>
    <row r="1883" spans="17:17">
      <c r="Q1883" s="2"/>
    </row>
    <row r="1884" spans="17:17">
      <c r="Q1884" s="2"/>
    </row>
    <row r="1885" spans="17:17">
      <c r="Q1885" s="2"/>
    </row>
    <row r="1886" spans="17:17">
      <c r="Q1886" s="2"/>
    </row>
    <row r="1887" spans="17:17">
      <c r="Q1887" s="2"/>
    </row>
    <row r="1888" spans="17:17">
      <c r="Q1888" s="2"/>
    </row>
    <row r="1889" spans="17:17">
      <c r="Q1889" s="2"/>
    </row>
    <row r="1890" spans="17:17">
      <c r="Q1890" s="2"/>
    </row>
    <row r="1891" spans="17:17">
      <c r="Q1891" s="2"/>
    </row>
    <row r="1892" spans="17:17">
      <c r="Q1892" s="2"/>
    </row>
    <row r="1893" spans="17:17">
      <c r="Q1893" s="2"/>
    </row>
    <row r="1894" spans="17:17">
      <c r="Q1894" s="2"/>
    </row>
    <row r="1895" spans="17:17">
      <c r="Q1895" s="2"/>
    </row>
    <row r="1896" spans="17:17">
      <c r="Q1896" s="2"/>
    </row>
    <row r="1897" spans="17:17">
      <c r="Q1897" s="2"/>
    </row>
    <row r="1898" spans="17:17">
      <c r="Q1898" s="2"/>
    </row>
    <row r="1899" spans="17:17">
      <c r="Q1899" s="2"/>
    </row>
    <row r="1900" spans="17:17">
      <c r="Q1900" s="2"/>
    </row>
    <row r="1901" spans="17:17">
      <c r="Q1901" s="2"/>
    </row>
    <row r="1902" spans="17:17">
      <c r="Q1902" s="2"/>
    </row>
    <row r="1903" spans="17:17">
      <c r="Q1903" s="2"/>
    </row>
    <row r="1904" spans="17:17">
      <c r="Q1904" s="2"/>
    </row>
    <row r="1905" spans="17:17">
      <c r="Q1905" s="2"/>
    </row>
    <row r="1906" spans="17:17">
      <c r="Q1906" s="2"/>
    </row>
    <row r="1907" spans="17:17">
      <c r="Q1907" s="2"/>
    </row>
    <row r="1908" spans="17:17">
      <c r="Q1908" s="2"/>
    </row>
    <row r="1909" spans="17:17">
      <c r="Q1909" s="2"/>
    </row>
    <row r="1910" spans="17:17">
      <c r="Q1910" s="2"/>
    </row>
    <row r="1911" spans="17:17">
      <c r="Q1911" s="2"/>
    </row>
    <row r="1912" spans="17:17">
      <c r="Q1912" s="2"/>
    </row>
    <row r="1913" spans="17:17">
      <c r="Q1913" s="2"/>
    </row>
    <row r="1914" spans="17:17">
      <c r="Q1914" s="2"/>
    </row>
    <row r="1915" spans="17:17">
      <c r="Q1915" s="2"/>
    </row>
    <row r="1916" spans="17:17">
      <c r="Q1916" s="2"/>
    </row>
    <row r="1917" spans="17:17">
      <c r="Q1917" s="2"/>
    </row>
    <row r="1918" spans="17:17">
      <c r="Q1918" s="2"/>
    </row>
    <row r="1919" spans="17:17">
      <c r="Q1919" s="2"/>
    </row>
    <row r="1920" spans="17:17">
      <c r="Q1920" s="2"/>
    </row>
    <row r="1921" spans="17:17">
      <c r="Q1921" s="2"/>
    </row>
    <row r="1922" spans="17:17">
      <c r="Q1922" s="2"/>
    </row>
    <row r="1923" spans="17:17">
      <c r="Q1923" s="2"/>
    </row>
    <row r="1924" spans="17:17">
      <c r="Q1924" s="2"/>
    </row>
    <row r="1925" spans="17:17">
      <c r="Q1925" s="2"/>
    </row>
    <row r="1926" spans="17:17">
      <c r="Q1926" s="2"/>
    </row>
    <row r="1927" spans="17:17">
      <c r="Q1927" s="2"/>
    </row>
    <row r="1928" spans="17:17">
      <c r="Q1928" s="2"/>
    </row>
    <row r="1929" spans="17:17">
      <c r="Q1929" s="2"/>
    </row>
    <row r="1930" spans="17:17">
      <c r="Q1930" s="2"/>
    </row>
    <row r="1931" spans="17:17">
      <c r="Q1931" s="2"/>
    </row>
    <row r="1932" spans="17:17">
      <c r="Q1932" s="2"/>
    </row>
    <row r="1933" spans="17:17">
      <c r="Q1933" s="2"/>
    </row>
    <row r="1934" spans="17:17">
      <c r="Q1934" s="2"/>
    </row>
    <row r="1935" spans="17:17">
      <c r="Q1935" s="2"/>
    </row>
    <row r="1936" spans="17:17">
      <c r="Q1936" s="2"/>
    </row>
    <row r="1937" spans="17:17">
      <c r="Q1937" s="2"/>
    </row>
    <row r="1938" spans="17:17">
      <c r="Q1938" s="2"/>
    </row>
    <row r="1939" spans="17:17">
      <c r="Q1939" s="2"/>
    </row>
    <row r="1940" spans="17:17">
      <c r="Q1940" s="2"/>
    </row>
    <row r="1941" spans="17:17">
      <c r="Q1941" s="2"/>
    </row>
    <row r="1942" spans="17:17">
      <c r="Q1942" s="2"/>
    </row>
    <row r="1943" spans="17:17">
      <c r="Q1943" s="2"/>
    </row>
    <row r="1944" spans="17:17">
      <c r="Q1944" s="2"/>
    </row>
    <row r="1945" spans="17:17">
      <c r="Q1945" s="2"/>
    </row>
    <row r="1946" spans="17:17">
      <c r="Q1946" s="2"/>
    </row>
    <row r="1947" spans="17:17">
      <c r="Q1947" s="2"/>
    </row>
    <row r="1948" spans="17:17">
      <c r="Q1948" s="2"/>
    </row>
    <row r="1949" spans="17:17">
      <c r="Q1949" s="2"/>
    </row>
    <row r="1950" spans="17:17">
      <c r="Q1950" s="2"/>
    </row>
    <row r="1951" spans="17:17">
      <c r="Q1951" s="2"/>
    </row>
    <row r="1952" spans="17:17">
      <c r="Q1952" s="2"/>
    </row>
    <row r="1953" spans="17:17">
      <c r="Q1953" s="2"/>
    </row>
    <row r="1954" spans="17:17">
      <c r="Q1954" s="2"/>
    </row>
    <row r="1955" spans="17:17">
      <c r="Q1955" s="2"/>
    </row>
    <row r="1956" spans="17:17">
      <c r="Q1956" s="2"/>
    </row>
    <row r="1957" spans="17:17">
      <c r="Q1957" s="2"/>
    </row>
    <row r="1958" spans="17:17">
      <c r="Q1958" s="2"/>
    </row>
    <row r="1959" spans="17:17">
      <c r="Q1959" s="2"/>
    </row>
    <row r="1960" spans="17:17">
      <c r="Q1960" s="2"/>
    </row>
    <row r="1961" spans="17:17">
      <c r="Q1961" s="2"/>
    </row>
    <row r="1962" spans="17:17">
      <c r="Q1962" s="2"/>
    </row>
    <row r="1963" spans="17:17">
      <c r="Q1963" s="2"/>
    </row>
    <row r="1964" spans="17:17">
      <c r="Q1964" s="2"/>
    </row>
    <row r="1965" spans="17:17">
      <c r="Q1965" s="2"/>
    </row>
    <row r="1966" spans="17:17">
      <c r="Q1966" s="2"/>
    </row>
    <row r="1967" spans="17:17">
      <c r="Q1967" s="2"/>
    </row>
    <row r="1968" spans="17:17">
      <c r="Q1968" s="2"/>
    </row>
    <row r="1969" spans="17:17">
      <c r="Q1969" s="2"/>
    </row>
    <row r="1970" spans="17:17">
      <c r="Q1970" s="2"/>
    </row>
    <row r="1971" spans="17:17">
      <c r="Q1971" s="2"/>
    </row>
    <row r="1972" spans="17:17">
      <c r="Q1972" s="2"/>
    </row>
    <row r="1973" spans="17:17">
      <c r="Q1973" s="2"/>
    </row>
    <row r="1974" spans="17:17">
      <c r="Q1974" s="2"/>
    </row>
    <row r="1975" spans="17:17">
      <c r="Q1975" s="2"/>
    </row>
    <row r="1976" spans="17:17">
      <c r="Q1976" s="2"/>
    </row>
    <row r="1977" spans="17:17">
      <c r="Q1977" s="2"/>
    </row>
    <row r="1978" spans="17:17">
      <c r="Q1978" s="2"/>
    </row>
    <row r="1979" spans="17:17">
      <c r="Q1979" s="2"/>
    </row>
    <row r="1980" spans="17:17">
      <c r="Q1980" s="2"/>
    </row>
    <row r="1981" spans="17:17">
      <c r="Q1981" s="2"/>
    </row>
    <row r="1982" spans="17:17">
      <c r="Q1982" s="2"/>
    </row>
    <row r="1983" spans="17:17">
      <c r="Q1983" s="2"/>
    </row>
    <row r="1984" spans="17:17">
      <c r="Q1984" s="2"/>
    </row>
    <row r="1985" spans="17:17">
      <c r="Q1985" s="2"/>
    </row>
    <row r="1986" spans="17:17">
      <c r="Q1986" s="2"/>
    </row>
    <row r="1987" spans="17:17">
      <c r="Q1987" s="2"/>
    </row>
    <row r="1988" spans="17:17">
      <c r="Q1988" s="2"/>
    </row>
    <row r="1989" spans="17:17">
      <c r="Q1989" s="2"/>
    </row>
    <row r="1990" spans="17:17">
      <c r="Q1990" s="2"/>
    </row>
    <row r="1991" spans="17:17">
      <c r="Q1991" s="2"/>
    </row>
    <row r="1992" spans="17:17">
      <c r="Q1992" s="2"/>
    </row>
    <row r="1993" spans="17:17">
      <c r="Q1993" s="2"/>
    </row>
    <row r="1994" spans="17:17">
      <c r="Q1994" s="2"/>
    </row>
    <row r="1995" spans="17:17">
      <c r="Q1995" s="2"/>
    </row>
    <row r="1996" spans="17:17">
      <c r="Q1996" s="2"/>
    </row>
    <row r="1997" spans="17:17">
      <c r="Q1997" s="2"/>
    </row>
    <row r="1998" spans="17:17">
      <c r="Q1998" s="2"/>
    </row>
    <row r="1999" spans="17:17">
      <c r="Q1999" s="2"/>
    </row>
    <row r="2000" spans="17:17">
      <c r="Q2000" s="2"/>
    </row>
    <row r="2001" spans="17:17">
      <c r="Q2001" s="2"/>
    </row>
    <row r="2002" spans="17:17">
      <c r="Q2002" s="2"/>
    </row>
    <row r="2003" spans="17:17">
      <c r="Q2003" s="2"/>
    </row>
    <row r="2004" spans="17:17">
      <c r="Q2004" s="2"/>
    </row>
    <row r="2005" spans="17:17">
      <c r="Q2005" s="2"/>
    </row>
    <row r="2006" spans="17:17">
      <c r="Q2006" s="2"/>
    </row>
    <row r="2007" spans="17:17">
      <c r="Q2007" s="2"/>
    </row>
    <row r="2008" spans="17:17">
      <c r="Q2008" s="2"/>
    </row>
    <row r="2009" spans="17:17">
      <c r="Q2009" s="2"/>
    </row>
    <row r="2010" spans="17:17">
      <c r="Q2010" s="2"/>
    </row>
    <row r="2011" spans="17:17">
      <c r="Q2011" s="2"/>
    </row>
    <row r="2012" spans="17:17">
      <c r="Q2012" s="2"/>
    </row>
    <row r="2013" spans="17:17">
      <c r="Q2013" s="2"/>
    </row>
    <row r="2014" spans="17:17">
      <c r="Q2014" s="2"/>
    </row>
    <row r="2015" spans="17:17">
      <c r="Q2015" s="2"/>
    </row>
    <row r="2016" spans="17:17">
      <c r="Q2016" s="2"/>
    </row>
    <row r="2017" spans="17:17">
      <c r="Q2017" s="2"/>
    </row>
    <row r="2018" spans="17:17">
      <c r="Q2018" s="2"/>
    </row>
    <row r="2019" spans="17:17">
      <c r="Q2019" s="2"/>
    </row>
    <row r="2020" spans="17:17">
      <c r="Q2020" s="2"/>
    </row>
    <row r="2021" spans="17:17">
      <c r="Q2021" s="2"/>
    </row>
    <row r="2022" spans="17:17">
      <c r="Q2022" s="2"/>
    </row>
    <row r="2023" spans="17:17">
      <c r="Q2023" s="2"/>
    </row>
    <row r="2024" spans="17:17">
      <c r="Q2024" s="2"/>
    </row>
    <row r="2025" spans="17:17">
      <c r="Q2025" s="2"/>
    </row>
    <row r="2026" spans="17:17">
      <c r="Q2026" s="2"/>
    </row>
    <row r="2027" spans="17:17">
      <c r="Q2027" s="2"/>
    </row>
    <row r="2028" spans="17:17">
      <c r="Q2028" s="2"/>
    </row>
    <row r="2029" spans="17:17">
      <c r="Q2029" s="2"/>
    </row>
    <row r="2030" spans="17:17">
      <c r="Q2030" s="2"/>
    </row>
    <row r="2031" spans="17:17">
      <c r="Q2031" s="2"/>
    </row>
    <row r="2032" spans="17:17">
      <c r="Q2032" s="2"/>
    </row>
    <row r="2033" spans="17:17">
      <c r="Q2033" s="2"/>
    </row>
    <row r="2034" spans="17:17">
      <c r="Q2034" s="2"/>
    </row>
    <row r="2035" spans="17:17">
      <c r="Q2035" s="2"/>
    </row>
    <row r="2036" spans="17:17">
      <c r="Q2036" s="2"/>
    </row>
    <row r="2037" spans="17:17">
      <c r="Q2037" s="2"/>
    </row>
    <row r="2038" spans="17:17">
      <c r="Q2038" s="2"/>
    </row>
    <row r="2039" spans="17:17">
      <c r="Q2039" s="2"/>
    </row>
    <row r="2040" spans="17:17">
      <c r="Q2040" s="2"/>
    </row>
    <row r="2041" spans="17:17">
      <c r="Q2041" s="2"/>
    </row>
    <row r="2042" spans="17:17">
      <c r="Q2042" s="2"/>
    </row>
    <row r="2043" spans="17:17">
      <c r="Q2043" s="2"/>
    </row>
    <row r="2044" spans="17:17">
      <c r="Q2044" s="2"/>
    </row>
    <row r="2045" spans="17:17">
      <c r="Q2045" s="2"/>
    </row>
    <row r="2046" spans="17:17">
      <c r="Q2046" s="2"/>
    </row>
    <row r="2047" spans="17:17">
      <c r="Q2047" s="2"/>
    </row>
    <row r="2048" spans="17:17">
      <c r="Q2048" s="2"/>
    </row>
    <row r="2049" spans="17:17">
      <c r="Q2049" s="2"/>
    </row>
    <row r="2050" spans="17:17">
      <c r="Q2050" s="2"/>
    </row>
    <row r="2051" spans="17:17">
      <c r="Q2051" s="2"/>
    </row>
    <row r="2052" spans="17:17">
      <c r="Q2052" s="2"/>
    </row>
    <row r="2053" spans="17:17">
      <c r="Q2053" s="2"/>
    </row>
    <row r="2054" spans="17:17">
      <c r="Q2054" s="2"/>
    </row>
    <row r="2055" spans="17:17">
      <c r="Q2055" s="2"/>
    </row>
    <row r="2056" spans="17:17">
      <c r="Q2056" s="2"/>
    </row>
    <row r="2057" spans="17:17">
      <c r="Q2057" s="2"/>
    </row>
    <row r="2058" spans="17:17">
      <c r="Q2058" s="2"/>
    </row>
    <row r="2059" spans="17:17">
      <c r="Q2059" s="2"/>
    </row>
    <row r="2060" spans="17:17">
      <c r="Q2060" s="2"/>
    </row>
    <row r="2061" spans="17:17">
      <c r="Q2061" s="2"/>
    </row>
    <row r="2062" spans="17:17">
      <c r="Q2062" s="2"/>
    </row>
    <row r="2063" spans="17:17">
      <c r="Q2063" s="2"/>
    </row>
    <row r="2064" spans="17:17">
      <c r="Q2064" s="2"/>
    </row>
    <row r="2065" spans="17:17">
      <c r="Q2065" s="2"/>
    </row>
    <row r="2066" spans="17:17">
      <c r="Q2066" s="2"/>
    </row>
    <row r="2067" spans="17:17">
      <c r="Q2067" s="2"/>
    </row>
    <row r="2068" spans="17:17">
      <c r="Q2068" s="2"/>
    </row>
    <row r="2069" spans="17:17">
      <c r="Q2069" s="2"/>
    </row>
    <row r="2070" spans="17:17">
      <c r="Q2070" s="2"/>
    </row>
    <row r="2071" spans="17:17">
      <c r="Q2071" s="2"/>
    </row>
    <row r="2072" spans="17:17">
      <c r="Q2072" s="2"/>
    </row>
    <row r="2073" spans="17:17">
      <c r="Q2073" s="2"/>
    </row>
    <row r="2074" spans="17:17">
      <c r="Q2074" s="2"/>
    </row>
    <row r="2075" spans="17:17">
      <c r="Q2075" s="2"/>
    </row>
    <row r="2076" spans="17:17">
      <c r="Q2076" s="2"/>
    </row>
    <row r="2077" spans="17:17">
      <c r="Q2077" s="2"/>
    </row>
    <row r="2078" spans="17:17">
      <c r="Q2078" s="2"/>
    </row>
    <row r="2079" spans="17:17">
      <c r="Q2079" s="2"/>
    </row>
    <row r="2080" spans="17:17">
      <c r="Q2080" s="2"/>
    </row>
    <row r="2081" spans="17:17">
      <c r="Q2081" s="2"/>
    </row>
    <row r="2082" spans="17:17">
      <c r="Q2082" s="2"/>
    </row>
    <row r="2083" spans="17:17">
      <c r="Q2083" s="2"/>
    </row>
    <row r="2084" spans="17:17">
      <c r="Q2084" s="2"/>
    </row>
    <row r="2085" spans="17:17">
      <c r="Q2085" s="2"/>
    </row>
    <row r="2086" spans="17:17">
      <c r="Q2086" s="2"/>
    </row>
    <row r="2087" spans="17:17">
      <c r="Q2087" s="2"/>
    </row>
    <row r="2088" spans="17:17">
      <c r="Q2088" s="2"/>
    </row>
    <row r="2089" spans="17:17">
      <c r="Q2089" s="2"/>
    </row>
    <row r="2090" spans="17:17">
      <c r="Q2090" s="2"/>
    </row>
    <row r="2091" spans="17:17">
      <c r="Q2091" s="2"/>
    </row>
    <row r="2092" spans="17:17">
      <c r="Q2092" s="2"/>
    </row>
    <row r="2093" spans="17:17">
      <c r="Q2093" s="2"/>
    </row>
    <row r="2094" spans="17:17">
      <c r="Q2094" s="2"/>
    </row>
    <row r="2095" spans="17:17">
      <c r="Q2095" s="2"/>
    </row>
    <row r="2096" spans="17:17">
      <c r="Q2096" s="2"/>
    </row>
    <row r="2097" spans="17:17">
      <c r="Q2097" s="2"/>
    </row>
    <row r="2098" spans="17:17">
      <c r="Q2098" s="2"/>
    </row>
    <row r="2099" spans="17:17">
      <c r="Q2099" s="2"/>
    </row>
    <row r="2100" spans="17:17">
      <c r="Q2100" s="2"/>
    </row>
    <row r="2101" spans="17:17">
      <c r="Q2101" s="2"/>
    </row>
    <row r="2102" spans="17:17">
      <c r="Q2102" s="2"/>
    </row>
    <row r="2103" spans="17:17">
      <c r="Q2103" s="2"/>
    </row>
    <row r="2104" spans="17:17">
      <c r="Q2104" s="2"/>
    </row>
    <row r="2105" spans="17:17">
      <c r="Q2105" s="2"/>
    </row>
    <row r="2106" spans="17:17">
      <c r="Q2106" s="2"/>
    </row>
    <row r="2107" spans="17:17">
      <c r="Q2107" s="2"/>
    </row>
    <row r="2108" spans="17:17">
      <c r="Q2108" s="2"/>
    </row>
    <row r="2109" spans="17:17">
      <c r="Q2109" s="2"/>
    </row>
    <row r="2110" spans="17:17">
      <c r="Q2110" s="2"/>
    </row>
    <row r="2111" spans="17:17">
      <c r="Q2111" s="2"/>
    </row>
    <row r="2112" spans="17:17">
      <c r="Q2112" s="2"/>
    </row>
    <row r="2113" spans="17:17">
      <c r="Q2113" s="2"/>
    </row>
    <row r="2114" spans="17:17">
      <c r="Q2114" s="2"/>
    </row>
    <row r="2115" spans="17:17">
      <c r="Q2115" s="2"/>
    </row>
    <row r="2116" spans="17:17">
      <c r="Q2116" s="2"/>
    </row>
    <row r="2117" spans="17:17">
      <c r="Q2117" s="2"/>
    </row>
    <row r="2118" spans="17:17">
      <c r="Q2118" s="2"/>
    </row>
    <row r="2119" spans="17:17">
      <c r="Q2119" s="2"/>
    </row>
    <row r="2120" spans="17:17">
      <c r="Q2120" s="2"/>
    </row>
    <row r="2121" spans="17:17">
      <c r="Q2121" s="2"/>
    </row>
    <row r="2122" spans="17:17">
      <c r="Q2122" s="2"/>
    </row>
    <row r="2123" spans="17:17">
      <c r="Q2123" s="2"/>
    </row>
    <row r="2124" spans="17:17">
      <c r="Q2124" s="2"/>
    </row>
    <row r="2125" spans="17:17">
      <c r="Q2125" s="2"/>
    </row>
    <row r="2126" spans="17:17">
      <c r="Q2126" s="2"/>
    </row>
    <row r="2127" spans="17:17">
      <c r="Q2127" s="2"/>
    </row>
    <row r="2128" spans="17:17">
      <c r="Q2128" s="2"/>
    </row>
    <row r="2129" spans="17:17">
      <c r="Q2129" s="2"/>
    </row>
    <row r="2130" spans="17:17">
      <c r="Q2130" s="2"/>
    </row>
    <row r="2131" spans="17:17">
      <c r="Q2131" s="2"/>
    </row>
    <row r="2132" spans="17:17">
      <c r="Q2132" s="2"/>
    </row>
    <row r="2133" spans="17:17">
      <c r="Q2133" s="2"/>
    </row>
    <row r="2134" spans="17:17">
      <c r="Q2134" s="2"/>
    </row>
    <row r="2135" spans="17:17">
      <c r="Q2135" s="2"/>
    </row>
    <row r="2136" spans="17:17">
      <c r="Q2136" s="2"/>
    </row>
    <row r="2137" spans="17:17">
      <c r="Q2137" s="2"/>
    </row>
    <row r="2138" spans="17:17">
      <c r="Q2138" s="2"/>
    </row>
    <row r="2139" spans="17:17">
      <c r="Q2139" s="2"/>
    </row>
    <row r="2140" spans="17:17">
      <c r="Q2140" s="2"/>
    </row>
    <row r="2141" spans="17:17">
      <c r="Q2141" s="2"/>
    </row>
    <row r="2142" spans="17:17">
      <c r="Q2142" s="2"/>
    </row>
    <row r="2143" spans="17:17">
      <c r="Q2143" s="2"/>
    </row>
    <row r="2144" spans="17:17">
      <c r="Q2144" s="2"/>
    </row>
    <row r="2145" spans="17:17">
      <c r="Q2145" s="2"/>
    </row>
    <row r="2146" spans="17:17">
      <c r="Q2146" s="2"/>
    </row>
    <row r="2147" spans="17:17">
      <c r="Q2147" s="2"/>
    </row>
    <row r="2148" spans="17:17">
      <c r="Q2148" s="2"/>
    </row>
    <row r="2149" spans="17:17">
      <c r="Q2149" s="2"/>
    </row>
    <row r="2150" spans="17:17">
      <c r="Q2150" s="2"/>
    </row>
    <row r="2151" spans="17:17">
      <c r="Q2151" s="2"/>
    </row>
    <row r="2152" spans="17:17">
      <c r="Q2152" s="2"/>
    </row>
    <row r="2153" spans="17:17">
      <c r="Q2153" s="2"/>
    </row>
    <row r="2154" spans="17:17">
      <c r="Q2154" s="2"/>
    </row>
    <row r="2155" spans="17:17">
      <c r="Q2155" s="2"/>
    </row>
    <row r="2156" spans="17:17">
      <c r="Q2156" s="2"/>
    </row>
    <row r="2157" spans="17:17">
      <c r="Q2157" s="2"/>
    </row>
    <row r="2158" spans="17:17">
      <c r="Q2158" s="2"/>
    </row>
    <row r="2159" spans="17:17">
      <c r="Q2159" s="2"/>
    </row>
    <row r="2160" spans="17:17">
      <c r="Q2160" s="2"/>
    </row>
    <row r="2161" spans="17:17">
      <c r="Q2161" s="2"/>
    </row>
    <row r="2162" spans="17:17">
      <c r="Q2162" s="2"/>
    </row>
    <row r="2163" spans="17:17">
      <c r="Q2163" s="2"/>
    </row>
    <row r="2164" spans="17:17">
      <c r="Q2164" s="2"/>
    </row>
    <row r="2165" spans="17:17">
      <c r="Q2165" s="2"/>
    </row>
    <row r="2166" spans="17:17">
      <c r="Q2166" s="2"/>
    </row>
    <row r="2167" spans="17:17">
      <c r="Q2167" s="2"/>
    </row>
    <row r="2168" spans="17:17">
      <c r="Q2168" s="2"/>
    </row>
    <row r="2169" spans="17:17">
      <c r="Q2169" s="2"/>
    </row>
    <row r="2170" spans="17:17">
      <c r="Q2170" s="2"/>
    </row>
    <row r="2171" spans="17:17">
      <c r="Q2171" s="2"/>
    </row>
    <row r="2172" spans="17:17">
      <c r="Q2172" s="2"/>
    </row>
    <row r="2173" spans="17:17">
      <c r="Q2173" s="2"/>
    </row>
    <row r="2174" spans="17:17">
      <c r="Q2174" s="2"/>
    </row>
    <row r="2175" spans="17:17">
      <c r="Q2175" s="2"/>
    </row>
    <row r="2176" spans="17:17">
      <c r="Q2176" s="2"/>
    </row>
    <row r="2177" spans="17:17">
      <c r="Q2177" s="2"/>
    </row>
    <row r="2178" spans="17:17">
      <c r="Q2178" s="2"/>
    </row>
    <row r="2179" spans="17:17">
      <c r="Q2179" s="2"/>
    </row>
    <row r="2180" spans="17:17">
      <c r="Q2180" s="2"/>
    </row>
    <row r="2181" spans="17:17">
      <c r="Q2181" s="2"/>
    </row>
    <row r="2182" spans="17:17">
      <c r="Q2182" s="2"/>
    </row>
    <row r="2183" spans="17:17">
      <c r="Q2183" s="2"/>
    </row>
    <row r="2184" spans="17:17">
      <c r="Q2184" s="2"/>
    </row>
    <row r="2185" spans="17:17">
      <c r="Q2185" s="2"/>
    </row>
    <row r="2186" spans="17:17">
      <c r="Q2186" s="2"/>
    </row>
    <row r="2187" spans="17:17">
      <c r="Q2187" s="2"/>
    </row>
    <row r="2188" spans="17:17">
      <c r="Q2188" s="2"/>
    </row>
    <row r="2189" spans="17:17">
      <c r="Q2189" s="2"/>
    </row>
    <row r="2190" spans="17:17">
      <c r="Q2190" s="2"/>
    </row>
    <row r="2191" spans="17:17">
      <c r="Q2191" s="2"/>
    </row>
    <row r="2192" spans="17:17">
      <c r="Q2192" s="2"/>
    </row>
    <row r="2193" spans="17:17">
      <c r="Q2193" s="2"/>
    </row>
    <row r="2194" spans="17:17">
      <c r="Q2194" s="2"/>
    </row>
    <row r="2195" spans="17:17">
      <c r="Q2195" s="2"/>
    </row>
    <row r="2196" spans="17:17">
      <c r="Q2196" s="2"/>
    </row>
    <row r="2197" spans="17:17">
      <c r="Q2197" s="2"/>
    </row>
    <row r="2198" spans="17:17">
      <c r="Q2198" s="2"/>
    </row>
    <row r="2199" spans="17:17">
      <c r="Q2199" s="2"/>
    </row>
    <row r="2200" spans="17:17">
      <c r="Q2200" s="2"/>
    </row>
    <row r="2201" spans="17:17">
      <c r="Q2201" s="2"/>
    </row>
    <row r="2202" spans="17:17">
      <c r="Q2202" s="2"/>
    </row>
    <row r="2203" spans="17:17">
      <c r="Q2203" s="2"/>
    </row>
    <row r="2204" spans="17:17">
      <c r="Q2204" s="2"/>
    </row>
    <row r="2205" spans="17:17">
      <c r="Q2205" s="2"/>
    </row>
    <row r="2206" spans="17:17">
      <c r="Q2206" s="2"/>
    </row>
    <row r="2207" spans="17:17">
      <c r="Q2207" s="2"/>
    </row>
    <row r="2208" spans="17:17">
      <c r="Q2208" s="2"/>
    </row>
    <row r="2209" spans="17:17">
      <c r="Q2209" s="2"/>
    </row>
    <row r="2210" spans="17:17">
      <c r="Q2210" s="2"/>
    </row>
    <row r="2211" spans="17:17">
      <c r="Q2211" s="2"/>
    </row>
    <row r="2212" spans="17:17">
      <c r="Q2212" s="2"/>
    </row>
    <row r="2213" spans="17:17">
      <c r="Q2213" s="2"/>
    </row>
    <row r="2214" spans="17:17">
      <c r="Q2214" s="2"/>
    </row>
    <row r="2215" spans="17:17">
      <c r="Q2215" s="2"/>
    </row>
    <row r="2216" spans="17:17">
      <c r="Q2216" s="2"/>
    </row>
    <row r="2217" spans="17:17">
      <c r="Q2217" s="2"/>
    </row>
    <row r="2218" spans="17:17">
      <c r="Q2218" s="2"/>
    </row>
    <row r="2219" spans="17:17">
      <c r="Q2219" s="2"/>
    </row>
    <row r="2220" spans="17:17">
      <c r="Q2220" s="2"/>
    </row>
    <row r="2221" spans="17:17">
      <c r="Q2221" s="2"/>
    </row>
    <row r="2222" spans="17:17">
      <c r="Q2222" s="2"/>
    </row>
    <row r="2223" spans="17:17">
      <c r="Q2223" s="2"/>
    </row>
    <row r="2224" spans="17:17">
      <c r="Q2224" s="2"/>
    </row>
    <row r="2225" spans="17:17">
      <c r="Q2225" s="2"/>
    </row>
    <row r="2226" spans="17:17">
      <c r="Q2226" s="2"/>
    </row>
    <row r="2227" spans="17:17">
      <c r="Q2227" s="2"/>
    </row>
    <row r="2228" spans="17:17">
      <c r="Q2228" s="2"/>
    </row>
    <row r="2229" spans="17:17">
      <c r="Q2229" s="2"/>
    </row>
    <row r="2230" spans="17:17">
      <c r="Q2230" s="2"/>
    </row>
    <row r="2231" spans="17:17">
      <c r="Q2231" s="2"/>
    </row>
    <row r="2232" spans="17:17">
      <c r="Q2232" s="2"/>
    </row>
    <row r="2233" spans="17:17">
      <c r="Q2233" s="2"/>
    </row>
    <row r="2234" spans="17:17">
      <c r="Q2234" s="2"/>
    </row>
    <row r="2235" spans="17:17">
      <c r="Q2235" s="2"/>
    </row>
    <row r="2236" spans="17:17">
      <c r="Q2236" s="2"/>
    </row>
    <row r="2237" spans="17:17">
      <c r="Q2237" s="2"/>
    </row>
    <row r="2238" spans="17:17">
      <c r="Q2238" s="2"/>
    </row>
    <row r="2239" spans="17:17">
      <c r="Q2239" s="2"/>
    </row>
    <row r="2240" spans="17:17">
      <c r="Q2240" s="2"/>
    </row>
    <row r="2241" spans="17:17">
      <c r="Q2241" s="2"/>
    </row>
    <row r="2242" spans="17:17">
      <c r="Q2242" s="2"/>
    </row>
    <row r="2243" spans="17:17">
      <c r="Q2243" s="2"/>
    </row>
    <row r="2244" spans="17:17">
      <c r="Q2244" s="2"/>
    </row>
    <row r="2245" spans="17:17">
      <c r="Q2245" s="2"/>
    </row>
    <row r="2246" spans="17:17">
      <c r="Q2246" s="2"/>
    </row>
    <row r="2247" spans="17:17">
      <c r="Q2247" s="2"/>
    </row>
    <row r="2248" spans="17:17">
      <c r="Q2248" s="2"/>
    </row>
    <row r="2249" spans="17:17">
      <c r="Q2249" s="2"/>
    </row>
    <row r="2250" spans="17:17">
      <c r="Q2250" s="2"/>
    </row>
    <row r="2251" spans="17:17">
      <c r="Q2251" s="2"/>
    </row>
    <row r="2252" spans="17:17">
      <c r="Q2252" s="2"/>
    </row>
    <row r="2253" spans="17:17">
      <c r="Q2253" s="2"/>
    </row>
    <row r="2254" spans="17:17">
      <c r="Q2254" s="2"/>
    </row>
    <row r="2255" spans="17:17">
      <c r="Q2255" s="2"/>
    </row>
    <row r="2256" spans="17:17">
      <c r="Q2256" s="2"/>
    </row>
    <row r="2257" spans="17:17">
      <c r="Q2257" s="2"/>
    </row>
    <row r="2258" spans="17:17">
      <c r="Q2258" s="2"/>
    </row>
    <row r="2259" spans="17:17">
      <c r="Q2259" s="2"/>
    </row>
    <row r="2260" spans="17:17">
      <c r="Q2260" s="2"/>
    </row>
    <row r="2261" spans="17:17">
      <c r="Q2261" s="2"/>
    </row>
    <row r="2262" spans="17:17">
      <c r="Q2262" s="2"/>
    </row>
    <row r="2263" spans="17:17">
      <c r="Q2263" s="2"/>
    </row>
    <row r="2264" spans="17:17">
      <c r="Q2264" s="2"/>
    </row>
    <row r="2265" spans="17:17">
      <c r="Q2265" s="2"/>
    </row>
    <row r="2266" spans="17:17">
      <c r="Q2266" s="2"/>
    </row>
    <row r="2267" spans="17:17">
      <c r="Q2267" s="2"/>
    </row>
    <row r="2268" spans="17:17">
      <c r="Q2268" s="2"/>
    </row>
    <row r="2269" spans="17:17">
      <c r="Q2269" s="2"/>
    </row>
    <row r="2270" spans="17:17">
      <c r="Q2270" s="2"/>
    </row>
    <row r="2271" spans="17:17">
      <c r="Q2271" s="2"/>
    </row>
    <row r="2272" spans="17:17">
      <c r="Q2272" s="2"/>
    </row>
    <row r="2273" spans="17:17">
      <c r="Q2273" s="2"/>
    </row>
    <row r="2274" spans="17:17">
      <c r="Q2274" s="2"/>
    </row>
    <row r="2275" spans="17:17">
      <c r="Q2275" s="2"/>
    </row>
    <row r="2276" spans="17:17">
      <c r="Q2276" s="2"/>
    </row>
    <row r="2277" spans="17:17">
      <c r="Q2277" s="2"/>
    </row>
    <row r="2278" spans="17:17">
      <c r="Q2278" s="2"/>
    </row>
    <row r="2279" spans="17:17">
      <c r="Q2279" s="2"/>
    </row>
    <row r="2280" spans="17:17">
      <c r="Q2280" s="2"/>
    </row>
    <row r="2281" spans="17:17">
      <c r="Q2281" s="2"/>
    </row>
    <row r="2282" spans="17:17">
      <c r="Q2282" s="2"/>
    </row>
    <row r="2283" spans="17:17">
      <c r="Q2283" s="2"/>
    </row>
    <row r="2284" spans="17:17">
      <c r="Q2284" s="2"/>
    </row>
    <row r="2285" spans="17:17">
      <c r="Q2285" s="2"/>
    </row>
    <row r="2286" spans="17:17">
      <c r="Q2286" s="2"/>
    </row>
    <row r="2287" spans="17:17">
      <c r="Q2287" s="2"/>
    </row>
    <row r="2288" spans="17:17">
      <c r="Q2288" s="2"/>
    </row>
    <row r="2289" spans="17:17">
      <c r="Q2289" s="2"/>
    </row>
    <row r="2290" spans="17:17">
      <c r="Q2290" s="2"/>
    </row>
    <row r="2291" spans="17:17">
      <c r="Q2291" s="2"/>
    </row>
    <row r="2292" spans="17:17">
      <c r="Q2292" s="2"/>
    </row>
    <row r="2293" spans="17:17">
      <c r="Q2293" s="2"/>
    </row>
    <row r="2294" spans="17:17">
      <c r="Q2294" s="2"/>
    </row>
    <row r="2295" spans="17:17">
      <c r="Q2295" s="2"/>
    </row>
    <row r="2296" spans="17:17">
      <c r="Q2296" s="2"/>
    </row>
    <row r="2297" spans="17:17">
      <c r="Q2297" s="2"/>
    </row>
    <row r="2298" spans="17:17">
      <c r="Q2298" s="2"/>
    </row>
    <row r="2299" spans="17:17">
      <c r="Q2299" s="2"/>
    </row>
    <row r="2300" spans="17:17">
      <c r="Q2300" s="2"/>
    </row>
    <row r="2301" spans="17:17">
      <c r="Q2301" s="2"/>
    </row>
    <row r="2302" spans="17:17">
      <c r="Q2302" s="2"/>
    </row>
    <row r="2303" spans="17:17">
      <c r="Q2303" s="2"/>
    </row>
    <row r="2304" spans="17:17">
      <c r="Q2304" s="2"/>
    </row>
    <row r="2305" spans="17:17">
      <c r="Q2305" s="2"/>
    </row>
    <row r="2306" spans="17:17">
      <c r="Q2306" s="2"/>
    </row>
    <row r="2307" spans="17:17">
      <c r="Q2307" s="2"/>
    </row>
    <row r="2308" spans="17:17">
      <c r="Q2308" s="2"/>
    </row>
    <row r="2309" spans="17:17">
      <c r="Q2309" s="2"/>
    </row>
    <row r="2310" spans="17:17">
      <c r="Q2310" s="2"/>
    </row>
    <row r="2311" spans="17:17">
      <c r="Q2311" s="2"/>
    </row>
    <row r="2312" spans="17:17">
      <c r="Q2312" s="2"/>
    </row>
    <row r="2313" spans="17:17">
      <c r="Q2313" s="2"/>
    </row>
    <row r="2314" spans="17:17">
      <c r="Q2314" s="2"/>
    </row>
    <row r="2315" spans="17:17">
      <c r="Q2315" s="2"/>
    </row>
    <row r="2316" spans="17:17">
      <c r="Q2316" s="2"/>
    </row>
    <row r="2317" spans="17:17">
      <c r="Q2317" s="2"/>
    </row>
    <row r="2318" spans="17:17">
      <c r="Q2318" s="2"/>
    </row>
    <row r="2319" spans="17:17">
      <c r="Q2319" s="2"/>
    </row>
    <row r="2320" spans="17:17">
      <c r="Q2320" s="2"/>
    </row>
    <row r="2321" spans="17:17">
      <c r="Q2321" s="2"/>
    </row>
    <row r="2322" spans="17:17">
      <c r="Q2322" s="2"/>
    </row>
    <row r="2323" spans="17:17">
      <c r="Q2323" s="2"/>
    </row>
    <row r="2324" spans="17:17">
      <c r="Q2324" s="2"/>
    </row>
    <row r="2325" spans="17:17">
      <c r="Q2325" s="2"/>
    </row>
    <row r="2326" spans="17:17">
      <c r="Q2326" s="2"/>
    </row>
    <row r="2327" spans="17:17">
      <c r="Q2327" s="2"/>
    </row>
    <row r="2328" spans="17:17">
      <c r="Q2328" s="2"/>
    </row>
    <row r="2329" spans="17:17">
      <c r="Q2329" s="2"/>
    </row>
    <row r="2330" spans="17:17">
      <c r="Q2330" s="2"/>
    </row>
    <row r="2331" spans="17:17">
      <c r="Q2331" s="2"/>
    </row>
    <row r="2332" spans="17:17">
      <c r="Q2332" s="2"/>
    </row>
    <row r="2333" spans="17:17">
      <c r="Q2333" s="2"/>
    </row>
    <row r="2334" spans="17:17">
      <c r="Q2334" s="2"/>
    </row>
    <row r="2335" spans="17:17">
      <c r="Q2335" s="2"/>
    </row>
    <row r="2336" spans="17:17">
      <c r="Q2336" s="2"/>
    </row>
    <row r="2337" spans="17:17">
      <c r="Q2337" s="2"/>
    </row>
    <row r="2338" spans="17:17">
      <c r="Q2338" s="2"/>
    </row>
    <row r="2339" spans="17:17">
      <c r="Q2339" s="2"/>
    </row>
    <row r="2340" spans="17:17">
      <c r="Q2340" s="2"/>
    </row>
    <row r="2341" spans="17:17">
      <c r="Q2341" s="2"/>
    </row>
    <row r="2342" spans="17:17">
      <c r="Q2342" s="2"/>
    </row>
    <row r="2343" spans="17:17">
      <c r="Q2343" s="2"/>
    </row>
    <row r="2344" spans="17:17">
      <c r="Q2344" s="2"/>
    </row>
    <row r="2345" spans="17:17">
      <c r="Q2345" s="2"/>
    </row>
    <row r="2346" spans="17:17">
      <c r="Q2346" s="2"/>
    </row>
    <row r="2347" spans="17:17">
      <c r="Q2347" s="2"/>
    </row>
    <row r="2348" spans="17:17">
      <c r="Q2348" s="2"/>
    </row>
    <row r="2349" spans="17:17">
      <c r="Q2349" s="2"/>
    </row>
    <row r="2350" spans="17:17">
      <c r="Q2350" s="2"/>
    </row>
    <row r="2351" spans="17:17">
      <c r="Q2351" s="2"/>
    </row>
    <row r="2352" spans="17:17">
      <c r="Q2352" s="2"/>
    </row>
    <row r="2353" spans="17:17">
      <c r="Q2353" s="2"/>
    </row>
    <row r="2354" spans="17:17">
      <c r="Q2354" s="2"/>
    </row>
    <row r="2355" spans="17:17">
      <c r="Q2355" s="2"/>
    </row>
    <row r="2356" spans="17:17">
      <c r="Q2356" s="2"/>
    </row>
    <row r="2357" spans="17:17">
      <c r="Q2357" s="2"/>
    </row>
    <row r="2358" spans="17:17">
      <c r="Q2358" s="2"/>
    </row>
    <row r="2359" spans="17:17">
      <c r="Q2359" s="2"/>
    </row>
    <row r="2360" spans="17:17">
      <c r="Q2360" s="2"/>
    </row>
    <row r="2361" spans="17:17">
      <c r="Q2361" s="2"/>
    </row>
    <row r="2362" spans="17:17">
      <c r="Q2362" s="2"/>
    </row>
    <row r="2363" spans="17:17">
      <c r="Q2363" s="2"/>
    </row>
    <row r="2364" spans="17:17">
      <c r="Q2364" s="2"/>
    </row>
    <row r="2365" spans="17:17">
      <c r="Q2365" s="2"/>
    </row>
    <row r="2366" spans="17:17">
      <c r="Q2366" s="2"/>
    </row>
    <row r="2367" spans="17:17">
      <c r="Q2367" s="2"/>
    </row>
    <row r="2368" spans="17:17">
      <c r="Q2368" s="2"/>
    </row>
    <row r="2369" spans="17:17">
      <c r="Q2369" s="2"/>
    </row>
    <row r="2370" spans="17:17">
      <c r="Q2370" s="2"/>
    </row>
    <row r="2371" spans="17:17">
      <c r="Q2371" s="2"/>
    </row>
    <row r="2372" spans="17:17">
      <c r="Q2372" s="2"/>
    </row>
    <row r="2373" spans="17:17">
      <c r="Q2373" s="2"/>
    </row>
    <row r="2374" spans="17:17">
      <c r="Q2374" s="2"/>
    </row>
    <row r="2375" spans="17:17">
      <c r="Q2375" s="2"/>
    </row>
    <row r="2376" spans="17:17">
      <c r="Q2376" s="2"/>
    </row>
    <row r="2377" spans="17:17">
      <c r="Q2377" s="2"/>
    </row>
    <row r="2378" spans="17:17">
      <c r="Q2378" s="2"/>
    </row>
    <row r="2379" spans="17:17">
      <c r="Q2379" s="2"/>
    </row>
    <row r="2380" spans="17:17">
      <c r="Q2380" s="2"/>
    </row>
    <row r="2381" spans="17:17">
      <c r="Q2381" s="2"/>
    </row>
    <row r="2382" spans="17:17">
      <c r="Q2382" s="2"/>
    </row>
    <row r="2383" spans="17:17">
      <c r="Q2383" s="2"/>
    </row>
    <row r="2384" spans="17:17">
      <c r="Q2384" s="2"/>
    </row>
    <row r="2385" spans="17:17">
      <c r="Q2385" s="2"/>
    </row>
    <row r="2386" spans="17:17">
      <c r="Q2386" s="2"/>
    </row>
    <row r="2387" spans="17:17">
      <c r="Q2387" s="2"/>
    </row>
    <row r="2388" spans="17:17">
      <c r="Q2388" s="2"/>
    </row>
    <row r="2389" spans="17:17">
      <c r="Q2389" s="2"/>
    </row>
    <row r="2390" spans="17:17">
      <c r="Q2390" s="2"/>
    </row>
    <row r="2391" spans="17:17">
      <c r="Q2391" s="2"/>
    </row>
    <row r="2392" spans="17:17">
      <c r="Q2392" s="2"/>
    </row>
    <row r="2393" spans="17:17">
      <c r="Q2393" s="2"/>
    </row>
    <row r="2394" spans="17:17">
      <c r="Q2394" s="2"/>
    </row>
    <row r="2395" spans="17:17">
      <c r="Q2395" s="2"/>
    </row>
    <row r="2396" spans="17:17">
      <c r="Q2396" s="2"/>
    </row>
    <row r="2397" spans="17:17">
      <c r="Q2397" s="2"/>
    </row>
    <row r="2398" spans="17:17">
      <c r="Q2398" s="2"/>
    </row>
    <row r="2399" spans="17:17">
      <c r="Q2399" s="2"/>
    </row>
    <row r="2400" spans="17:17">
      <c r="Q2400" s="2"/>
    </row>
    <row r="2401" spans="17:17">
      <c r="Q2401" s="2"/>
    </row>
    <row r="2402" spans="17:17">
      <c r="Q2402" s="2"/>
    </row>
    <row r="2403" spans="17:17">
      <c r="Q2403" s="2"/>
    </row>
    <row r="2404" spans="17:17">
      <c r="Q2404" s="2"/>
    </row>
    <row r="2405" spans="17:17">
      <c r="Q2405" s="2"/>
    </row>
    <row r="2406" spans="17:17">
      <c r="Q2406" s="2"/>
    </row>
    <row r="2407" spans="17:17">
      <c r="Q2407" s="2"/>
    </row>
    <row r="2408" spans="17:17">
      <c r="Q2408" s="2"/>
    </row>
    <row r="2409" spans="17:17">
      <c r="Q2409" s="2"/>
    </row>
    <row r="2410" spans="17:17">
      <c r="Q2410" s="2"/>
    </row>
    <row r="2411" spans="17:17">
      <c r="Q2411" s="2"/>
    </row>
    <row r="2412" spans="17:17">
      <c r="Q2412" s="2"/>
    </row>
    <row r="2413" spans="17:17">
      <c r="Q2413" s="2"/>
    </row>
    <row r="2414" spans="17:17">
      <c r="Q2414" s="2"/>
    </row>
    <row r="2415" spans="17:17">
      <c r="Q2415" s="2"/>
    </row>
    <row r="2416" spans="17:17">
      <c r="Q2416" s="2"/>
    </row>
    <row r="2417" spans="17:17">
      <c r="Q2417" s="2"/>
    </row>
    <row r="2418" spans="17:17">
      <c r="Q2418" s="2"/>
    </row>
    <row r="2419" spans="17:17">
      <c r="Q2419" s="2"/>
    </row>
    <row r="2420" spans="17:17">
      <c r="Q2420" s="2"/>
    </row>
    <row r="2421" spans="17:17">
      <c r="Q2421" s="2"/>
    </row>
    <row r="2422" spans="17:17">
      <c r="Q2422" s="2"/>
    </row>
    <row r="2423" spans="17:17">
      <c r="Q2423" s="2"/>
    </row>
    <row r="2424" spans="17:17">
      <c r="Q2424" s="2"/>
    </row>
    <row r="2425" spans="17:17">
      <c r="Q2425" s="2"/>
    </row>
    <row r="2426" spans="17:17">
      <c r="Q2426" s="2"/>
    </row>
    <row r="2427" spans="17:17">
      <c r="Q2427" s="2"/>
    </row>
    <row r="2428" spans="17:17">
      <c r="Q2428" s="2"/>
    </row>
    <row r="2429" spans="17:17">
      <c r="Q2429" s="2"/>
    </row>
    <row r="2430" spans="17:17">
      <c r="Q2430" s="2"/>
    </row>
    <row r="2431" spans="17:17">
      <c r="Q2431" s="2"/>
    </row>
    <row r="2432" spans="17:17">
      <c r="Q2432" s="2"/>
    </row>
    <row r="2433" spans="17:17">
      <c r="Q2433" s="2"/>
    </row>
    <row r="2434" spans="17:17">
      <c r="Q2434" s="2"/>
    </row>
    <row r="2435" spans="17:17">
      <c r="Q2435" s="2"/>
    </row>
    <row r="2436" spans="17:17">
      <c r="Q2436" s="2"/>
    </row>
    <row r="2437" spans="17:17">
      <c r="Q2437" s="2"/>
    </row>
    <row r="2438" spans="17:17">
      <c r="Q2438" s="2"/>
    </row>
    <row r="2439" spans="17:17">
      <c r="Q2439" s="2"/>
    </row>
    <row r="2440" spans="17:17">
      <c r="Q2440" s="2"/>
    </row>
    <row r="2441" spans="17:17">
      <c r="Q2441" s="2"/>
    </row>
    <row r="2442" spans="17:17">
      <c r="Q2442" s="2"/>
    </row>
    <row r="2443" spans="17:17">
      <c r="Q2443" s="2"/>
    </row>
    <row r="2444" spans="17:17">
      <c r="Q2444" s="2"/>
    </row>
    <row r="2445" spans="17:17">
      <c r="Q2445" s="2"/>
    </row>
    <row r="2446" spans="17:17">
      <c r="Q2446" s="2"/>
    </row>
    <row r="2447" spans="17:17">
      <c r="Q2447" s="2"/>
    </row>
    <row r="2448" spans="17:17">
      <c r="Q2448" s="2"/>
    </row>
    <row r="2449" spans="17:17">
      <c r="Q2449" s="2"/>
    </row>
    <row r="2450" spans="17:17">
      <c r="Q2450" s="2"/>
    </row>
    <row r="2451" spans="17:17">
      <c r="Q2451" s="2"/>
    </row>
    <row r="2452" spans="17:17">
      <c r="Q2452" s="2"/>
    </row>
    <row r="2453" spans="17:17">
      <c r="Q2453" s="2"/>
    </row>
    <row r="2454" spans="17:17">
      <c r="Q2454" s="2"/>
    </row>
    <row r="2455" spans="17:17">
      <c r="Q2455" s="2"/>
    </row>
    <row r="2456" spans="17:17">
      <c r="Q2456" s="2"/>
    </row>
    <row r="2457" spans="17:17">
      <c r="Q2457" s="2"/>
    </row>
    <row r="2458" spans="17:17">
      <c r="Q2458" s="2"/>
    </row>
    <row r="2459" spans="17:17">
      <c r="Q2459" s="2"/>
    </row>
    <row r="2460" spans="17:17">
      <c r="Q2460" s="2"/>
    </row>
    <row r="2461" spans="17:17">
      <c r="Q2461" s="2"/>
    </row>
    <row r="2462" spans="17:17">
      <c r="Q2462" s="2"/>
    </row>
    <row r="2463" spans="17:17">
      <c r="Q2463" s="2"/>
    </row>
    <row r="2464" spans="17:17">
      <c r="Q2464" s="2"/>
    </row>
    <row r="2465" spans="17:17">
      <c r="Q2465" s="2"/>
    </row>
    <row r="2466" spans="17:17">
      <c r="Q2466" s="2"/>
    </row>
    <row r="2467" spans="17:17">
      <c r="Q2467" s="2"/>
    </row>
    <row r="2468" spans="17:17">
      <c r="Q2468" s="2"/>
    </row>
    <row r="2469" spans="17:17">
      <c r="Q2469" s="2"/>
    </row>
    <row r="2470" spans="17:17">
      <c r="Q2470" s="2"/>
    </row>
    <row r="2471" spans="17:17">
      <c r="Q2471" s="2"/>
    </row>
    <row r="2472" spans="17:17">
      <c r="Q2472" s="2"/>
    </row>
    <row r="2473" spans="17:17">
      <c r="Q2473" s="2"/>
    </row>
    <row r="2474" spans="17:17">
      <c r="Q2474" s="2"/>
    </row>
    <row r="2475" spans="17:17">
      <c r="Q2475" s="2"/>
    </row>
    <row r="2476" spans="17:17">
      <c r="Q2476" s="2"/>
    </row>
    <row r="2477" spans="17:17">
      <c r="Q2477" s="2"/>
    </row>
    <row r="2478" spans="17:17">
      <c r="Q2478" s="2"/>
    </row>
    <row r="2479" spans="17:17">
      <c r="Q2479" s="2"/>
    </row>
    <row r="2480" spans="17:17">
      <c r="Q2480" s="2"/>
    </row>
    <row r="2481" spans="17:17">
      <c r="Q2481" s="2"/>
    </row>
    <row r="2482" spans="17:17">
      <c r="Q2482" s="2"/>
    </row>
    <row r="2483" spans="17:17">
      <c r="Q2483" s="2"/>
    </row>
    <row r="2484" spans="17:17">
      <c r="Q2484" s="2"/>
    </row>
    <row r="2485" spans="17:17">
      <c r="Q2485" s="2"/>
    </row>
    <row r="2486" spans="17:17">
      <c r="Q2486" s="2"/>
    </row>
    <row r="2487" spans="17:17">
      <c r="Q2487" s="2"/>
    </row>
    <row r="2488" spans="17:17">
      <c r="Q2488" s="2"/>
    </row>
    <row r="2489" spans="17:17">
      <c r="Q2489" s="2"/>
    </row>
    <row r="2490" spans="17:17">
      <c r="Q2490" s="2"/>
    </row>
    <row r="2491" spans="17:17">
      <c r="Q2491" s="2"/>
    </row>
    <row r="2492" spans="17:17">
      <c r="Q2492" s="2"/>
    </row>
    <row r="2493" spans="17:17">
      <c r="Q2493" s="2"/>
    </row>
    <row r="2494" spans="17:17">
      <c r="Q2494" s="2"/>
    </row>
    <row r="2495" spans="17:17">
      <c r="Q2495" s="2"/>
    </row>
    <row r="2496" spans="17:17">
      <c r="Q2496" s="2"/>
    </row>
    <row r="2497" spans="17:17">
      <c r="Q2497" s="2"/>
    </row>
    <row r="2498" spans="17:17">
      <c r="Q2498" s="2"/>
    </row>
    <row r="2499" spans="17:17">
      <c r="Q2499" s="2"/>
    </row>
    <row r="2500" spans="17:17">
      <c r="Q2500" s="2"/>
    </row>
    <row r="2501" spans="17:17">
      <c r="Q2501" s="2"/>
    </row>
    <row r="2502" spans="17:17">
      <c r="Q2502" s="2"/>
    </row>
    <row r="2503" spans="17:17">
      <c r="Q2503" s="2"/>
    </row>
    <row r="2504" spans="17:17">
      <c r="Q2504" s="2"/>
    </row>
    <row r="2505" spans="17:17">
      <c r="Q2505" s="2"/>
    </row>
    <row r="2506" spans="17:17">
      <c r="Q2506" s="2"/>
    </row>
    <row r="2507" spans="17:17">
      <c r="Q2507" s="2"/>
    </row>
    <row r="2508" spans="17:17">
      <c r="Q2508" s="2"/>
    </row>
    <row r="2509" spans="17:17">
      <c r="Q2509" s="2"/>
    </row>
    <row r="2510" spans="17:17">
      <c r="Q2510" s="2"/>
    </row>
    <row r="2511" spans="17:17">
      <c r="Q2511" s="2"/>
    </row>
    <row r="2512" spans="17:17">
      <c r="Q2512" s="2"/>
    </row>
    <row r="2513" spans="17:17">
      <c r="Q2513" s="2"/>
    </row>
    <row r="2514" spans="17:17">
      <c r="Q2514" s="2"/>
    </row>
    <row r="2515" spans="17:17">
      <c r="Q2515" s="2"/>
    </row>
    <row r="2516" spans="17:17">
      <c r="Q2516" s="2"/>
    </row>
    <row r="2517" spans="17:17">
      <c r="Q2517" s="2"/>
    </row>
    <row r="2518" spans="17:17">
      <c r="Q2518" s="2"/>
    </row>
    <row r="2519" spans="17:17">
      <c r="Q2519" s="2"/>
    </row>
    <row r="2520" spans="17:17">
      <c r="Q2520" s="2"/>
    </row>
    <row r="2521" spans="17:17">
      <c r="Q2521" s="2"/>
    </row>
    <row r="2522" spans="17:17">
      <c r="Q2522" s="2"/>
    </row>
    <row r="2523" spans="17:17">
      <c r="Q2523" s="2"/>
    </row>
    <row r="2524" spans="17:17">
      <c r="Q2524" s="2"/>
    </row>
    <row r="2525" spans="17:17">
      <c r="Q2525" s="2"/>
    </row>
    <row r="2526" spans="17:17">
      <c r="Q2526" s="2"/>
    </row>
    <row r="2527" spans="17:17">
      <c r="Q2527" s="2"/>
    </row>
    <row r="2528" spans="17:17">
      <c r="Q2528" s="2"/>
    </row>
    <row r="2529" spans="17:17">
      <c r="Q2529" s="2"/>
    </row>
    <row r="2530" spans="17:17">
      <c r="Q2530" s="2"/>
    </row>
    <row r="2531" spans="17:17">
      <c r="Q2531" s="2"/>
    </row>
    <row r="2532" spans="17:17">
      <c r="Q2532" s="2"/>
    </row>
    <row r="2533" spans="17:17">
      <c r="Q2533" s="2"/>
    </row>
    <row r="2534" spans="17:17">
      <c r="Q2534" s="2"/>
    </row>
    <row r="2535" spans="17:17">
      <c r="Q2535" s="2"/>
    </row>
    <row r="2536" spans="17:17">
      <c r="Q2536" s="2"/>
    </row>
    <row r="2537" spans="17:17">
      <c r="Q2537" s="2"/>
    </row>
    <row r="2538" spans="17:17">
      <c r="Q2538" s="2"/>
    </row>
    <row r="2539" spans="17:17">
      <c r="Q2539" s="2"/>
    </row>
    <row r="2540" spans="17:17">
      <c r="Q2540" s="2"/>
    </row>
    <row r="2541" spans="17:17">
      <c r="Q2541" s="2"/>
    </row>
    <row r="2542" spans="17:17">
      <c r="Q2542" s="2"/>
    </row>
    <row r="2543" spans="17:17">
      <c r="Q2543" s="2"/>
    </row>
    <row r="2544" spans="17:17">
      <c r="Q2544" s="2"/>
    </row>
    <row r="2545" spans="17:17">
      <c r="Q2545" s="2"/>
    </row>
    <row r="2546" spans="17:17">
      <c r="Q2546" s="2"/>
    </row>
    <row r="2547" spans="17:17">
      <c r="Q2547" s="2"/>
    </row>
    <row r="2548" spans="17:17">
      <c r="Q2548" s="2"/>
    </row>
    <row r="2549" spans="17:17">
      <c r="Q2549" s="2"/>
    </row>
    <row r="2550" spans="17:17">
      <c r="Q2550" s="2"/>
    </row>
    <row r="2551" spans="17:17">
      <c r="Q2551" s="2"/>
    </row>
    <row r="2552" spans="17:17">
      <c r="Q2552" s="2"/>
    </row>
    <row r="2553" spans="17:17">
      <c r="Q2553" s="2"/>
    </row>
    <row r="2554" spans="17:17">
      <c r="Q2554" s="2"/>
    </row>
    <row r="2555" spans="17:17">
      <c r="Q2555" s="2"/>
    </row>
    <row r="2556" spans="17:17">
      <c r="Q2556" s="2"/>
    </row>
    <row r="2557" spans="17:17">
      <c r="Q2557" s="2"/>
    </row>
    <row r="2558" spans="17:17">
      <c r="Q2558" s="2"/>
    </row>
    <row r="2559" spans="17:17">
      <c r="Q2559" s="2"/>
    </row>
    <row r="2560" spans="17:17">
      <c r="Q2560" s="2"/>
    </row>
    <row r="2561" spans="17:17">
      <c r="Q2561" s="2"/>
    </row>
    <row r="2562" spans="17:17">
      <c r="Q2562" s="2"/>
    </row>
    <row r="2563" spans="17:17">
      <c r="Q2563" s="2"/>
    </row>
    <row r="2564" spans="17:17">
      <c r="Q2564" s="2"/>
    </row>
    <row r="2565" spans="17:17">
      <c r="Q2565" s="2"/>
    </row>
    <row r="2566" spans="17:17">
      <c r="Q2566" s="2"/>
    </row>
    <row r="2567" spans="17:17">
      <c r="Q2567" s="2"/>
    </row>
    <row r="2568" spans="17:17">
      <c r="Q2568" s="2"/>
    </row>
    <row r="2569" spans="17:17">
      <c r="Q2569" s="2"/>
    </row>
    <row r="2570" spans="17:17">
      <c r="Q2570" s="2"/>
    </row>
    <row r="2571" spans="17:17">
      <c r="Q2571" s="2"/>
    </row>
    <row r="2572" spans="17:17">
      <c r="Q2572" s="2"/>
    </row>
    <row r="2573" spans="17:17">
      <c r="Q2573" s="2"/>
    </row>
    <row r="2574" spans="17:17">
      <c r="Q2574" s="2"/>
    </row>
    <row r="2575" spans="17:17">
      <c r="Q2575" s="2"/>
    </row>
    <row r="2576" spans="17:17">
      <c r="Q2576" s="2"/>
    </row>
    <row r="2577" spans="17:17">
      <c r="Q2577" s="2"/>
    </row>
    <row r="2578" spans="17:17">
      <c r="Q2578" s="2"/>
    </row>
    <row r="2579" spans="17:17">
      <c r="Q2579" s="2"/>
    </row>
    <row r="2580" spans="17:17">
      <c r="Q2580" s="2"/>
    </row>
    <row r="2581" spans="17:17">
      <c r="Q2581" s="2"/>
    </row>
    <row r="2582" spans="17:17">
      <c r="Q2582" s="2"/>
    </row>
    <row r="2583" spans="17:17">
      <c r="Q2583" s="2"/>
    </row>
    <row r="2584" spans="17:17">
      <c r="Q2584" s="2"/>
    </row>
    <row r="2585" spans="17:17">
      <c r="Q2585" s="2"/>
    </row>
    <row r="2586" spans="17:17">
      <c r="Q2586" s="2"/>
    </row>
    <row r="2587" spans="17:17">
      <c r="Q2587" s="2"/>
    </row>
    <row r="2588" spans="17:17">
      <c r="Q2588" s="2"/>
    </row>
    <row r="2589" spans="17:17">
      <c r="Q2589" s="2"/>
    </row>
    <row r="2590" spans="17:17">
      <c r="Q2590" s="2"/>
    </row>
    <row r="2591" spans="17:17">
      <c r="Q2591" s="2"/>
    </row>
    <row r="2592" spans="17:17">
      <c r="Q2592" s="2"/>
    </row>
    <row r="2593" spans="17:17">
      <c r="Q2593" s="2"/>
    </row>
    <row r="2594" spans="17:17">
      <c r="Q2594" s="2"/>
    </row>
    <row r="2595" spans="17:17">
      <c r="Q2595" s="2"/>
    </row>
    <row r="2596" spans="17:17">
      <c r="Q2596" s="2"/>
    </row>
    <row r="2597" spans="17:17">
      <c r="Q2597" s="2"/>
    </row>
    <row r="2598" spans="17:17">
      <c r="Q2598" s="2"/>
    </row>
    <row r="2599" spans="17:17">
      <c r="Q2599" s="2"/>
    </row>
    <row r="2600" spans="17:17">
      <c r="Q2600" s="2"/>
    </row>
    <row r="2601" spans="17:17">
      <c r="Q2601" s="2"/>
    </row>
    <row r="2602" spans="17:17">
      <c r="Q2602" s="2"/>
    </row>
    <row r="2603" spans="17:17">
      <c r="Q2603" s="2"/>
    </row>
    <row r="2604" spans="17:17">
      <c r="Q2604" s="2"/>
    </row>
    <row r="2605" spans="17:17">
      <c r="Q2605" s="2"/>
    </row>
    <row r="2606" spans="17:17">
      <c r="Q2606" s="2"/>
    </row>
    <row r="2607" spans="17:17">
      <c r="Q2607" s="2"/>
    </row>
    <row r="2608" spans="17:17">
      <c r="Q2608" s="2"/>
    </row>
    <row r="2609" spans="17:17">
      <c r="Q2609" s="2"/>
    </row>
    <row r="2610" spans="17:17">
      <c r="Q2610" s="2"/>
    </row>
    <row r="2611" spans="17:17">
      <c r="Q2611" s="2"/>
    </row>
    <row r="2612" spans="17:17">
      <c r="Q2612" s="2"/>
    </row>
    <row r="2613" spans="17:17">
      <c r="Q2613" s="2"/>
    </row>
    <row r="2614" spans="17:17">
      <c r="Q2614" s="2"/>
    </row>
    <row r="2615" spans="17:17">
      <c r="Q2615" s="2"/>
    </row>
    <row r="2616" spans="17:17">
      <c r="Q2616" s="2"/>
    </row>
    <row r="2617" spans="17:17">
      <c r="Q2617" s="2"/>
    </row>
    <row r="2618" spans="17:17">
      <c r="Q2618" s="2"/>
    </row>
    <row r="2619" spans="17:17">
      <c r="Q2619" s="2"/>
    </row>
    <row r="2620" spans="17:17">
      <c r="Q2620" s="2"/>
    </row>
    <row r="2621" spans="17:17">
      <c r="Q2621" s="2"/>
    </row>
    <row r="2622" spans="17:17">
      <c r="Q2622" s="2"/>
    </row>
    <row r="2623" spans="17:17">
      <c r="Q2623" s="2"/>
    </row>
    <row r="2624" spans="17:17">
      <c r="Q2624" s="2"/>
    </row>
    <row r="2625" spans="17:17">
      <c r="Q2625" s="2"/>
    </row>
    <row r="2626" spans="17:17">
      <c r="Q2626" s="2"/>
    </row>
    <row r="2627" spans="17:17">
      <c r="Q2627" s="2"/>
    </row>
    <row r="2628" spans="17:17">
      <c r="Q2628" s="2"/>
    </row>
    <row r="2629" spans="17:17">
      <c r="Q2629" s="2"/>
    </row>
    <row r="2630" spans="17:17">
      <c r="Q2630" s="2"/>
    </row>
    <row r="2631" spans="17:17">
      <c r="Q2631" s="2"/>
    </row>
    <row r="2632" spans="17:17">
      <c r="Q2632" s="2"/>
    </row>
    <row r="2633" spans="17:17">
      <c r="Q2633" s="2"/>
    </row>
    <row r="2634" spans="17:17">
      <c r="Q2634" s="2"/>
    </row>
    <row r="2635" spans="17:17">
      <c r="Q2635" s="2"/>
    </row>
    <row r="2636" spans="17:17">
      <c r="Q2636" s="2"/>
    </row>
    <row r="2637" spans="17:17">
      <c r="Q2637" s="2"/>
    </row>
    <row r="2638" spans="17:17">
      <c r="Q2638" s="2"/>
    </row>
    <row r="2639" spans="17:17">
      <c r="Q2639" s="2"/>
    </row>
    <row r="2640" spans="17:17">
      <c r="Q2640" s="2"/>
    </row>
    <row r="2641" spans="17:17">
      <c r="Q2641" s="2"/>
    </row>
    <row r="2642" spans="17:17">
      <c r="Q2642" s="2"/>
    </row>
    <row r="2643" spans="17:17">
      <c r="Q2643" s="2"/>
    </row>
    <row r="2644" spans="17:17">
      <c r="Q2644" s="2"/>
    </row>
    <row r="2645" spans="17:17">
      <c r="Q2645" s="2"/>
    </row>
    <row r="2646" spans="17:17">
      <c r="Q2646" s="2"/>
    </row>
    <row r="2647" spans="17:17">
      <c r="Q2647" s="2"/>
    </row>
    <row r="2648" spans="17:17">
      <c r="Q2648" s="2"/>
    </row>
    <row r="2649" spans="17:17">
      <c r="Q2649" s="2"/>
    </row>
    <row r="2650" spans="17:17">
      <c r="Q2650" s="2"/>
    </row>
    <row r="2651" spans="17:17">
      <c r="Q2651" s="2"/>
    </row>
    <row r="2652" spans="17:17">
      <c r="Q2652" s="2"/>
    </row>
    <row r="2653" spans="17:17">
      <c r="Q2653" s="2"/>
    </row>
    <row r="2654" spans="17:17">
      <c r="Q2654" s="2"/>
    </row>
    <row r="2655" spans="17:17">
      <c r="Q2655" s="2"/>
    </row>
    <row r="2656" spans="17:17">
      <c r="Q2656" s="2"/>
    </row>
    <row r="2657" spans="17:17">
      <c r="Q2657" s="2"/>
    </row>
    <row r="2658" spans="17:17">
      <c r="Q2658" s="2"/>
    </row>
    <row r="2659" spans="17:17">
      <c r="Q2659" s="2"/>
    </row>
    <row r="2660" spans="17:17">
      <c r="Q2660" s="2"/>
    </row>
    <row r="2661" spans="17:17">
      <c r="Q2661" s="2"/>
    </row>
    <row r="2662" spans="17:17">
      <c r="Q2662" s="2"/>
    </row>
    <row r="2663" spans="17:17">
      <c r="Q2663" s="2"/>
    </row>
    <row r="2664" spans="17:17">
      <c r="Q2664" s="2"/>
    </row>
    <row r="2665" spans="17:17">
      <c r="Q2665" s="2"/>
    </row>
    <row r="2666" spans="17:17">
      <c r="Q2666" s="2"/>
    </row>
    <row r="2667" spans="17:17">
      <c r="Q2667" s="2"/>
    </row>
    <row r="2668" spans="17:17">
      <c r="Q2668" s="2"/>
    </row>
    <row r="2669" spans="17:17">
      <c r="Q2669" s="2"/>
    </row>
    <row r="2670" spans="17:17">
      <c r="Q2670" s="2"/>
    </row>
    <row r="2671" spans="17:17">
      <c r="Q2671" s="2"/>
    </row>
    <row r="2672" spans="17:17">
      <c r="Q2672" s="2"/>
    </row>
    <row r="2673" spans="17:17">
      <c r="Q2673" s="2"/>
    </row>
    <row r="2674" spans="17:17">
      <c r="Q2674" s="2"/>
    </row>
    <row r="2675" spans="17:17">
      <c r="Q2675" s="2"/>
    </row>
    <row r="2676" spans="17:17">
      <c r="Q2676" s="2"/>
    </row>
    <row r="2677" spans="17:17">
      <c r="Q2677" s="2"/>
    </row>
    <row r="2678" spans="17:17">
      <c r="Q2678" s="2"/>
    </row>
    <row r="2679" spans="17:17">
      <c r="Q2679" s="2"/>
    </row>
    <row r="2680" spans="17:17">
      <c r="Q2680" s="2"/>
    </row>
    <row r="2681" spans="17:17">
      <c r="Q2681" s="2"/>
    </row>
    <row r="2682" spans="17:17">
      <c r="Q2682" s="2"/>
    </row>
    <row r="2683" spans="17:17">
      <c r="Q2683" s="2"/>
    </row>
    <row r="2684" spans="17:17">
      <c r="Q2684" s="2"/>
    </row>
    <row r="2685" spans="17:17">
      <c r="Q2685" s="2"/>
    </row>
    <row r="2686" spans="17:17">
      <c r="Q2686" s="2"/>
    </row>
    <row r="2687" spans="17:17">
      <c r="Q2687" s="2"/>
    </row>
    <row r="2688" spans="17:17">
      <c r="Q2688" s="2"/>
    </row>
    <row r="2689" spans="17:17">
      <c r="Q2689" s="2"/>
    </row>
    <row r="2690" spans="17:17">
      <c r="Q2690" s="2"/>
    </row>
    <row r="2691" spans="17:17">
      <c r="Q2691" s="2"/>
    </row>
    <row r="2692" spans="17:17">
      <c r="Q2692" s="2"/>
    </row>
    <row r="2693" spans="17:17">
      <c r="Q2693" s="2"/>
    </row>
    <row r="2694" spans="17:17">
      <c r="Q2694" s="2"/>
    </row>
    <row r="2695" spans="17:17">
      <c r="Q2695" s="2"/>
    </row>
    <row r="2696" spans="17:17">
      <c r="Q2696" s="2"/>
    </row>
    <row r="2697" spans="17:17">
      <c r="Q2697" s="2"/>
    </row>
    <row r="2698" spans="17:17">
      <c r="Q2698" s="2"/>
    </row>
    <row r="2699" spans="17:17">
      <c r="Q2699" s="2"/>
    </row>
    <row r="2700" spans="17:17">
      <c r="Q2700" s="2"/>
    </row>
    <row r="2701" spans="17:17">
      <c r="Q2701" s="2"/>
    </row>
    <row r="2702" spans="17:17">
      <c r="Q2702" s="2"/>
    </row>
    <row r="2703" spans="17:17">
      <c r="Q2703" s="2"/>
    </row>
    <row r="2704" spans="17:17">
      <c r="Q2704" s="2"/>
    </row>
    <row r="2705" spans="17:17">
      <c r="Q2705" s="2"/>
    </row>
    <row r="2706" spans="17:17">
      <c r="Q2706" s="2"/>
    </row>
    <row r="2707" spans="17:17">
      <c r="Q2707" s="2"/>
    </row>
    <row r="2708" spans="17:17">
      <c r="Q2708" s="2"/>
    </row>
    <row r="2709" spans="17:17">
      <c r="Q2709" s="2"/>
    </row>
    <row r="2710" spans="17:17">
      <c r="Q2710" s="2"/>
    </row>
    <row r="2711" spans="17:17">
      <c r="Q2711" s="2"/>
    </row>
    <row r="2712" spans="17:17">
      <c r="Q2712" s="2"/>
    </row>
    <row r="2713" spans="17:17">
      <c r="Q2713" s="2"/>
    </row>
    <row r="2714" spans="17:17">
      <c r="Q2714" s="2"/>
    </row>
    <row r="2715" spans="17:17">
      <c r="Q2715" s="2"/>
    </row>
    <row r="2716" spans="17:17">
      <c r="Q2716" s="2"/>
    </row>
    <row r="2717" spans="17:17">
      <c r="Q2717" s="2"/>
    </row>
    <row r="2718" spans="17:17">
      <c r="Q2718" s="2"/>
    </row>
    <row r="2719" spans="17:17">
      <c r="Q2719" s="2"/>
    </row>
    <row r="2720" spans="17:17">
      <c r="Q2720" s="2"/>
    </row>
    <row r="2721" spans="17:17">
      <c r="Q2721" s="2"/>
    </row>
    <row r="2722" spans="17:17">
      <c r="Q2722" s="2"/>
    </row>
    <row r="2723" spans="17:17">
      <c r="Q2723" s="2"/>
    </row>
    <row r="2724" spans="17:17">
      <c r="Q2724" s="2"/>
    </row>
    <row r="2725" spans="17:17">
      <c r="Q2725" s="2"/>
    </row>
    <row r="2726" spans="17:17">
      <c r="Q2726" s="2"/>
    </row>
    <row r="2727" spans="17:17">
      <c r="Q2727" s="2"/>
    </row>
    <row r="2728" spans="17:17">
      <c r="Q2728" s="2"/>
    </row>
    <row r="2729" spans="17:17">
      <c r="Q2729" s="2"/>
    </row>
    <row r="2730" spans="17:17">
      <c r="Q2730" s="2"/>
    </row>
    <row r="2731" spans="17:17">
      <c r="Q2731" s="2"/>
    </row>
    <row r="2732" spans="17:17">
      <c r="Q2732" s="2"/>
    </row>
    <row r="2733" spans="17:17">
      <c r="Q2733" s="2"/>
    </row>
    <row r="2734" spans="17:17">
      <c r="Q2734" s="2"/>
    </row>
    <row r="2735" spans="17:17">
      <c r="Q2735" s="2"/>
    </row>
    <row r="2736" spans="17:17">
      <c r="Q2736" s="2"/>
    </row>
    <row r="2737" spans="17:17">
      <c r="Q2737" s="2"/>
    </row>
    <row r="2738" spans="17:17">
      <c r="Q2738" s="2"/>
    </row>
    <row r="2739" spans="17:17">
      <c r="Q2739" s="2"/>
    </row>
    <row r="2740" spans="17:17">
      <c r="Q2740" s="2"/>
    </row>
    <row r="2741" spans="17:17">
      <c r="Q2741" s="2"/>
    </row>
    <row r="2742" spans="17:17">
      <c r="Q2742" s="2"/>
    </row>
    <row r="2743" spans="17:17">
      <c r="Q2743" s="2"/>
    </row>
    <row r="2744" spans="17:17">
      <c r="Q2744" s="2"/>
    </row>
    <row r="2745" spans="17:17">
      <c r="Q2745" s="2"/>
    </row>
    <row r="2746" spans="17:17">
      <c r="Q2746" s="2"/>
    </row>
    <row r="2747" spans="17:17">
      <c r="Q2747" s="2"/>
    </row>
    <row r="2748" spans="17:17">
      <c r="Q2748" s="2"/>
    </row>
    <row r="2749" spans="17:17">
      <c r="Q2749" s="2"/>
    </row>
    <row r="2750" spans="17:17">
      <c r="Q2750" s="2"/>
    </row>
    <row r="2751" spans="17:17">
      <c r="Q2751" s="2"/>
    </row>
    <row r="2752" spans="17:17">
      <c r="Q2752" s="2"/>
    </row>
    <row r="2753" spans="17:17">
      <c r="Q2753" s="2"/>
    </row>
    <row r="2754" spans="17:17">
      <c r="Q2754" s="2"/>
    </row>
    <row r="2755" spans="17:17">
      <c r="Q2755" s="2"/>
    </row>
    <row r="2756" spans="17:17">
      <c r="Q2756" s="2"/>
    </row>
    <row r="2757" spans="17:17">
      <c r="Q2757" s="2"/>
    </row>
    <row r="2758" spans="17:17">
      <c r="Q2758" s="2"/>
    </row>
    <row r="2759" spans="17:17">
      <c r="Q2759" s="2"/>
    </row>
    <row r="2760" spans="17:17">
      <c r="Q2760" s="2"/>
    </row>
    <row r="2761" spans="17:17">
      <c r="Q2761" s="2"/>
    </row>
    <row r="2762" spans="17:17">
      <c r="Q2762" s="2"/>
    </row>
    <row r="2763" spans="17:17">
      <c r="Q2763" s="2"/>
    </row>
    <row r="2764" spans="17:17">
      <c r="Q2764" s="2"/>
    </row>
    <row r="2765" spans="17:17">
      <c r="Q2765" s="2"/>
    </row>
    <row r="2766" spans="17:17">
      <c r="Q2766" s="2"/>
    </row>
    <row r="2767" spans="17:17">
      <c r="Q2767" s="2"/>
    </row>
    <row r="2768" spans="17:17">
      <c r="Q2768" s="2"/>
    </row>
    <row r="2769" spans="17:17">
      <c r="Q2769" s="2"/>
    </row>
    <row r="2770" spans="17:17">
      <c r="Q2770" s="2"/>
    </row>
    <row r="2771" spans="17:17">
      <c r="Q2771" s="2"/>
    </row>
    <row r="2772" spans="17:17">
      <c r="Q2772" s="2"/>
    </row>
    <row r="2773" spans="17:17">
      <c r="Q2773" s="2"/>
    </row>
    <row r="2774" spans="17:17">
      <c r="Q2774" s="2"/>
    </row>
    <row r="2775" spans="17:17">
      <c r="Q2775" s="2"/>
    </row>
    <row r="2776" spans="17:17">
      <c r="Q2776" s="2"/>
    </row>
    <row r="2777" spans="17:17">
      <c r="Q2777" s="2"/>
    </row>
    <row r="2778" spans="17:17">
      <c r="Q2778" s="2"/>
    </row>
    <row r="2779" spans="17:17">
      <c r="Q2779" s="2"/>
    </row>
    <row r="2780" spans="17:17">
      <c r="Q2780" s="2"/>
    </row>
    <row r="2781" spans="17:17">
      <c r="Q2781" s="2"/>
    </row>
    <row r="2782" spans="17:17">
      <c r="Q2782" s="2"/>
    </row>
    <row r="2783" spans="17:17">
      <c r="Q2783" s="2"/>
    </row>
    <row r="2784" spans="17:17">
      <c r="Q2784" s="2"/>
    </row>
    <row r="2785" spans="17:17">
      <c r="Q2785" s="2"/>
    </row>
    <row r="2786" spans="17:17">
      <c r="Q2786" s="2"/>
    </row>
    <row r="2787" spans="17:17">
      <c r="Q2787" s="2"/>
    </row>
    <row r="2788" spans="17:17">
      <c r="Q2788" s="2"/>
    </row>
    <row r="2789" spans="17:17">
      <c r="Q2789" s="2"/>
    </row>
    <row r="2790" spans="17:17">
      <c r="Q2790" s="2"/>
    </row>
    <row r="2791" spans="17:17">
      <c r="Q2791" s="2"/>
    </row>
    <row r="2792" spans="17:17">
      <c r="Q2792" s="2"/>
    </row>
    <row r="2793" spans="17:17">
      <c r="Q2793" s="2"/>
    </row>
    <row r="2794" spans="17:17">
      <c r="Q2794" s="2"/>
    </row>
    <row r="2795" spans="17:17">
      <c r="Q2795" s="2"/>
    </row>
    <row r="2796" spans="17:17">
      <c r="Q2796" s="2"/>
    </row>
    <row r="2797" spans="17:17">
      <c r="Q2797" s="2"/>
    </row>
    <row r="2798" spans="17:17">
      <c r="Q2798" s="2"/>
    </row>
    <row r="2799" spans="17:17">
      <c r="Q2799" s="2"/>
    </row>
    <row r="2800" spans="17:17">
      <c r="Q2800" s="2"/>
    </row>
    <row r="2801" spans="17:17">
      <c r="Q2801" s="2"/>
    </row>
    <row r="2802" spans="17:17">
      <c r="Q2802" s="2"/>
    </row>
    <row r="2803" spans="17:17">
      <c r="Q2803" s="2"/>
    </row>
    <row r="2804" spans="17:17">
      <c r="Q2804" s="2"/>
    </row>
    <row r="2805" spans="17:17">
      <c r="Q2805" s="2"/>
    </row>
    <row r="2806" spans="17:17">
      <c r="Q2806" s="2"/>
    </row>
    <row r="2807" spans="17:17">
      <c r="Q2807" s="2"/>
    </row>
    <row r="2808" spans="17:17">
      <c r="Q2808" s="2"/>
    </row>
    <row r="2809" spans="17:17">
      <c r="Q2809" s="2"/>
    </row>
    <row r="2810" spans="17:17">
      <c r="Q2810" s="2"/>
    </row>
    <row r="2811" spans="17:17">
      <c r="Q2811" s="2"/>
    </row>
    <row r="2812" spans="17:17">
      <c r="Q2812" s="2"/>
    </row>
    <row r="2813" spans="17:17">
      <c r="Q2813" s="2"/>
    </row>
    <row r="2814" spans="17:17">
      <c r="Q2814" s="2"/>
    </row>
    <row r="2815" spans="17:17">
      <c r="Q2815" s="2"/>
    </row>
    <row r="2816" spans="17:17">
      <c r="Q2816" s="2"/>
    </row>
    <row r="2817" spans="17:17">
      <c r="Q2817" s="2"/>
    </row>
    <row r="2818" spans="17:17">
      <c r="Q2818" s="2"/>
    </row>
    <row r="2819" spans="17:17">
      <c r="Q2819" s="2"/>
    </row>
    <row r="2820" spans="17:17">
      <c r="Q2820" s="2"/>
    </row>
    <row r="2821" spans="17:17">
      <c r="Q2821" s="2"/>
    </row>
    <row r="2822" spans="17:17">
      <c r="Q2822" s="2"/>
    </row>
    <row r="2823" spans="17:17">
      <c r="Q2823" s="2"/>
    </row>
    <row r="2824" spans="17:17">
      <c r="Q2824" s="2"/>
    </row>
    <row r="2825" spans="17:17">
      <c r="Q2825" s="2"/>
    </row>
    <row r="2826" spans="17:17">
      <c r="Q2826" s="2"/>
    </row>
    <row r="2827" spans="17:17">
      <c r="Q2827" s="2"/>
    </row>
    <row r="2828" spans="17:17">
      <c r="Q2828" s="2"/>
    </row>
    <row r="2829" spans="17:17">
      <c r="Q2829" s="2"/>
    </row>
    <row r="2830" spans="17:17">
      <c r="Q2830" s="2"/>
    </row>
    <row r="2831" spans="17:17">
      <c r="Q2831" s="2"/>
    </row>
    <row r="2832" spans="17:17">
      <c r="Q2832" s="2"/>
    </row>
    <row r="2833" spans="17:17">
      <c r="Q2833" s="2"/>
    </row>
    <row r="2834" spans="17:17">
      <c r="Q2834" s="2"/>
    </row>
    <row r="2835" spans="17:17">
      <c r="Q2835" s="2"/>
    </row>
    <row r="2836" spans="17:17">
      <c r="Q2836" s="2"/>
    </row>
    <row r="2837" spans="17:17">
      <c r="Q2837" s="2"/>
    </row>
    <row r="2838" spans="17:17">
      <c r="Q2838" s="2"/>
    </row>
    <row r="2839" spans="17:17">
      <c r="Q2839" s="2"/>
    </row>
    <row r="2840" spans="17:17">
      <c r="Q2840" s="2"/>
    </row>
    <row r="2841" spans="17:17">
      <c r="Q2841" s="2"/>
    </row>
    <row r="2842" spans="17:17">
      <c r="Q2842" s="2"/>
    </row>
    <row r="2843" spans="17:17">
      <c r="Q2843" s="2"/>
    </row>
    <row r="2844" spans="17:17">
      <c r="Q2844" s="2"/>
    </row>
    <row r="2845" spans="17:17">
      <c r="Q2845" s="2"/>
    </row>
    <row r="2846" spans="17:17">
      <c r="Q2846" s="2"/>
    </row>
    <row r="2847" spans="17:17">
      <c r="Q2847" s="2"/>
    </row>
    <row r="2848" spans="17:17">
      <c r="Q2848" s="2"/>
    </row>
    <row r="2849" spans="17:17">
      <c r="Q2849" s="2"/>
    </row>
    <row r="2850" spans="17:17">
      <c r="Q2850" s="2"/>
    </row>
    <row r="2851" spans="17:17">
      <c r="Q2851" s="2"/>
    </row>
    <row r="2852" spans="17:17">
      <c r="Q2852" s="2"/>
    </row>
    <row r="2853" spans="17:17">
      <c r="Q2853" s="2"/>
    </row>
    <row r="2854" spans="17:17">
      <c r="Q2854" s="2"/>
    </row>
    <row r="2855" spans="17:17">
      <c r="Q2855" s="2"/>
    </row>
    <row r="2856" spans="17:17">
      <c r="Q2856" s="2"/>
    </row>
    <row r="2857" spans="17:17">
      <c r="Q2857" s="2"/>
    </row>
    <row r="2858" spans="17:17">
      <c r="Q2858" s="2"/>
    </row>
    <row r="2859" spans="17:17">
      <c r="Q2859" s="2"/>
    </row>
    <row r="2860" spans="17:17">
      <c r="Q2860" s="2"/>
    </row>
    <row r="2861" spans="17:17">
      <c r="Q2861" s="2"/>
    </row>
    <row r="2862" spans="17:17">
      <c r="Q2862" s="2"/>
    </row>
    <row r="2863" spans="17:17">
      <c r="Q2863" s="2"/>
    </row>
    <row r="2864" spans="17:17">
      <c r="Q2864" s="2"/>
    </row>
    <row r="2865" spans="17:17">
      <c r="Q2865" s="2"/>
    </row>
    <row r="2866" spans="17:17">
      <c r="Q2866" s="2"/>
    </row>
    <row r="2867" spans="17:17">
      <c r="Q2867" s="2"/>
    </row>
    <row r="2868" spans="17:17">
      <c r="Q2868" s="2"/>
    </row>
    <row r="2869" spans="17:17">
      <c r="Q2869" s="2"/>
    </row>
    <row r="2870" spans="17:17">
      <c r="Q2870" s="2"/>
    </row>
    <row r="2871" spans="17:17">
      <c r="Q2871" s="2"/>
    </row>
    <row r="2872" spans="17:17">
      <c r="Q2872" s="2"/>
    </row>
    <row r="2873" spans="17:17">
      <c r="Q2873" s="2"/>
    </row>
    <row r="2874" spans="17:17">
      <c r="Q2874" s="2"/>
    </row>
    <row r="2875" spans="17:17">
      <c r="Q2875" s="2"/>
    </row>
    <row r="2876" spans="17:17">
      <c r="Q2876" s="2"/>
    </row>
    <row r="2877" spans="17:17">
      <c r="Q2877" s="2"/>
    </row>
    <row r="2878" spans="17:17">
      <c r="Q2878" s="2"/>
    </row>
    <row r="2879" spans="17:17">
      <c r="Q2879" s="2"/>
    </row>
    <row r="2880" spans="17:17">
      <c r="Q2880" s="2"/>
    </row>
    <row r="2881" spans="17:17">
      <c r="Q2881" s="2"/>
    </row>
    <row r="2882" spans="17:17">
      <c r="Q2882" s="2"/>
    </row>
    <row r="2883" spans="17:17">
      <c r="Q2883" s="2"/>
    </row>
    <row r="2884" spans="17:17">
      <c r="Q2884" s="2"/>
    </row>
    <row r="2885" spans="17:17">
      <c r="Q2885" s="2"/>
    </row>
    <row r="2886" spans="17:17">
      <c r="Q2886" s="2"/>
    </row>
    <row r="2887" spans="17:17">
      <c r="Q2887" s="2"/>
    </row>
    <row r="2888" spans="17:17">
      <c r="Q2888" s="2"/>
    </row>
    <row r="2889" spans="17:17">
      <c r="Q2889" s="2"/>
    </row>
    <row r="2890" spans="17:17">
      <c r="Q2890" s="2"/>
    </row>
    <row r="2891" spans="17:17">
      <c r="Q2891" s="2"/>
    </row>
    <row r="2892" spans="17:17">
      <c r="Q2892" s="2"/>
    </row>
    <row r="2893" spans="17:17">
      <c r="Q2893" s="2"/>
    </row>
    <row r="2894" spans="17:17">
      <c r="Q2894" s="2"/>
    </row>
    <row r="2895" spans="17:17">
      <c r="Q2895" s="2"/>
    </row>
    <row r="2896" spans="17:17">
      <c r="Q2896" s="2"/>
    </row>
    <row r="2897" spans="17:17">
      <c r="Q2897" s="2"/>
    </row>
    <row r="2898" spans="17:17">
      <c r="Q2898" s="2"/>
    </row>
    <row r="2899" spans="17:17">
      <c r="Q2899" s="2"/>
    </row>
    <row r="2900" spans="17:17">
      <c r="Q2900" s="2"/>
    </row>
    <row r="2901" spans="17:17">
      <c r="Q2901" s="2"/>
    </row>
    <row r="2902" spans="17:17">
      <c r="Q2902" s="2"/>
    </row>
    <row r="2903" spans="17:17">
      <c r="Q2903" s="2"/>
    </row>
    <row r="2904" spans="17:17">
      <c r="Q2904" s="2"/>
    </row>
    <row r="2905" spans="17:17">
      <c r="Q2905" s="2"/>
    </row>
    <row r="2906" spans="17:17">
      <c r="Q2906" s="2"/>
    </row>
    <row r="2907" spans="17:17">
      <c r="Q2907" s="2"/>
    </row>
    <row r="2908" spans="17:17">
      <c r="Q2908" s="2"/>
    </row>
    <row r="2909" spans="17:17">
      <c r="Q2909" s="2"/>
    </row>
    <row r="2910" spans="17:17">
      <c r="Q2910" s="2"/>
    </row>
    <row r="2911" spans="17:17">
      <c r="Q2911" s="2"/>
    </row>
    <row r="2912" spans="17:17">
      <c r="Q2912" s="2"/>
    </row>
    <row r="2913" spans="17:17">
      <c r="Q2913" s="2"/>
    </row>
    <row r="2914" spans="17:17">
      <c r="Q2914" s="2"/>
    </row>
    <row r="2915" spans="17:17">
      <c r="Q2915" s="2"/>
    </row>
    <row r="2916" spans="17:17">
      <c r="Q2916" s="2"/>
    </row>
    <row r="2917" spans="17:17">
      <c r="Q2917" s="2"/>
    </row>
    <row r="2918" spans="17:17">
      <c r="Q2918" s="2"/>
    </row>
    <row r="2919" spans="17:17">
      <c r="Q2919" s="2"/>
    </row>
    <row r="2920" spans="17:17">
      <c r="Q2920" s="2"/>
    </row>
    <row r="2921" spans="17:17">
      <c r="Q2921" s="2"/>
    </row>
    <row r="2922" spans="17:17">
      <c r="Q2922" s="2"/>
    </row>
    <row r="2923" spans="17:17">
      <c r="Q2923" s="2"/>
    </row>
    <row r="2924" spans="17:17">
      <c r="Q2924" s="2"/>
    </row>
    <row r="2925" spans="17:17">
      <c r="Q2925" s="2"/>
    </row>
    <row r="2926" spans="17:17">
      <c r="Q2926" s="2"/>
    </row>
    <row r="2927" spans="17:17">
      <c r="Q2927" s="2"/>
    </row>
    <row r="2928" spans="17:17">
      <c r="Q2928" s="2"/>
    </row>
    <row r="2929" spans="17:17">
      <c r="Q2929" s="2"/>
    </row>
    <row r="2930" spans="17:17">
      <c r="Q2930" s="2"/>
    </row>
    <row r="2931" spans="17:17">
      <c r="Q2931" s="2"/>
    </row>
    <row r="2932" spans="17:17">
      <c r="Q2932" s="2"/>
    </row>
    <row r="2933" spans="17:17">
      <c r="Q2933" s="2"/>
    </row>
    <row r="2934" spans="17:17">
      <c r="Q2934" s="2"/>
    </row>
    <row r="2935" spans="17:17">
      <c r="Q2935" s="2"/>
    </row>
    <row r="2936" spans="17:17">
      <c r="Q2936" s="2"/>
    </row>
    <row r="2937" spans="17:17">
      <c r="Q2937" s="2"/>
    </row>
    <row r="2938" spans="17:17">
      <c r="Q2938" s="2"/>
    </row>
    <row r="2939" spans="17:17">
      <c r="Q2939" s="2"/>
    </row>
    <row r="2940" spans="17:17">
      <c r="Q2940" s="2"/>
    </row>
    <row r="2941" spans="17:17">
      <c r="Q2941" s="2"/>
    </row>
    <row r="2942" spans="17:17">
      <c r="Q2942" s="2"/>
    </row>
    <row r="2943" spans="17:17">
      <c r="Q2943" s="2"/>
    </row>
    <row r="2944" spans="17:17">
      <c r="Q2944" s="2"/>
    </row>
    <row r="2945" spans="17:17">
      <c r="Q2945" s="2"/>
    </row>
    <row r="2946" spans="17:17">
      <c r="Q2946" s="2"/>
    </row>
    <row r="2947" spans="17:17">
      <c r="Q2947" s="2"/>
    </row>
    <row r="2948" spans="17:17">
      <c r="Q2948" s="2"/>
    </row>
    <row r="2949" spans="17:17">
      <c r="Q2949" s="2"/>
    </row>
    <row r="2950" spans="17:17">
      <c r="Q2950" s="2"/>
    </row>
    <row r="2951" spans="17:17">
      <c r="Q2951" s="2"/>
    </row>
    <row r="2952" spans="17:17">
      <c r="Q2952" s="2"/>
    </row>
    <row r="2953" spans="17:17">
      <c r="Q2953" s="2"/>
    </row>
    <row r="2954" spans="17:17">
      <c r="Q2954" s="2"/>
    </row>
    <row r="2955" spans="17:17">
      <c r="Q2955" s="2"/>
    </row>
    <row r="2956" spans="17:17">
      <c r="Q2956" s="2"/>
    </row>
    <row r="2957" spans="17:17">
      <c r="Q2957" s="2"/>
    </row>
    <row r="2958" spans="17:17">
      <c r="Q2958" s="2"/>
    </row>
    <row r="2959" spans="17:17">
      <c r="Q2959" s="2"/>
    </row>
    <row r="2960" spans="17:17">
      <c r="Q2960" s="2"/>
    </row>
    <row r="2961" spans="17:17">
      <c r="Q2961" s="2"/>
    </row>
    <row r="2962" spans="17:17">
      <c r="Q2962" s="2"/>
    </row>
    <row r="2963" spans="17:17">
      <c r="Q2963" s="2"/>
    </row>
    <row r="2964" spans="17:17">
      <c r="Q2964" s="2"/>
    </row>
    <row r="2965" spans="17:17">
      <c r="Q2965" s="2"/>
    </row>
    <row r="2966" spans="17:17">
      <c r="Q2966" s="2"/>
    </row>
    <row r="2967" spans="17:17">
      <c r="Q2967" s="2"/>
    </row>
    <row r="2968" spans="17:17">
      <c r="Q2968" s="2"/>
    </row>
    <row r="2969" spans="17:17">
      <c r="Q2969" s="2"/>
    </row>
    <row r="2970" spans="17:17">
      <c r="Q2970" s="2"/>
    </row>
    <row r="2971" spans="17:17">
      <c r="Q2971" s="2"/>
    </row>
    <row r="2972" spans="17:17">
      <c r="Q2972" s="2"/>
    </row>
    <row r="2973" spans="17:17">
      <c r="Q2973" s="2"/>
    </row>
    <row r="2974" spans="17:17">
      <c r="Q2974" s="2"/>
    </row>
    <row r="2975" spans="17:17">
      <c r="Q2975" s="2"/>
    </row>
    <row r="2976" spans="17:17">
      <c r="Q2976" s="2"/>
    </row>
    <row r="2977" spans="17:17">
      <c r="Q2977" s="2"/>
    </row>
    <row r="2978" spans="17:17">
      <c r="Q2978" s="2"/>
    </row>
    <row r="2979" spans="17:17">
      <c r="Q2979" s="2"/>
    </row>
    <row r="2980" spans="17:17">
      <c r="Q2980" s="2"/>
    </row>
    <row r="2981" spans="17:17">
      <c r="Q2981" s="2"/>
    </row>
    <row r="2982" spans="17:17">
      <c r="Q2982" s="2"/>
    </row>
    <row r="2983" spans="17:17">
      <c r="Q2983" s="2"/>
    </row>
    <row r="2984" spans="17:17">
      <c r="Q2984" s="2"/>
    </row>
    <row r="2985" spans="17:17">
      <c r="Q2985" s="2"/>
    </row>
    <row r="2986" spans="17:17">
      <c r="Q2986" s="2"/>
    </row>
    <row r="2987" spans="17:17">
      <c r="Q2987" s="2"/>
    </row>
    <row r="2988" spans="17:17">
      <c r="Q2988" s="2"/>
    </row>
    <row r="2989" spans="17:17">
      <c r="Q2989" s="2"/>
    </row>
    <row r="2990" spans="17:17">
      <c r="Q2990" s="2"/>
    </row>
    <row r="2991" spans="17:17">
      <c r="Q2991" s="2"/>
    </row>
    <row r="2992" spans="17:17">
      <c r="Q2992" s="2"/>
    </row>
    <row r="2993" spans="17:17">
      <c r="Q2993" s="2"/>
    </row>
    <row r="2994" spans="17:17">
      <c r="Q2994" s="2"/>
    </row>
    <row r="2995" spans="17:17">
      <c r="Q2995" s="2"/>
    </row>
    <row r="2996" spans="17:17">
      <c r="Q2996" s="2"/>
    </row>
    <row r="2997" spans="17:17">
      <c r="Q2997" s="2"/>
    </row>
    <row r="2998" spans="17:17">
      <c r="Q2998" s="2"/>
    </row>
    <row r="2999" spans="17:17">
      <c r="Q2999" s="2"/>
    </row>
    <row r="3000" spans="17:17">
      <c r="Q3000" s="2"/>
    </row>
    <row r="3001" spans="17:17">
      <c r="Q3001" s="2"/>
    </row>
    <row r="3002" spans="17:17">
      <c r="Q3002" s="2"/>
    </row>
    <row r="3003" spans="17:17">
      <c r="Q3003" s="2"/>
    </row>
    <row r="3004" spans="17:17">
      <c r="Q3004" s="2"/>
    </row>
    <row r="3005" spans="17:17">
      <c r="Q3005" s="2"/>
    </row>
    <row r="3006" spans="17:17">
      <c r="Q3006" s="2"/>
    </row>
    <row r="3007" spans="17:17">
      <c r="Q3007" s="2"/>
    </row>
    <row r="3008" spans="17:17">
      <c r="Q3008" s="2"/>
    </row>
    <row r="3009" spans="17:17">
      <c r="Q3009" s="2"/>
    </row>
    <row r="3010" spans="17:17">
      <c r="Q3010" s="2"/>
    </row>
    <row r="3011" spans="17:17">
      <c r="Q3011" s="2"/>
    </row>
    <row r="3012" spans="17:17">
      <c r="Q3012" s="2"/>
    </row>
    <row r="3013" spans="17:17">
      <c r="Q3013" s="2"/>
    </row>
    <row r="3014" spans="17:17">
      <c r="Q3014" s="2"/>
    </row>
    <row r="3015" spans="17:17">
      <c r="Q3015" s="2"/>
    </row>
    <row r="3016" spans="17:17">
      <c r="Q3016" s="2"/>
    </row>
    <row r="3017" spans="17:17">
      <c r="Q3017" s="2"/>
    </row>
    <row r="3018" spans="17:17">
      <c r="Q3018" s="2"/>
    </row>
    <row r="3019" spans="17:17">
      <c r="Q3019" s="2"/>
    </row>
    <row r="3020" spans="17:17">
      <c r="Q3020" s="2"/>
    </row>
    <row r="3021" spans="17:17">
      <c r="Q3021" s="2"/>
    </row>
    <row r="3022" spans="17:17">
      <c r="Q3022" s="2"/>
    </row>
    <row r="3023" spans="17:17">
      <c r="Q3023" s="2"/>
    </row>
    <row r="3024" spans="17:17">
      <c r="Q3024" s="2"/>
    </row>
    <row r="3025" spans="17:17">
      <c r="Q3025" s="2"/>
    </row>
    <row r="3026" spans="17:17">
      <c r="Q3026" s="2"/>
    </row>
    <row r="3027" spans="17:17">
      <c r="Q3027" s="2"/>
    </row>
    <row r="3028" spans="17:17">
      <c r="Q3028" s="2"/>
    </row>
    <row r="3029" spans="17:17">
      <c r="Q3029" s="2"/>
    </row>
    <row r="3030" spans="17:17">
      <c r="Q3030" s="2"/>
    </row>
    <row r="3031" spans="17:17">
      <c r="Q3031" s="2"/>
    </row>
    <row r="3032" spans="17:17">
      <c r="Q3032" s="2"/>
    </row>
    <row r="3033" spans="17:17">
      <c r="Q3033" s="2"/>
    </row>
    <row r="3034" spans="17:17">
      <c r="Q3034" s="2"/>
    </row>
    <row r="3035" spans="17:17">
      <c r="Q3035" s="2"/>
    </row>
    <row r="3036" spans="17:17">
      <c r="Q3036" s="2"/>
    </row>
    <row r="3037" spans="17:17">
      <c r="Q3037" s="2"/>
    </row>
    <row r="3038" spans="17:17">
      <c r="Q3038" s="2"/>
    </row>
    <row r="3039" spans="17:17">
      <c r="Q3039" s="2"/>
    </row>
    <row r="3040" spans="17:17">
      <c r="Q3040" s="2"/>
    </row>
    <row r="3041" spans="17:17">
      <c r="Q3041" s="2"/>
    </row>
    <row r="3042" spans="17:17">
      <c r="Q3042" s="2"/>
    </row>
    <row r="3043" spans="17:17">
      <c r="Q3043" s="2"/>
    </row>
    <row r="3044" spans="17:17">
      <c r="Q3044" s="2"/>
    </row>
    <row r="3045" spans="17:17">
      <c r="Q3045" s="2"/>
    </row>
    <row r="3046" spans="17:17">
      <c r="Q3046" s="2"/>
    </row>
    <row r="3047" spans="17:17">
      <c r="Q3047" s="2"/>
    </row>
    <row r="3048" spans="17:17">
      <c r="Q3048" s="2"/>
    </row>
    <row r="3049" spans="17:17">
      <c r="Q3049" s="2"/>
    </row>
    <row r="3050" spans="17:17">
      <c r="Q3050" s="2"/>
    </row>
    <row r="3051" spans="17:17">
      <c r="Q3051" s="2"/>
    </row>
    <row r="3052" spans="17:17">
      <c r="Q3052" s="2"/>
    </row>
    <row r="3053" spans="17:17">
      <c r="Q3053" s="2"/>
    </row>
    <row r="3054" spans="17:17">
      <c r="Q3054" s="2"/>
    </row>
    <row r="3055" spans="17:17">
      <c r="Q3055" s="2"/>
    </row>
    <row r="3056" spans="17:17">
      <c r="Q3056" s="2"/>
    </row>
    <row r="3057" spans="17:17">
      <c r="Q3057" s="2"/>
    </row>
    <row r="3058" spans="17:17">
      <c r="Q3058" s="2"/>
    </row>
    <row r="3059" spans="17:17">
      <c r="Q3059" s="2"/>
    </row>
    <row r="3060" spans="17:17">
      <c r="Q3060" s="2"/>
    </row>
    <row r="3061" spans="17:17">
      <c r="Q3061" s="2"/>
    </row>
    <row r="3062" spans="17:17">
      <c r="Q3062" s="2"/>
    </row>
    <row r="3063" spans="17:17">
      <c r="Q3063" s="2"/>
    </row>
    <row r="3064" spans="17:17">
      <c r="Q3064" s="2"/>
    </row>
    <row r="3065" spans="17:17">
      <c r="Q3065" s="2"/>
    </row>
    <row r="3066" spans="17:17">
      <c r="Q3066" s="2"/>
    </row>
    <row r="3067" spans="17:17">
      <c r="Q3067" s="2"/>
    </row>
    <row r="3068" spans="17:17">
      <c r="Q3068" s="2"/>
    </row>
    <row r="3069" spans="17:17">
      <c r="Q3069" s="2"/>
    </row>
    <row r="3070" spans="17:17">
      <c r="Q3070" s="2"/>
    </row>
    <row r="3071" spans="17:17">
      <c r="Q3071" s="2"/>
    </row>
    <row r="3072" spans="17:17">
      <c r="Q3072" s="2"/>
    </row>
    <row r="3073" spans="17:17">
      <c r="Q3073" s="2"/>
    </row>
    <row r="3074" spans="17:17">
      <c r="Q3074" s="2"/>
    </row>
    <row r="3075" spans="17:17">
      <c r="Q3075" s="2"/>
    </row>
    <row r="3076" spans="17:17">
      <c r="Q3076" s="2"/>
    </row>
    <row r="3077" spans="17:17">
      <c r="Q3077" s="2"/>
    </row>
    <row r="3078" spans="17:17">
      <c r="Q3078" s="2"/>
    </row>
    <row r="3079" spans="17:17">
      <c r="Q3079" s="2"/>
    </row>
    <row r="3080" spans="17:17">
      <c r="Q3080" s="2"/>
    </row>
    <row r="3081" spans="17:17">
      <c r="Q3081" s="2"/>
    </row>
    <row r="3082" spans="17:17">
      <c r="Q3082" s="2"/>
    </row>
    <row r="3083" spans="17:17">
      <c r="Q3083" s="2"/>
    </row>
    <row r="3084" spans="17:17">
      <c r="Q3084" s="2"/>
    </row>
    <row r="3085" spans="17:17">
      <c r="Q3085" s="2"/>
    </row>
    <row r="3086" spans="17:17">
      <c r="Q3086" s="2"/>
    </row>
    <row r="3087" spans="17:17">
      <c r="Q3087" s="2"/>
    </row>
    <row r="3088" spans="17:17">
      <c r="Q3088" s="2"/>
    </row>
    <row r="3089" spans="17:17">
      <c r="Q3089" s="2"/>
    </row>
    <row r="3090" spans="17:17">
      <c r="Q3090" s="2"/>
    </row>
    <row r="3091" spans="17:17">
      <c r="Q3091" s="2"/>
    </row>
    <row r="3092" spans="17:17">
      <c r="Q3092" s="2"/>
    </row>
    <row r="3093" spans="17:17">
      <c r="Q3093" s="2"/>
    </row>
    <row r="3094" spans="17:17">
      <c r="Q3094" s="2"/>
    </row>
    <row r="3095" spans="17:17">
      <c r="Q3095" s="2"/>
    </row>
    <row r="3096" spans="17:17">
      <c r="Q3096" s="2"/>
    </row>
    <row r="3097" spans="17:17">
      <c r="Q3097" s="2"/>
    </row>
    <row r="3098" spans="17:17">
      <c r="Q3098" s="2"/>
    </row>
    <row r="3099" spans="17:17">
      <c r="Q3099" s="2"/>
    </row>
    <row r="3100" spans="17:17">
      <c r="Q3100" s="2"/>
    </row>
    <row r="3101" spans="17:17">
      <c r="Q3101" s="2"/>
    </row>
    <row r="3102" spans="17:17">
      <c r="Q3102" s="2"/>
    </row>
    <row r="3103" spans="17:17">
      <c r="Q3103" s="2"/>
    </row>
    <row r="3104" spans="17:17">
      <c r="Q3104" s="2"/>
    </row>
    <row r="3105" spans="17:17">
      <c r="Q3105" s="2"/>
    </row>
    <row r="3106" spans="17:17">
      <c r="Q3106" s="2"/>
    </row>
    <row r="3107" spans="17:17">
      <c r="Q3107" s="2"/>
    </row>
    <row r="3108" spans="17:17">
      <c r="Q3108" s="2"/>
    </row>
    <row r="3109" spans="17:17">
      <c r="Q3109" s="2"/>
    </row>
    <row r="3110" spans="17:17">
      <c r="Q3110" s="2"/>
    </row>
    <row r="3111" spans="17:17">
      <c r="Q3111" s="2"/>
    </row>
    <row r="3112" spans="17:17">
      <c r="Q3112" s="2"/>
    </row>
    <row r="3113" spans="17:17">
      <c r="Q3113" s="2"/>
    </row>
    <row r="3114" spans="17:17">
      <c r="Q3114" s="2"/>
    </row>
    <row r="3115" spans="17:17">
      <c r="Q3115" s="2"/>
    </row>
    <row r="3116" spans="17:17">
      <c r="Q3116" s="2"/>
    </row>
    <row r="3117" spans="17:17">
      <c r="Q3117" s="2"/>
    </row>
    <row r="3118" spans="17:17">
      <c r="Q3118" s="2"/>
    </row>
    <row r="3119" spans="17:17">
      <c r="Q3119" s="2"/>
    </row>
    <row r="3120" spans="17:17">
      <c r="Q3120" s="2"/>
    </row>
    <row r="3121" spans="17:17">
      <c r="Q3121" s="2"/>
    </row>
    <row r="3122" spans="17:17">
      <c r="Q3122" s="2"/>
    </row>
    <row r="3123" spans="17:17">
      <c r="Q3123" s="2"/>
    </row>
    <row r="3124" spans="17:17">
      <c r="Q3124" s="2"/>
    </row>
    <row r="3125" spans="17:17">
      <c r="Q3125" s="2"/>
    </row>
    <row r="3126" spans="17:17">
      <c r="Q3126" s="2"/>
    </row>
    <row r="3127" spans="17:17">
      <c r="Q3127" s="2"/>
    </row>
    <row r="3128" spans="17:17">
      <c r="Q3128" s="2"/>
    </row>
    <row r="3129" spans="17:17">
      <c r="Q3129" s="2"/>
    </row>
    <row r="3130" spans="17:17">
      <c r="Q3130" s="2"/>
    </row>
    <row r="3131" spans="17:17">
      <c r="Q3131" s="2"/>
    </row>
    <row r="3132" spans="17:17">
      <c r="Q3132" s="2"/>
    </row>
    <row r="3133" spans="17:17">
      <c r="Q3133" s="2"/>
    </row>
    <row r="3134" spans="17:17">
      <c r="Q3134" s="2"/>
    </row>
    <row r="3135" spans="17:17">
      <c r="Q3135" s="2"/>
    </row>
    <row r="3136" spans="17:17">
      <c r="Q3136" s="2"/>
    </row>
    <row r="3137" spans="17:17">
      <c r="Q3137" s="2"/>
    </row>
    <row r="3138" spans="17:17">
      <c r="Q3138" s="2"/>
    </row>
    <row r="3139" spans="17:17">
      <c r="Q3139" s="2"/>
    </row>
    <row r="3140" spans="17:17">
      <c r="Q3140" s="2"/>
    </row>
    <row r="3141" spans="17:17">
      <c r="Q3141" s="2"/>
    </row>
    <row r="3142" spans="17:17">
      <c r="Q3142" s="2"/>
    </row>
    <row r="3143" spans="17:17">
      <c r="Q3143" s="2"/>
    </row>
    <row r="3144" spans="17:17">
      <c r="Q3144" s="2"/>
    </row>
    <row r="3145" spans="17:17">
      <c r="Q3145" s="2"/>
    </row>
    <row r="3146" spans="17:17">
      <c r="Q3146" s="2"/>
    </row>
    <row r="3147" spans="17:17">
      <c r="Q3147" s="2"/>
    </row>
    <row r="3148" spans="17:17">
      <c r="Q3148" s="2"/>
    </row>
    <row r="3149" spans="17:17">
      <c r="Q3149" s="2"/>
    </row>
    <row r="3150" spans="17:17">
      <c r="Q3150" s="2"/>
    </row>
    <row r="3151" spans="17:17">
      <c r="Q3151" s="2"/>
    </row>
    <row r="3152" spans="17:17">
      <c r="Q3152" s="2"/>
    </row>
    <row r="3153" spans="17:17">
      <c r="Q3153" s="2"/>
    </row>
    <row r="3154" spans="17:17">
      <c r="Q3154" s="2"/>
    </row>
    <row r="3155" spans="17:17">
      <c r="Q3155" s="2"/>
    </row>
    <row r="3156" spans="17:17">
      <c r="Q3156" s="2"/>
    </row>
    <row r="3157" spans="17:17">
      <c r="Q3157" s="2"/>
    </row>
    <row r="3158" spans="17:17">
      <c r="Q3158" s="2"/>
    </row>
    <row r="3159" spans="17:17">
      <c r="Q3159" s="2"/>
    </row>
    <row r="3160" spans="17:17">
      <c r="Q3160" s="2"/>
    </row>
    <row r="3161" spans="17:17">
      <c r="Q3161" s="2"/>
    </row>
    <row r="3162" spans="17:17">
      <c r="Q3162" s="2"/>
    </row>
    <row r="3163" spans="17:17">
      <c r="Q3163" s="2"/>
    </row>
    <row r="3164" spans="17:17">
      <c r="Q3164" s="2"/>
    </row>
    <row r="3165" spans="17:17">
      <c r="Q3165" s="2"/>
    </row>
    <row r="3166" spans="17:17">
      <c r="Q3166" s="2"/>
    </row>
    <row r="3167" spans="17:17">
      <c r="Q3167" s="2"/>
    </row>
    <row r="3168" spans="17:17">
      <c r="Q3168" s="2"/>
    </row>
    <row r="3169" spans="17:17">
      <c r="Q3169" s="2"/>
    </row>
    <row r="3170" spans="17:17">
      <c r="Q3170" s="2"/>
    </row>
    <row r="3171" spans="17:17">
      <c r="Q3171" s="2"/>
    </row>
    <row r="3172" spans="17:17">
      <c r="Q3172" s="2"/>
    </row>
    <row r="3173" spans="17:17">
      <c r="Q3173" s="2"/>
    </row>
    <row r="3174" spans="17:17">
      <c r="Q3174" s="2"/>
    </row>
    <row r="3175" spans="17:17">
      <c r="Q3175" s="2"/>
    </row>
    <row r="3176" spans="17:17">
      <c r="Q3176" s="2"/>
    </row>
    <row r="3177" spans="17:17">
      <c r="Q3177" s="2"/>
    </row>
    <row r="3178" spans="17:17">
      <c r="Q3178" s="2"/>
    </row>
    <row r="3179" spans="17:17">
      <c r="Q3179" s="2"/>
    </row>
    <row r="3180" spans="17:17">
      <c r="Q3180" s="2"/>
    </row>
    <row r="3181" spans="17:17">
      <c r="Q3181" s="2"/>
    </row>
    <row r="3182" spans="17:17">
      <c r="Q3182" s="2"/>
    </row>
    <row r="3183" spans="17:17">
      <c r="Q3183" s="2"/>
    </row>
    <row r="3184" spans="17:17">
      <c r="Q3184" s="2"/>
    </row>
    <row r="3185" spans="17:17">
      <c r="Q3185" s="2"/>
    </row>
    <row r="3186" spans="17:17">
      <c r="Q3186" s="2"/>
    </row>
    <row r="3187" spans="17:17">
      <c r="Q3187" s="2"/>
    </row>
    <row r="3188" spans="17:17">
      <c r="Q3188" s="2"/>
    </row>
    <row r="3189" spans="17:17">
      <c r="Q3189" s="2"/>
    </row>
    <row r="3190" spans="17:17">
      <c r="Q3190" s="2"/>
    </row>
    <row r="3191" spans="17:17">
      <c r="Q3191" s="2"/>
    </row>
    <row r="3192" spans="17:17">
      <c r="Q3192" s="2"/>
    </row>
    <row r="3193" spans="17:17">
      <c r="Q3193" s="2"/>
    </row>
    <row r="3194" spans="17:17">
      <c r="Q3194" s="2"/>
    </row>
    <row r="3195" spans="17:17">
      <c r="Q3195" s="2"/>
    </row>
    <row r="3196" spans="17:17">
      <c r="Q3196" s="2"/>
    </row>
    <row r="3197" spans="17:17">
      <c r="Q3197" s="2"/>
    </row>
    <row r="3198" spans="17:17">
      <c r="Q3198" s="2"/>
    </row>
    <row r="3199" spans="17:17">
      <c r="Q3199" s="2"/>
    </row>
    <row r="3200" spans="17:17">
      <c r="Q3200" s="2"/>
    </row>
    <row r="3201" spans="17:17">
      <c r="Q3201" s="2"/>
    </row>
    <row r="3202" spans="17:17">
      <c r="Q3202" s="2"/>
    </row>
    <row r="3203" spans="17:17">
      <c r="Q3203" s="2"/>
    </row>
    <row r="3204" spans="17:17">
      <c r="Q3204" s="2"/>
    </row>
    <row r="3205" spans="17:17">
      <c r="Q3205" s="2"/>
    </row>
    <row r="3206" spans="17:17">
      <c r="Q3206" s="2"/>
    </row>
    <row r="3207" spans="17:17">
      <c r="Q3207" s="2"/>
    </row>
    <row r="3208" spans="17:17">
      <c r="Q3208" s="2"/>
    </row>
    <row r="3209" spans="17:17">
      <c r="Q3209" s="2"/>
    </row>
    <row r="3210" spans="17:17">
      <c r="Q3210" s="2"/>
    </row>
    <row r="3211" spans="17:17">
      <c r="Q3211" s="2"/>
    </row>
    <row r="3212" spans="17:17">
      <c r="Q3212" s="2"/>
    </row>
    <row r="3213" spans="17:17">
      <c r="Q3213" s="2"/>
    </row>
    <row r="3214" spans="17:17">
      <c r="Q3214" s="2"/>
    </row>
    <row r="3215" spans="17:17">
      <c r="Q3215" s="2"/>
    </row>
    <row r="3216" spans="17:17">
      <c r="Q3216" s="2"/>
    </row>
    <row r="3217" spans="17:17">
      <c r="Q3217" s="2"/>
    </row>
    <row r="3218" spans="17:17">
      <c r="Q3218" s="2"/>
    </row>
    <row r="3219" spans="17:17">
      <c r="Q3219" s="2"/>
    </row>
    <row r="3220" spans="17:17">
      <c r="Q3220" s="2"/>
    </row>
    <row r="3221" spans="17:17">
      <c r="Q3221" s="2"/>
    </row>
    <row r="3222" spans="17:17">
      <c r="Q3222" s="2"/>
    </row>
    <row r="3223" spans="17:17">
      <c r="Q3223" s="2"/>
    </row>
    <row r="3224" spans="17:17">
      <c r="Q3224" s="2"/>
    </row>
    <row r="3225" spans="17:17">
      <c r="Q3225" s="2"/>
    </row>
    <row r="3226" spans="17:17">
      <c r="Q3226" s="2"/>
    </row>
    <row r="3227" spans="17:17">
      <c r="Q3227" s="2"/>
    </row>
    <row r="3228" spans="17:17">
      <c r="Q3228" s="2"/>
    </row>
    <row r="3229" spans="17:17">
      <c r="Q3229" s="2"/>
    </row>
    <row r="3230" spans="17:17">
      <c r="Q3230" s="2"/>
    </row>
    <row r="3231" spans="17:17">
      <c r="Q3231" s="2"/>
    </row>
    <row r="3232" spans="17:17">
      <c r="Q3232" s="2"/>
    </row>
    <row r="3233" spans="17:17">
      <c r="Q3233" s="2"/>
    </row>
    <row r="3234" spans="17:17">
      <c r="Q3234" s="2"/>
    </row>
    <row r="3235" spans="17:17">
      <c r="Q3235" s="2"/>
    </row>
    <row r="3236" spans="17:17">
      <c r="Q3236" s="2"/>
    </row>
    <row r="3237" spans="17:17">
      <c r="Q3237" s="2"/>
    </row>
    <row r="3238" spans="17:17">
      <c r="Q3238" s="2"/>
    </row>
    <row r="3239" spans="17:17">
      <c r="Q3239" s="2"/>
    </row>
    <row r="3240" spans="17:17">
      <c r="Q3240" s="2"/>
    </row>
    <row r="3241" spans="17:17">
      <c r="Q3241" s="2"/>
    </row>
    <row r="3242" spans="17:17">
      <c r="Q3242" s="2"/>
    </row>
    <row r="3243" spans="17:17">
      <c r="Q3243" s="2"/>
    </row>
    <row r="3244" spans="17:17">
      <c r="Q3244" s="2"/>
    </row>
    <row r="3245" spans="17:17">
      <c r="Q3245" s="2"/>
    </row>
    <row r="3246" spans="17:17">
      <c r="Q3246" s="2"/>
    </row>
    <row r="3247" spans="17:17">
      <c r="Q3247" s="2"/>
    </row>
    <row r="3248" spans="17:17">
      <c r="Q3248" s="2"/>
    </row>
    <row r="3249" spans="17:17">
      <c r="Q3249" s="2"/>
    </row>
    <row r="3250" spans="17:17">
      <c r="Q3250" s="2"/>
    </row>
    <row r="3251" spans="17:17">
      <c r="Q3251" s="2"/>
    </row>
    <row r="3252" spans="17:17">
      <c r="Q3252" s="2"/>
    </row>
    <row r="3253" spans="17:17">
      <c r="Q3253" s="2"/>
    </row>
    <row r="3254" spans="17:17">
      <c r="Q3254" s="2"/>
    </row>
    <row r="3255" spans="17:17">
      <c r="Q3255" s="2"/>
    </row>
    <row r="3256" spans="17:17">
      <c r="Q3256" s="2"/>
    </row>
    <row r="3257" spans="17:17">
      <c r="Q3257" s="2"/>
    </row>
    <row r="3258" spans="17:17">
      <c r="Q3258" s="2"/>
    </row>
    <row r="3259" spans="17:17">
      <c r="Q3259" s="2"/>
    </row>
    <row r="3260" spans="17:17">
      <c r="Q3260" s="2"/>
    </row>
    <row r="3261" spans="17:17">
      <c r="Q3261" s="2"/>
    </row>
    <row r="3262" spans="17:17">
      <c r="Q3262" s="2"/>
    </row>
    <row r="3263" spans="17:17">
      <c r="Q3263" s="2"/>
    </row>
    <row r="3264" spans="17:17">
      <c r="Q3264" s="2"/>
    </row>
    <row r="3265" spans="17:17">
      <c r="Q3265" s="2"/>
    </row>
    <row r="3266" spans="17:17">
      <c r="Q3266" s="2"/>
    </row>
    <row r="3267" spans="17:17">
      <c r="Q3267" s="2"/>
    </row>
    <row r="3268" spans="17:17">
      <c r="Q3268" s="2"/>
    </row>
    <row r="3269" spans="17:17">
      <c r="Q3269" s="2"/>
    </row>
    <row r="3270" spans="17:17">
      <c r="Q3270" s="2"/>
    </row>
    <row r="3271" spans="17:17">
      <c r="Q3271" s="2"/>
    </row>
    <row r="3272" spans="17:17">
      <c r="Q3272" s="2"/>
    </row>
    <row r="3273" spans="17:17">
      <c r="Q3273" s="2"/>
    </row>
    <row r="3274" spans="17:17">
      <c r="Q3274" s="2"/>
    </row>
    <row r="3275" spans="17:17">
      <c r="Q3275" s="2"/>
    </row>
    <row r="3276" spans="17:17">
      <c r="Q3276" s="2"/>
    </row>
    <row r="3277" spans="17:17">
      <c r="Q3277" s="2"/>
    </row>
    <row r="3278" spans="17:17">
      <c r="Q3278" s="2"/>
    </row>
    <row r="3279" spans="17:17">
      <c r="Q3279" s="2"/>
    </row>
    <row r="3280" spans="17:17">
      <c r="Q3280" s="2"/>
    </row>
    <row r="3281" spans="17:17">
      <c r="Q3281" s="2"/>
    </row>
    <row r="3282" spans="17:17">
      <c r="Q3282" s="2"/>
    </row>
    <row r="3283" spans="17:17">
      <c r="Q3283" s="2"/>
    </row>
    <row r="3284" spans="17:17">
      <c r="Q3284" s="2"/>
    </row>
    <row r="3285" spans="17:17">
      <c r="Q3285" s="2"/>
    </row>
    <row r="3286" spans="17:17">
      <c r="Q3286" s="2"/>
    </row>
    <row r="3287" spans="17:17">
      <c r="Q3287" s="2"/>
    </row>
    <row r="3288" spans="17:17">
      <c r="Q3288" s="2"/>
    </row>
    <row r="3289" spans="17:17">
      <c r="Q3289" s="2"/>
    </row>
    <row r="3290" spans="17:17">
      <c r="Q3290" s="2"/>
    </row>
    <row r="3291" spans="17:17">
      <c r="Q3291" s="2"/>
    </row>
    <row r="3292" spans="17:17">
      <c r="Q3292" s="2"/>
    </row>
    <row r="3293" spans="17:17">
      <c r="Q3293" s="2"/>
    </row>
    <row r="3294" spans="17:17">
      <c r="Q3294" s="2"/>
    </row>
    <row r="3295" spans="17:17">
      <c r="Q3295" s="2"/>
    </row>
    <row r="3296" spans="17:17">
      <c r="Q3296" s="2"/>
    </row>
    <row r="3297" spans="17:17">
      <c r="Q3297" s="2"/>
    </row>
    <row r="3298" spans="17:17">
      <c r="Q3298" s="2"/>
    </row>
    <row r="3299" spans="17:17">
      <c r="Q3299" s="2"/>
    </row>
    <row r="3300" spans="17:17">
      <c r="Q3300" s="2"/>
    </row>
    <row r="3301" spans="17:17">
      <c r="Q3301" s="2"/>
    </row>
    <row r="3302" spans="17:17">
      <c r="Q3302" s="2"/>
    </row>
    <row r="3303" spans="17:17">
      <c r="Q3303" s="2"/>
    </row>
    <row r="3304" spans="17:17">
      <c r="Q3304" s="2"/>
    </row>
    <row r="3305" spans="17:17">
      <c r="Q3305" s="2"/>
    </row>
    <row r="3306" spans="17:17">
      <c r="Q3306" s="2"/>
    </row>
    <row r="3307" spans="17:17">
      <c r="Q3307" s="2"/>
    </row>
    <row r="3308" spans="17:17">
      <c r="Q3308" s="2"/>
    </row>
    <row r="3309" spans="17:17">
      <c r="Q3309" s="2"/>
    </row>
    <row r="3310" spans="17:17">
      <c r="Q3310" s="2"/>
    </row>
    <row r="3311" spans="17:17">
      <c r="Q3311" s="2"/>
    </row>
    <row r="3312" spans="17:17">
      <c r="Q3312" s="2"/>
    </row>
    <row r="3313" spans="17:17">
      <c r="Q3313" s="2"/>
    </row>
    <row r="3314" spans="17:17">
      <c r="Q3314" s="2"/>
    </row>
    <row r="3315" spans="17:17">
      <c r="Q3315" s="2"/>
    </row>
    <row r="3316" spans="17:17">
      <c r="Q3316" s="2"/>
    </row>
    <row r="3317" spans="17:17">
      <c r="Q3317" s="2"/>
    </row>
    <row r="3318" spans="17:17">
      <c r="Q3318" s="2"/>
    </row>
    <row r="3319" spans="17:17">
      <c r="Q3319" s="2"/>
    </row>
    <row r="3320" spans="17:17">
      <c r="Q3320" s="2"/>
    </row>
    <row r="3321" spans="17:17">
      <c r="Q3321" s="2"/>
    </row>
    <row r="3322" spans="17:17">
      <c r="Q3322" s="2"/>
    </row>
    <row r="3323" spans="17:17">
      <c r="Q3323" s="2"/>
    </row>
    <row r="3324" spans="17:17">
      <c r="Q3324" s="2"/>
    </row>
    <row r="3325" spans="17:17">
      <c r="Q3325" s="2"/>
    </row>
    <row r="3326" spans="17:17">
      <c r="Q3326" s="2"/>
    </row>
    <row r="3327" spans="17:17">
      <c r="Q3327" s="2"/>
    </row>
    <row r="3328" spans="17:17">
      <c r="Q3328" s="2"/>
    </row>
    <row r="3329" spans="17:17">
      <c r="Q3329" s="2"/>
    </row>
    <row r="3330" spans="17:17">
      <c r="Q3330" s="2"/>
    </row>
    <row r="3331" spans="17:17">
      <c r="Q3331" s="2"/>
    </row>
    <row r="3332" spans="17:17">
      <c r="Q3332" s="2"/>
    </row>
    <row r="3333" spans="17:17">
      <c r="Q3333" s="2"/>
    </row>
    <row r="3334" spans="17:17">
      <c r="Q3334" s="2"/>
    </row>
    <row r="3335" spans="17:17">
      <c r="Q3335" s="2"/>
    </row>
    <row r="3336" spans="17:17">
      <c r="Q3336" s="2"/>
    </row>
    <row r="3337" spans="17:17">
      <c r="Q3337" s="2"/>
    </row>
    <row r="3338" spans="17:17">
      <c r="Q3338" s="2"/>
    </row>
    <row r="3339" spans="17:17">
      <c r="Q3339" s="2"/>
    </row>
    <row r="3340" spans="17:17">
      <c r="Q3340" s="2"/>
    </row>
    <row r="3341" spans="17:17">
      <c r="Q3341" s="2"/>
    </row>
    <row r="3342" spans="17:17">
      <c r="Q3342" s="2"/>
    </row>
    <row r="3343" spans="17:17">
      <c r="Q3343" s="2"/>
    </row>
    <row r="3344" spans="17:17">
      <c r="Q3344" s="2"/>
    </row>
    <row r="3345" spans="17:17">
      <c r="Q3345" s="2"/>
    </row>
    <row r="3346" spans="17:17">
      <c r="Q3346" s="2"/>
    </row>
    <row r="3347" spans="17:17">
      <c r="Q3347" s="2"/>
    </row>
    <row r="3348" spans="17:17">
      <c r="Q3348" s="2"/>
    </row>
    <row r="3349" spans="17:17">
      <c r="Q3349" s="2"/>
    </row>
    <row r="3350" spans="17:17">
      <c r="Q3350" s="2"/>
    </row>
    <row r="3351" spans="17:17">
      <c r="Q3351" s="2"/>
    </row>
    <row r="3352" spans="17:17">
      <c r="Q3352" s="2"/>
    </row>
    <row r="3353" spans="17:17">
      <c r="Q3353" s="2"/>
    </row>
    <row r="3354" spans="17:17">
      <c r="Q3354" s="2"/>
    </row>
    <row r="3355" spans="17:17">
      <c r="Q3355" s="2"/>
    </row>
    <row r="3356" spans="17:17">
      <c r="Q3356" s="2"/>
    </row>
    <row r="3357" spans="17:17">
      <c r="Q3357" s="2"/>
    </row>
    <row r="3358" spans="17:17">
      <c r="Q3358" s="2"/>
    </row>
    <row r="3359" spans="17:17">
      <c r="Q3359" s="2"/>
    </row>
    <row r="3360" spans="17:17">
      <c r="Q3360" s="2"/>
    </row>
    <row r="3361" spans="17:17">
      <c r="Q3361" s="2"/>
    </row>
    <row r="3362" spans="17:17">
      <c r="Q3362" s="2"/>
    </row>
    <row r="3363" spans="17:17">
      <c r="Q3363" s="2"/>
    </row>
    <row r="3364" spans="17:17">
      <c r="Q3364" s="2"/>
    </row>
    <row r="3365" spans="17:17">
      <c r="Q3365" s="2"/>
    </row>
    <row r="3366" spans="17:17">
      <c r="Q3366" s="2"/>
    </row>
    <row r="3367" spans="17:17">
      <c r="Q3367" s="2"/>
    </row>
    <row r="3368" spans="17:17">
      <c r="Q3368" s="2"/>
    </row>
    <row r="3369" spans="17:17">
      <c r="Q3369" s="2"/>
    </row>
    <row r="3370" spans="17:17">
      <c r="Q3370" s="2"/>
    </row>
    <row r="3371" spans="17:17">
      <c r="Q3371" s="2"/>
    </row>
    <row r="3372" spans="17:17">
      <c r="Q3372" s="2"/>
    </row>
    <row r="3373" spans="17:17">
      <c r="Q3373" s="2"/>
    </row>
    <row r="3374" spans="17:17">
      <c r="Q3374" s="2"/>
    </row>
    <row r="3375" spans="17:17">
      <c r="Q3375" s="2"/>
    </row>
    <row r="3376" spans="17:17">
      <c r="Q3376" s="2"/>
    </row>
    <row r="3377" spans="17:17">
      <c r="Q3377" s="2"/>
    </row>
    <row r="3378" spans="17:17">
      <c r="Q3378" s="2"/>
    </row>
    <row r="3379" spans="17:17">
      <c r="Q3379" s="2"/>
    </row>
    <row r="3380" spans="17:17">
      <c r="Q3380" s="2"/>
    </row>
    <row r="3381" spans="17:17">
      <c r="Q3381" s="2"/>
    </row>
    <row r="3382" spans="17:17">
      <c r="Q3382" s="2"/>
    </row>
    <row r="3383" spans="17:17">
      <c r="Q3383" s="2"/>
    </row>
    <row r="3384" spans="17:17">
      <c r="Q3384" s="2"/>
    </row>
    <row r="3385" spans="17:17">
      <c r="Q3385" s="2"/>
    </row>
    <row r="3386" spans="17:17">
      <c r="Q3386" s="2"/>
    </row>
    <row r="3387" spans="17:17">
      <c r="Q3387" s="2"/>
    </row>
    <row r="3388" spans="17:17">
      <c r="Q3388" s="2"/>
    </row>
    <row r="3389" spans="17:17">
      <c r="Q3389" s="2"/>
    </row>
    <row r="3390" spans="17:17">
      <c r="Q3390" s="2"/>
    </row>
    <row r="3391" spans="17:17">
      <c r="Q3391" s="2"/>
    </row>
    <row r="3392" spans="17:17">
      <c r="Q3392" s="2"/>
    </row>
    <row r="3393" spans="17:17">
      <c r="Q3393" s="2"/>
    </row>
    <row r="3394" spans="17:17">
      <c r="Q3394" s="2"/>
    </row>
    <row r="3395" spans="17:17">
      <c r="Q3395" s="2"/>
    </row>
    <row r="3396" spans="17:17">
      <c r="Q3396" s="2"/>
    </row>
    <row r="3397" spans="17:17">
      <c r="Q3397" s="2"/>
    </row>
    <row r="3398" spans="17:17">
      <c r="Q3398" s="2"/>
    </row>
    <row r="3399" spans="17:17">
      <c r="Q3399" s="2"/>
    </row>
    <row r="3400" spans="17:17">
      <c r="Q3400" s="2"/>
    </row>
    <row r="3401" spans="17:17">
      <c r="Q3401" s="2"/>
    </row>
    <row r="3402" spans="17:17">
      <c r="Q3402" s="2"/>
    </row>
    <row r="3403" spans="17:17">
      <c r="Q3403" s="2"/>
    </row>
    <row r="3404" spans="17:17">
      <c r="Q3404" s="2"/>
    </row>
    <row r="3405" spans="17:17">
      <c r="Q3405" s="2"/>
    </row>
    <row r="3406" spans="17:17">
      <c r="Q3406" s="2"/>
    </row>
    <row r="3407" spans="17:17">
      <c r="Q3407" s="2"/>
    </row>
    <row r="3408" spans="17:17">
      <c r="Q3408" s="2"/>
    </row>
    <row r="3409" spans="17:17">
      <c r="Q3409" s="2"/>
    </row>
    <row r="3410" spans="17:17">
      <c r="Q3410" s="2"/>
    </row>
    <row r="3411" spans="17:17">
      <c r="Q3411" s="2"/>
    </row>
    <row r="3412" spans="17:17">
      <c r="Q3412" s="2"/>
    </row>
    <row r="3413" spans="17:17">
      <c r="Q3413" s="2"/>
    </row>
    <row r="3414" spans="17:17">
      <c r="Q3414" s="2"/>
    </row>
    <row r="3415" spans="17:17">
      <c r="Q3415" s="2"/>
    </row>
    <row r="3416" spans="17:17">
      <c r="Q3416" s="2"/>
    </row>
    <row r="3417" spans="17:17">
      <c r="Q3417" s="2"/>
    </row>
    <row r="3418" spans="17:17">
      <c r="Q3418" s="2"/>
    </row>
    <row r="3419" spans="17:17">
      <c r="Q3419" s="2"/>
    </row>
    <row r="3420" spans="17:17">
      <c r="Q3420" s="2"/>
    </row>
    <row r="3421" spans="17:17">
      <c r="Q3421" s="2"/>
    </row>
    <row r="3422" spans="17:17">
      <c r="Q3422" s="2"/>
    </row>
    <row r="3423" spans="17:17">
      <c r="Q3423" s="2"/>
    </row>
    <row r="3424" spans="17:17">
      <c r="Q3424" s="2"/>
    </row>
    <row r="3425" spans="17:17">
      <c r="Q3425" s="2"/>
    </row>
    <row r="3426" spans="17:17">
      <c r="Q3426" s="2"/>
    </row>
    <row r="3427" spans="17:17">
      <c r="Q3427" s="2"/>
    </row>
    <row r="3428" spans="17:17">
      <c r="Q3428" s="2"/>
    </row>
    <row r="3429" spans="17:17">
      <c r="Q3429" s="2"/>
    </row>
    <row r="3430" spans="17:17">
      <c r="Q3430" s="2"/>
    </row>
    <row r="3431" spans="17:17">
      <c r="Q3431" s="2"/>
    </row>
    <row r="3432" spans="17:17">
      <c r="Q3432" s="2"/>
    </row>
    <row r="3433" spans="17:17">
      <c r="Q3433" s="2"/>
    </row>
    <row r="3434" spans="17:17">
      <c r="Q3434" s="2"/>
    </row>
    <row r="3435" spans="17:17">
      <c r="Q3435" s="2"/>
    </row>
    <row r="3436" spans="17:17">
      <c r="Q3436" s="2"/>
    </row>
    <row r="3437" spans="17:17">
      <c r="Q3437" s="2"/>
    </row>
    <row r="3438" spans="17:17">
      <c r="Q3438" s="2"/>
    </row>
    <row r="3439" spans="17:17">
      <c r="Q3439" s="2"/>
    </row>
    <row r="3440" spans="17:17">
      <c r="Q3440" s="2"/>
    </row>
    <row r="3441" spans="17:17">
      <c r="Q3441" s="2"/>
    </row>
    <row r="3442" spans="17:17">
      <c r="Q3442" s="2"/>
    </row>
    <row r="3443" spans="17:17">
      <c r="Q3443" s="2"/>
    </row>
    <row r="3444" spans="17:17">
      <c r="Q3444" s="2"/>
    </row>
    <row r="3445" spans="17:17">
      <c r="Q3445" s="2"/>
    </row>
    <row r="3446" spans="17:17">
      <c r="Q3446" s="2"/>
    </row>
    <row r="3447" spans="17:17">
      <c r="Q3447" s="2"/>
    </row>
    <row r="3448" spans="17:17">
      <c r="Q3448" s="2"/>
    </row>
    <row r="3449" spans="17:17">
      <c r="Q3449" s="2"/>
    </row>
    <row r="3450" spans="17:17">
      <c r="Q3450" s="2"/>
    </row>
    <row r="3451" spans="17:17">
      <c r="Q3451" s="2"/>
    </row>
    <row r="3452" spans="17:17">
      <c r="Q3452" s="2"/>
    </row>
    <row r="3453" spans="17:17">
      <c r="Q3453" s="2"/>
    </row>
    <row r="3454" spans="17:17">
      <c r="Q3454" s="2"/>
    </row>
    <row r="3455" spans="17:17">
      <c r="Q3455" s="2"/>
    </row>
    <row r="3456" spans="17:17">
      <c r="Q3456" s="2"/>
    </row>
    <row r="3457" spans="17:17">
      <c r="Q3457" s="2"/>
    </row>
    <row r="3458" spans="17:17">
      <c r="Q3458" s="2"/>
    </row>
    <row r="3459" spans="17:17">
      <c r="Q3459" s="2"/>
    </row>
    <row r="3460" spans="17:17">
      <c r="Q3460" s="2"/>
    </row>
    <row r="3461" spans="17:17">
      <c r="Q3461" s="2"/>
    </row>
    <row r="3462" spans="17:17">
      <c r="Q3462" s="2"/>
    </row>
    <row r="3463" spans="17:17">
      <c r="Q3463" s="2"/>
    </row>
    <row r="3464" spans="17:17">
      <c r="Q3464" s="2"/>
    </row>
    <row r="3465" spans="17:17">
      <c r="Q3465" s="2"/>
    </row>
    <row r="3466" spans="17:17">
      <c r="Q3466" s="2"/>
    </row>
    <row r="3467" spans="17:17">
      <c r="Q3467" s="2"/>
    </row>
    <row r="3468" spans="17:17">
      <c r="Q3468" s="2"/>
    </row>
    <row r="3469" spans="17:17">
      <c r="Q3469" s="2"/>
    </row>
    <row r="3470" spans="17:17">
      <c r="Q3470" s="2"/>
    </row>
    <row r="3471" spans="17:17">
      <c r="Q3471" s="2"/>
    </row>
    <row r="3472" spans="17:17">
      <c r="Q3472" s="2"/>
    </row>
    <row r="3473" spans="17:17">
      <c r="Q3473" s="2"/>
    </row>
    <row r="3474" spans="17:17">
      <c r="Q3474" s="2"/>
    </row>
    <row r="3475" spans="17:17">
      <c r="Q3475" s="2"/>
    </row>
    <row r="3476" spans="17:17">
      <c r="Q3476" s="2"/>
    </row>
    <row r="3477" spans="17:17">
      <c r="Q3477" s="2"/>
    </row>
    <row r="3478" spans="17:17">
      <c r="Q3478" s="2"/>
    </row>
    <row r="3479" spans="17:17">
      <c r="Q3479" s="2"/>
    </row>
    <row r="3480" spans="17:17">
      <c r="Q3480" s="2"/>
    </row>
    <row r="3481" spans="17:17">
      <c r="Q3481" s="2"/>
    </row>
    <row r="3482" spans="17:17">
      <c r="Q3482" s="2"/>
    </row>
    <row r="3483" spans="17:17">
      <c r="Q3483" s="2"/>
    </row>
    <row r="3484" spans="17:17">
      <c r="Q3484" s="2"/>
    </row>
    <row r="3485" spans="17:17">
      <c r="Q3485" s="2"/>
    </row>
    <row r="3486" spans="17:17">
      <c r="Q3486" s="2"/>
    </row>
    <row r="3487" spans="17:17">
      <c r="Q3487" s="2"/>
    </row>
    <row r="3488" spans="17:17">
      <c r="Q3488" s="2"/>
    </row>
    <row r="3489" spans="17:17">
      <c r="Q3489" s="2"/>
    </row>
    <row r="3490" spans="17:17">
      <c r="Q3490" s="2"/>
    </row>
    <row r="3491" spans="17:17">
      <c r="Q3491" s="2"/>
    </row>
    <row r="3492" spans="17:17">
      <c r="Q3492" s="2"/>
    </row>
    <row r="3493" spans="17:17">
      <c r="Q3493" s="2"/>
    </row>
    <row r="3494" spans="17:17">
      <c r="Q3494" s="2"/>
    </row>
    <row r="3495" spans="17:17">
      <c r="Q3495" s="2"/>
    </row>
    <row r="3496" spans="17:17">
      <c r="Q3496" s="2"/>
    </row>
    <row r="3497" spans="17:17">
      <c r="Q3497" s="2"/>
    </row>
    <row r="3498" spans="17:17">
      <c r="Q3498" s="2"/>
    </row>
    <row r="3499" spans="17:17">
      <c r="Q3499" s="2"/>
    </row>
    <row r="3500" spans="17:17">
      <c r="Q3500" s="2"/>
    </row>
    <row r="3501" spans="17:17">
      <c r="Q3501" s="2"/>
    </row>
    <row r="3502" spans="17:17">
      <c r="Q3502" s="2"/>
    </row>
    <row r="3503" spans="17:17">
      <c r="Q3503" s="2"/>
    </row>
    <row r="3504" spans="17:17">
      <c r="Q3504" s="2"/>
    </row>
    <row r="3505" spans="17:17">
      <c r="Q3505" s="2"/>
    </row>
    <row r="3506" spans="17:17">
      <c r="Q3506" s="2"/>
    </row>
    <row r="3507" spans="17:17">
      <c r="Q3507" s="2"/>
    </row>
    <row r="3508" spans="17:17">
      <c r="Q3508" s="2"/>
    </row>
    <row r="3509" spans="17:17">
      <c r="Q3509" s="2"/>
    </row>
    <row r="3510" spans="17:17">
      <c r="Q3510" s="2"/>
    </row>
    <row r="3511" spans="17:17">
      <c r="Q3511" s="2"/>
    </row>
    <row r="3512" spans="17:17">
      <c r="Q3512" s="2"/>
    </row>
    <row r="3513" spans="17:17">
      <c r="Q3513" s="2"/>
    </row>
    <row r="3514" spans="17:17">
      <c r="Q3514" s="2"/>
    </row>
    <row r="3515" spans="17:17">
      <c r="Q3515" s="2"/>
    </row>
    <row r="3516" spans="17:17">
      <c r="Q3516" s="2"/>
    </row>
    <row r="3517" spans="17:17">
      <c r="Q3517" s="2"/>
    </row>
    <row r="3518" spans="17:17">
      <c r="Q3518" s="2"/>
    </row>
    <row r="3519" spans="17:17">
      <c r="Q3519" s="2"/>
    </row>
    <row r="3520" spans="17:17">
      <c r="Q3520" s="2"/>
    </row>
    <row r="3521" spans="17:17">
      <c r="Q3521" s="2"/>
    </row>
    <row r="3522" spans="17:17">
      <c r="Q3522" s="2"/>
    </row>
    <row r="3523" spans="17:17">
      <c r="Q3523" s="2"/>
    </row>
    <row r="3524" spans="17:17">
      <c r="Q3524" s="2"/>
    </row>
    <row r="3525" spans="17:17">
      <c r="Q3525" s="2"/>
    </row>
    <row r="3526" spans="17:17">
      <c r="Q3526" s="2"/>
    </row>
    <row r="3527" spans="17:17">
      <c r="Q3527" s="2"/>
    </row>
    <row r="3528" spans="17:17">
      <c r="Q3528" s="2"/>
    </row>
    <row r="3529" spans="17:17">
      <c r="Q3529" s="2"/>
    </row>
    <row r="3530" spans="17:17">
      <c r="Q3530" s="2"/>
    </row>
    <row r="3531" spans="17:17">
      <c r="Q3531" s="2"/>
    </row>
    <row r="3532" spans="17:17">
      <c r="Q3532" s="2"/>
    </row>
    <row r="3533" spans="17:17">
      <c r="Q3533" s="2"/>
    </row>
    <row r="3534" spans="17:17">
      <c r="Q3534" s="2"/>
    </row>
    <row r="3535" spans="17:17">
      <c r="Q3535" s="2"/>
    </row>
    <row r="3536" spans="17:17">
      <c r="Q3536" s="2"/>
    </row>
    <row r="3537" spans="17:17">
      <c r="Q3537" s="2"/>
    </row>
    <row r="3538" spans="17:17">
      <c r="Q3538" s="2"/>
    </row>
    <row r="3539" spans="17:17">
      <c r="Q3539" s="2"/>
    </row>
    <row r="3540" spans="17:17">
      <c r="Q3540" s="2"/>
    </row>
    <row r="3541" spans="17:17">
      <c r="Q3541" s="2"/>
    </row>
    <row r="3542" spans="17:17">
      <c r="Q3542" s="2"/>
    </row>
    <row r="3543" spans="17:17">
      <c r="Q3543" s="2"/>
    </row>
    <row r="3544" spans="17:17">
      <c r="Q3544" s="2"/>
    </row>
    <row r="3545" spans="17:17">
      <c r="Q3545" s="2"/>
    </row>
    <row r="3546" spans="17:17">
      <c r="Q3546" s="2"/>
    </row>
    <row r="3547" spans="17:17">
      <c r="Q3547" s="2"/>
    </row>
    <row r="3548" spans="17:17">
      <c r="Q3548" s="2"/>
    </row>
    <row r="3549" spans="17:17">
      <c r="Q3549" s="2"/>
    </row>
    <row r="3550" spans="17:17">
      <c r="Q3550" s="2"/>
    </row>
    <row r="3551" spans="17:17">
      <c r="Q3551" s="2"/>
    </row>
    <row r="3552" spans="17:17">
      <c r="Q3552" s="2"/>
    </row>
    <row r="3553" spans="17:17">
      <c r="Q3553" s="2"/>
    </row>
    <row r="3554" spans="17:17">
      <c r="Q3554" s="2"/>
    </row>
    <row r="3555" spans="17:17">
      <c r="Q3555" s="2"/>
    </row>
    <row r="3556" spans="17:17">
      <c r="Q3556" s="2"/>
    </row>
    <row r="3557" spans="17:17">
      <c r="Q3557" s="2"/>
    </row>
    <row r="3558" spans="17:17">
      <c r="Q3558" s="2"/>
    </row>
    <row r="3559" spans="17:17">
      <c r="Q3559" s="2"/>
    </row>
    <row r="3560" spans="17:17">
      <c r="Q3560" s="2"/>
    </row>
    <row r="3561" spans="17:17">
      <c r="Q3561" s="2"/>
    </row>
    <row r="3562" spans="17:17">
      <c r="Q3562" s="2"/>
    </row>
    <row r="3563" spans="17:17">
      <c r="Q3563" s="2"/>
    </row>
    <row r="3564" spans="17:17">
      <c r="Q3564" s="2"/>
    </row>
    <row r="3565" spans="17:17">
      <c r="Q3565" s="2"/>
    </row>
    <row r="3566" spans="17:17">
      <c r="Q3566" s="2"/>
    </row>
    <row r="3567" spans="17:17">
      <c r="Q3567" s="2"/>
    </row>
    <row r="3568" spans="17:17">
      <c r="Q3568" s="2"/>
    </row>
    <row r="3569" spans="17:17">
      <c r="Q3569" s="2"/>
    </row>
    <row r="3570" spans="17:17">
      <c r="Q3570" s="2"/>
    </row>
    <row r="3571" spans="17:17">
      <c r="Q3571" s="2"/>
    </row>
    <row r="3572" spans="17:17">
      <c r="Q3572" s="2"/>
    </row>
    <row r="3573" spans="17:17">
      <c r="Q3573" s="2"/>
    </row>
    <row r="3574" spans="17:17">
      <c r="Q3574" s="2"/>
    </row>
    <row r="3575" spans="17:17">
      <c r="Q3575" s="2"/>
    </row>
    <row r="3576" spans="17:17">
      <c r="Q3576" s="2"/>
    </row>
    <row r="3577" spans="17:17">
      <c r="Q3577" s="2"/>
    </row>
    <row r="3578" spans="17:17">
      <c r="Q3578" s="2"/>
    </row>
    <row r="3579" spans="17:17">
      <c r="Q3579" s="2"/>
    </row>
    <row r="3580" spans="17:17">
      <c r="Q3580" s="2"/>
    </row>
    <row r="3581" spans="17:17">
      <c r="Q3581" s="2"/>
    </row>
    <row r="3582" spans="17:17">
      <c r="Q3582" s="2"/>
    </row>
    <row r="3583" spans="17:17">
      <c r="Q3583" s="2"/>
    </row>
    <row r="3584" spans="17:17">
      <c r="Q3584" s="2"/>
    </row>
    <row r="3585" spans="17:17">
      <c r="Q3585" s="2"/>
    </row>
    <row r="3586" spans="17:17">
      <c r="Q3586" s="2"/>
    </row>
    <row r="3587" spans="17:17">
      <c r="Q3587" s="2"/>
    </row>
    <row r="3588" spans="17:17">
      <c r="Q3588" s="2"/>
    </row>
    <row r="3589" spans="17:17">
      <c r="Q3589" s="2"/>
    </row>
    <row r="3590" spans="17:17">
      <c r="Q3590" s="2"/>
    </row>
    <row r="3591" spans="17:17">
      <c r="Q3591" s="2"/>
    </row>
    <row r="3592" spans="17:17">
      <c r="Q3592" s="2"/>
    </row>
    <row r="3593" spans="17:17">
      <c r="Q3593" s="2"/>
    </row>
    <row r="3594" spans="17:17">
      <c r="Q3594" s="2"/>
    </row>
    <row r="3595" spans="17:17">
      <c r="Q3595" s="2"/>
    </row>
    <row r="3596" spans="17:17">
      <c r="Q3596" s="2"/>
    </row>
    <row r="3597" spans="17:17">
      <c r="Q3597" s="2"/>
    </row>
    <row r="3598" spans="17:17">
      <c r="Q3598" s="2"/>
    </row>
    <row r="3599" spans="17:17">
      <c r="Q3599" s="2"/>
    </row>
    <row r="3600" spans="17:17">
      <c r="Q3600" s="2"/>
    </row>
    <row r="3601" spans="17:17">
      <c r="Q3601" s="2"/>
    </row>
    <row r="3602" spans="17:17">
      <c r="Q3602" s="2"/>
    </row>
    <row r="3603" spans="17:17">
      <c r="Q3603" s="2"/>
    </row>
    <row r="3604" spans="17:17">
      <c r="Q3604" s="2"/>
    </row>
    <row r="3605" spans="17:17">
      <c r="Q3605" s="2"/>
    </row>
    <row r="3606" spans="17:17">
      <c r="Q3606" s="2"/>
    </row>
    <row r="3607" spans="17:17">
      <c r="Q3607" s="2"/>
    </row>
    <row r="3608" spans="17:17">
      <c r="Q3608" s="2"/>
    </row>
    <row r="3609" spans="17:17">
      <c r="Q3609" s="2"/>
    </row>
    <row r="3610" spans="17:17">
      <c r="Q3610" s="2"/>
    </row>
    <row r="3611" spans="17:17">
      <c r="Q3611" s="2"/>
    </row>
    <row r="3612" spans="17:17">
      <c r="Q3612" s="2"/>
    </row>
    <row r="3613" spans="17:17">
      <c r="Q3613" s="2"/>
    </row>
    <row r="3614" spans="17:17">
      <c r="Q3614" s="2"/>
    </row>
    <row r="3615" spans="17:17">
      <c r="Q3615" s="2"/>
    </row>
    <row r="3616" spans="17:17">
      <c r="Q3616" s="2"/>
    </row>
    <row r="3617" spans="17:17">
      <c r="Q3617" s="2"/>
    </row>
    <row r="3618" spans="17:17">
      <c r="Q3618" s="2"/>
    </row>
    <row r="3619" spans="17:17">
      <c r="Q3619" s="2"/>
    </row>
    <row r="3620" spans="17:17">
      <c r="Q3620" s="2"/>
    </row>
    <row r="3621" spans="17:17">
      <c r="Q3621" s="2"/>
    </row>
    <row r="3622" spans="17:17">
      <c r="Q3622" s="2"/>
    </row>
    <row r="3623" spans="17:17">
      <c r="Q3623" s="2"/>
    </row>
    <row r="3624" spans="17:17">
      <c r="Q3624" s="2"/>
    </row>
    <row r="3625" spans="17:17">
      <c r="Q3625" s="2"/>
    </row>
    <row r="3626" spans="17:17">
      <c r="Q3626" s="2"/>
    </row>
    <row r="3627" spans="17:17">
      <c r="Q3627" s="2"/>
    </row>
    <row r="3628" spans="17:17">
      <c r="Q3628" s="2"/>
    </row>
    <row r="3629" spans="17:17">
      <c r="Q3629" s="2"/>
    </row>
    <row r="3630" spans="17:17">
      <c r="Q3630" s="2"/>
    </row>
    <row r="3631" spans="17:17">
      <c r="Q3631" s="2"/>
    </row>
    <row r="3632" spans="17:17">
      <c r="Q3632" s="2"/>
    </row>
    <row r="3633" spans="17:17">
      <c r="Q3633" s="2"/>
    </row>
    <row r="3634" spans="17:17">
      <c r="Q3634" s="2"/>
    </row>
    <row r="3635" spans="17:17">
      <c r="Q3635" s="2"/>
    </row>
    <row r="3636" spans="17:17">
      <c r="Q3636" s="2"/>
    </row>
    <row r="3637" spans="17:17">
      <c r="Q3637" s="2"/>
    </row>
    <row r="3638" spans="17:17">
      <c r="Q3638" s="2"/>
    </row>
    <row r="3639" spans="17:17">
      <c r="Q3639" s="2"/>
    </row>
    <row r="3640" spans="17:17">
      <c r="Q3640" s="2"/>
    </row>
    <row r="3641" spans="17:17">
      <c r="Q3641" s="2"/>
    </row>
    <row r="3642" spans="17:17">
      <c r="Q3642" s="2"/>
    </row>
    <row r="3643" spans="17:17">
      <c r="Q3643" s="2"/>
    </row>
    <row r="3644" spans="17:17">
      <c r="Q3644" s="2"/>
    </row>
    <row r="3645" spans="17:17">
      <c r="Q3645" s="2"/>
    </row>
    <row r="3646" spans="17:17">
      <c r="Q3646" s="2"/>
    </row>
    <row r="3647" spans="17:17">
      <c r="Q3647" s="2"/>
    </row>
    <row r="3648" spans="17:17">
      <c r="Q3648" s="2"/>
    </row>
    <row r="3649" spans="17:17">
      <c r="Q3649" s="2"/>
    </row>
    <row r="3650" spans="17:17">
      <c r="Q3650" s="2"/>
    </row>
    <row r="3651" spans="17:17">
      <c r="Q3651" s="2"/>
    </row>
    <row r="3652" spans="17:17">
      <c r="Q3652" s="2"/>
    </row>
    <row r="3653" spans="17:17">
      <c r="Q3653" s="2"/>
    </row>
    <row r="3654" spans="17:17">
      <c r="Q3654" s="2"/>
    </row>
    <row r="3655" spans="17:17">
      <c r="Q3655" s="2"/>
    </row>
    <row r="3656" spans="17:17">
      <c r="Q3656" s="2"/>
    </row>
    <row r="3657" spans="17:17">
      <c r="Q3657" s="2"/>
    </row>
    <row r="3658" spans="17:17">
      <c r="Q3658" s="2"/>
    </row>
    <row r="3659" spans="17:17">
      <c r="Q3659" s="2"/>
    </row>
    <row r="3660" spans="17:17">
      <c r="Q3660" s="2"/>
    </row>
    <row r="3661" spans="17:17">
      <c r="Q3661" s="2"/>
    </row>
    <row r="3662" spans="17:17">
      <c r="Q3662" s="2"/>
    </row>
    <row r="3663" spans="17:17">
      <c r="Q3663" s="2"/>
    </row>
    <row r="3664" spans="17:17">
      <c r="Q3664" s="2"/>
    </row>
    <row r="3665" spans="17:17">
      <c r="Q3665" s="2"/>
    </row>
    <row r="3666" spans="17:17">
      <c r="Q3666" s="2"/>
    </row>
    <row r="3667" spans="17:17">
      <c r="Q3667" s="2"/>
    </row>
    <row r="3668" spans="17:17">
      <c r="Q3668" s="2"/>
    </row>
    <row r="3669" spans="17:17">
      <c r="Q3669" s="2"/>
    </row>
    <row r="3670" spans="17:17">
      <c r="Q3670" s="2"/>
    </row>
    <row r="3671" spans="17:17">
      <c r="Q3671" s="2"/>
    </row>
    <row r="3672" spans="17:17">
      <c r="Q3672" s="2"/>
    </row>
    <row r="3673" spans="17:17">
      <c r="Q3673" s="2"/>
    </row>
    <row r="3674" spans="17:17">
      <c r="Q3674" s="2"/>
    </row>
    <row r="3675" spans="17:17">
      <c r="Q3675" s="2"/>
    </row>
    <row r="3676" spans="17:17">
      <c r="Q3676" s="2"/>
    </row>
    <row r="3677" spans="17:17">
      <c r="Q3677" s="2"/>
    </row>
    <row r="3678" spans="17:17">
      <c r="Q3678" s="2"/>
    </row>
    <row r="3679" spans="17:17">
      <c r="Q3679" s="2"/>
    </row>
    <row r="3680" spans="17:17">
      <c r="Q3680" s="2"/>
    </row>
    <row r="3681" spans="17:17">
      <c r="Q3681" s="2"/>
    </row>
    <row r="3682" spans="17:17">
      <c r="Q3682" s="2"/>
    </row>
    <row r="3683" spans="17:17">
      <c r="Q3683" s="2"/>
    </row>
    <row r="3684" spans="17:17">
      <c r="Q3684" s="2"/>
    </row>
    <row r="3685" spans="17:17">
      <c r="Q3685" s="2"/>
    </row>
    <row r="3686" spans="17:17">
      <c r="Q3686" s="2"/>
    </row>
    <row r="3687" spans="17:17">
      <c r="Q3687" s="2"/>
    </row>
    <row r="3688" spans="17:17">
      <c r="Q3688" s="2"/>
    </row>
    <row r="3689" spans="17:17">
      <c r="Q3689" s="2"/>
    </row>
    <row r="3690" spans="17:17">
      <c r="Q3690" s="2"/>
    </row>
    <row r="3691" spans="17:17">
      <c r="Q3691" s="2"/>
    </row>
    <row r="3692" spans="17:17">
      <c r="Q3692" s="2"/>
    </row>
    <row r="3693" spans="17:17">
      <c r="Q3693" s="2"/>
    </row>
    <row r="3694" spans="17:17">
      <c r="Q3694" s="2"/>
    </row>
    <row r="3695" spans="17:17">
      <c r="Q3695" s="2"/>
    </row>
    <row r="3696" spans="17:17">
      <c r="Q3696" s="2"/>
    </row>
    <row r="3697" spans="17:17">
      <c r="Q3697" s="2"/>
    </row>
    <row r="3698" spans="17:17">
      <c r="Q3698" s="2"/>
    </row>
    <row r="3699" spans="17:17">
      <c r="Q3699" s="2"/>
    </row>
    <row r="3700" spans="17:17">
      <c r="Q3700" s="2"/>
    </row>
    <row r="3701" spans="17:17">
      <c r="Q3701" s="2"/>
    </row>
    <row r="3702" spans="17:17">
      <c r="Q3702" s="2"/>
    </row>
    <row r="3703" spans="17:17">
      <c r="Q3703" s="2"/>
    </row>
    <row r="3704" spans="17:17">
      <c r="Q3704" s="2"/>
    </row>
    <row r="3705" spans="17:17">
      <c r="Q3705" s="2"/>
    </row>
    <row r="3706" spans="17:17">
      <c r="Q3706" s="2"/>
    </row>
    <row r="3707" spans="17:17">
      <c r="Q3707" s="2"/>
    </row>
    <row r="3708" spans="17:17">
      <c r="Q3708" s="2"/>
    </row>
    <row r="3709" spans="17:17">
      <c r="Q3709" s="2"/>
    </row>
    <row r="3710" spans="17:17">
      <c r="Q3710" s="2"/>
    </row>
    <row r="3711" spans="17:17">
      <c r="Q3711" s="2"/>
    </row>
    <row r="3712" spans="17:17">
      <c r="Q3712" s="2"/>
    </row>
    <row r="3713" spans="17:17">
      <c r="Q3713" s="2"/>
    </row>
    <row r="3714" spans="17:17">
      <c r="Q3714" s="2"/>
    </row>
    <row r="3715" spans="17:17">
      <c r="Q3715" s="2"/>
    </row>
    <row r="3716" spans="17:17">
      <c r="Q3716" s="2"/>
    </row>
    <row r="3717" spans="17:17">
      <c r="Q3717" s="2"/>
    </row>
    <row r="3718" spans="17:17">
      <c r="Q3718" s="2"/>
    </row>
    <row r="3719" spans="17:17">
      <c r="Q3719" s="2"/>
    </row>
    <row r="3720" spans="17:17">
      <c r="Q3720" s="2"/>
    </row>
    <row r="3721" spans="17:17">
      <c r="Q3721" s="2"/>
    </row>
    <row r="3722" spans="17:17">
      <c r="Q3722" s="2"/>
    </row>
    <row r="3723" spans="17:17">
      <c r="Q3723" s="2"/>
    </row>
    <row r="3724" spans="17:17">
      <c r="Q3724" s="2"/>
    </row>
    <row r="3725" spans="17:17">
      <c r="Q3725" s="2"/>
    </row>
    <row r="3726" spans="17:17">
      <c r="Q3726" s="2"/>
    </row>
    <row r="3727" spans="17:17">
      <c r="Q3727" s="2"/>
    </row>
    <row r="3728" spans="17:17">
      <c r="Q3728" s="2"/>
    </row>
    <row r="3729" spans="17:17">
      <c r="Q3729" s="2"/>
    </row>
    <row r="3730" spans="17:17">
      <c r="Q3730" s="2"/>
    </row>
    <row r="3731" spans="17:17">
      <c r="Q3731" s="2"/>
    </row>
    <row r="3732" spans="17:17">
      <c r="Q3732" s="2"/>
    </row>
    <row r="3733" spans="17:17">
      <c r="Q3733" s="2"/>
    </row>
    <row r="3734" spans="17:17">
      <c r="Q3734" s="2"/>
    </row>
    <row r="3735" spans="17:17">
      <c r="Q3735" s="2"/>
    </row>
    <row r="3736" spans="17:17">
      <c r="Q3736" s="2"/>
    </row>
    <row r="3737" spans="17:17">
      <c r="Q3737" s="2"/>
    </row>
    <row r="3738" spans="17:17">
      <c r="Q3738" s="2"/>
    </row>
    <row r="3739" spans="17:17">
      <c r="Q3739" s="2"/>
    </row>
    <row r="3740" spans="17:17">
      <c r="Q3740" s="2"/>
    </row>
    <row r="3741" spans="17:17">
      <c r="Q3741" s="2"/>
    </row>
    <row r="3742" spans="17:17">
      <c r="Q3742" s="2"/>
    </row>
    <row r="3743" spans="17:17">
      <c r="Q3743" s="2"/>
    </row>
    <row r="3744" spans="17:17">
      <c r="Q3744" s="2"/>
    </row>
    <row r="3745" spans="17:17">
      <c r="Q3745" s="2"/>
    </row>
    <row r="3746" spans="17:17">
      <c r="Q3746" s="2"/>
    </row>
    <row r="3747" spans="17:17">
      <c r="Q3747" s="2"/>
    </row>
    <row r="3748" spans="17:17">
      <c r="Q3748" s="2"/>
    </row>
    <row r="3749" spans="17:17">
      <c r="Q3749" s="2"/>
    </row>
    <row r="3750" spans="17:17">
      <c r="Q3750" s="2"/>
    </row>
    <row r="3751" spans="17:17">
      <c r="Q3751" s="2"/>
    </row>
    <row r="3752" spans="17:17">
      <c r="Q3752" s="2"/>
    </row>
    <row r="3753" spans="17:17">
      <c r="Q3753" s="2"/>
    </row>
    <row r="3754" spans="17:17">
      <c r="Q3754" s="2"/>
    </row>
    <row r="3755" spans="17:17">
      <c r="Q3755" s="2"/>
    </row>
    <row r="3756" spans="17:17">
      <c r="Q3756" s="2"/>
    </row>
    <row r="3757" spans="17:17">
      <c r="Q3757" s="2"/>
    </row>
    <row r="3758" spans="17:17">
      <c r="Q3758" s="2"/>
    </row>
    <row r="3759" spans="17:17">
      <c r="Q3759" s="2"/>
    </row>
    <row r="3760" spans="17:17">
      <c r="Q3760" s="2"/>
    </row>
    <row r="3761" spans="17:17">
      <c r="Q3761" s="2"/>
    </row>
    <row r="3762" spans="17:17">
      <c r="Q3762" s="2"/>
    </row>
    <row r="3763" spans="17:17">
      <c r="Q3763" s="2"/>
    </row>
    <row r="3764" spans="17:17">
      <c r="Q3764" s="2"/>
    </row>
    <row r="3765" spans="17:17">
      <c r="Q3765" s="2"/>
    </row>
    <row r="3766" spans="17:17">
      <c r="Q3766" s="2"/>
    </row>
    <row r="3767" spans="17:17">
      <c r="Q3767" s="2"/>
    </row>
    <row r="3768" spans="17:17">
      <c r="Q3768" s="2"/>
    </row>
    <row r="3769" spans="17:17">
      <c r="Q3769" s="2"/>
    </row>
    <row r="3770" spans="17:17">
      <c r="Q3770" s="2"/>
    </row>
    <row r="3771" spans="17:17">
      <c r="Q3771" s="2"/>
    </row>
    <row r="3772" spans="17:17">
      <c r="Q3772" s="2"/>
    </row>
    <row r="3773" spans="17:17">
      <c r="Q3773" s="2"/>
    </row>
    <row r="3774" spans="17:17">
      <c r="Q3774" s="2"/>
    </row>
    <row r="3775" spans="17:17">
      <c r="Q3775" s="2"/>
    </row>
    <row r="3776" spans="17:17">
      <c r="Q3776" s="2"/>
    </row>
    <row r="3777" spans="17:17">
      <c r="Q3777" s="2"/>
    </row>
    <row r="3778" spans="17:17">
      <c r="Q3778" s="2"/>
    </row>
    <row r="3779" spans="17:17">
      <c r="Q3779" s="2"/>
    </row>
    <row r="3780" spans="17:17">
      <c r="Q3780" s="2"/>
    </row>
    <row r="3781" spans="17:17">
      <c r="Q3781" s="2"/>
    </row>
    <row r="3782" spans="17:17">
      <c r="Q3782" s="2"/>
    </row>
    <row r="3783" spans="17:17">
      <c r="Q3783" s="2"/>
    </row>
    <row r="3784" spans="17:17">
      <c r="Q3784" s="2"/>
    </row>
    <row r="3785" spans="17:17">
      <c r="Q3785" s="2"/>
    </row>
    <row r="3786" spans="17:17">
      <c r="Q3786" s="2"/>
    </row>
    <row r="3787" spans="17:17">
      <c r="Q3787" s="2"/>
    </row>
    <row r="3788" spans="17:17">
      <c r="Q3788" s="2"/>
    </row>
    <row r="3789" spans="17:17">
      <c r="Q3789" s="2"/>
    </row>
    <row r="3790" spans="17:17">
      <c r="Q3790" s="2"/>
    </row>
    <row r="3791" spans="17:17">
      <c r="Q3791" s="2"/>
    </row>
    <row r="3792" spans="17:17">
      <c r="Q3792" s="2"/>
    </row>
    <row r="3793" spans="17:17">
      <c r="Q3793" s="2"/>
    </row>
    <row r="3794" spans="17:17">
      <c r="Q3794" s="2"/>
    </row>
    <row r="3795" spans="17:17">
      <c r="Q3795" s="2"/>
    </row>
    <row r="3796" spans="17:17">
      <c r="Q3796" s="2"/>
    </row>
    <row r="3797" spans="17:17">
      <c r="Q3797" s="2"/>
    </row>
    <row r="3798" spans="17:17">
      <c r="Q3798" s="2"/>
    </row>
    <row r="3799" spans="17:17">
      <c r="Q3799" s="2"/>
    </row>
    <row r="3800" spans="17:17">
      <c r="Q3800" s="2"/>
    </row>
    <row r="3801" spans="17:17">
      <c r="Q3801" s="2"/>
    </row>
    <row r="3802" spans="17:17">
      <c r="Q3802" s="2"/>
    </row>
    <row r="3803" spans="17:17">
      <c r="Q3803" s="2"/>
    </row>
    <row r="3804" spans="17:17">
      <c r="Q3804" s="2"/>
    </row>
    <row r="3805" spans="17:17">
      <c r="Q3805" s="2"/>
    </row>
    <row r="3806" spans="17:17">
      <c r="Q3806" s="2"/>
    </row>
    <row r="3807" spans="17:17">
      <c r="Q3807" s="2"/>
    </row>
    <row r="3808" spans="17:17">
      <c r="Q3808" s="2"/>
    </row>
    <row r="3809" spans="17:17">
      <c r="Q3809" s="2"/>
    </row>
    <row r="3810" spans="17:17">
      <c r="Q3810" s="2"/>
    </row>
    <row r="3811" spans="17:17">
      <c r="Q3811" s="2"/>
    </row>
    <row r="3812" spans="17:17">
      <c r="Q3812" s="2"/>
    </row>
    <row r="3813" spans="17:17">
      <c r="Q3813" s="2"/>
    </row>
    <row r="3814" spans="17:17">
      <c r="Q3814" s="2"/>
    </row>
    <row r="3815" spans="17:17">
      <c r="Q3815" s="2"/>
    </row>
    <row r="3816" spans="17:17">
      <c r="Q3816" s="2"/>
    </row>
    <row r="3817" spans="17:17">
      <c r="Q3817" s="2"/>
    </row>
    <row r="3818" spans="17:17">
      <c r="Q3818" s="2"/>
    </row>
    <row r="3819" spans="17:17">
      <c r="Q3819" s="2"/>
    </row>
    <row r="3820" spans="17:17">
      <c r="Q3820" s="2"/>
    </row>
    <row r="3821" spans="17:17">
      <c r="Q3821" s="2"/>
    </row>
    <row r="3822" spans="17:17">
      <c r="Q3822" s="2"/>
    </row>
    <row r="3823" spans="17:17">
      <c r="Q3823" s="2"/>
    </row>
    <row r="3824" spans="17:17">
      <c r="Q3824" s="2"/>
    </row>
    <row r="3825" spans="17:17">
      <c r="Q3825" s="2"/>
    </row>
    <row r="3826" spans="17:17">
      <c r="Q3826" s="2"/>
    </row>
    <row r="3827" spans="17:17">
      <c r="Q3827" s="2"/>
    </row>
    <row r="3828" spans="17:17">
      <c r="Q3828" s="2"/>
    </row>
    <row r="3829" spans="17:17">
      <c r="Q3829" s="2"/>
    </row>
    <row r="3830" spans="17:17">
      <c r="Q3830" s="2"/>
    </row>
    <row r="3831" spans="17:17">
      <c r="Q3831" s="2"/>
    </row>
    <row r="3832" spans="17:17">
      <c r="Q3832" s="2"/>
    </row>
    <row r="3833" spans="17:17">
      <c r="Q3833" s="2"/>
    </row>
    <row r="3834" spans="17:17">
      <c r="Q3834" s="2"/>
    </row>
    <row r="3835" spans="17:17">
      <c r="Q3835" s="2"/>
    </row>
    <row r="3836" spans="17:17">
      <c r="Q3836" s="2"/>
    </row>
    <row r="3837" spans="17:17">
      <c r="Q3837" s="2"/>
    </row>
    <row r="3838" spans="17:17">
      <c r="Q3838" s="2"/>
    </row>
    <row r="3839" spans="17:17">
      <c r="Q3839" s="2"/>
    </row>
    <row r="3840" spans="17:17">
      <c r="Q3840" s="2"/>
    </row>
    <row r="3841" spans="17:17">
      <c r="Q3841" s="2"/>
    </row>
    <row r="3842" spans="17:17">
      <c r="Q3842" s="2"/>
    </row>
    <row r="3843" spans="17:17">
      <c r="Q3843" s="2"/>
    </row>
    <row r="3844" spans="17:17">
      <c r="Q3844" s="2"/>
    </row>
    <row r="3845" spans="17:17">
      <c r="Q3845" s="2"/>
    </row>
    <row r="3846" spans="17:17">
      <c r="Q3846" s="2"/>
    </row>
    <row r="3847" spans="17:17">
      <c r="Q3847" s="2"/>
    </row>
    <row r="3848" spans="17:17">
      <c r="Q3848" s="2"/>
    </row>
    <row r="3849" spans="17:17">
      <c r="Q3849" s="2"/>
    </row>
    <row r="3850" spans="17:17">
      <c r="Q3850" s="2"/>
    </row>
    <row r="3851" spans="17:17">
      <c r="Q3851" s="2"/>
    </row>
    <row r="3852" spans="17:17">
      <c r="Q3852" s="2"/>
    </row>
    <row r="3853" spans="17:17">
      <c r="Q3853" s="2"/>
    </row>
    <row r="3854" spans="17:17">
      <c r="Q3854" s="2"/>
    </row>
    <row r="3855" spans="17:17">
      <c r="Q3855" s="2"/>
    </row>
    <row r="3856" spans="17:17">
      <c r="Q3856" s="2"/>
    </row>
    <row r="3857" spans="17:17">
      <c r="Q3857" s="2"/>
    </row>
    <row r="3858" spans="17:17">
      <c r="Q3858" s="2"/>
    </row>
    <row r="3859" spans="17:17">
      <c r="Q3859" s="2"/>
    </row>
    <row r="3860" spans="17:17">
      <c r="Q3860" s="2"/>
    </row>
    <row r="3861" spans="17:17">
      <c r="Q3861" s="2"/>
    </row>
    <row r="3862" spans="17:17">
      <c r="Q3862" s="2"/>
    </row>
    <row r="3863" spans="17:17">
      <c r="Q3863" s="2"/>
    </row>
    <row r="3864" spans="17:17">
      <c r="Q3864" s="2"/>
    </row>
    <row r="3865" spans="17:17">
      <c r="Q3865" s="2"/>
    </row>
    <row r="3866" spans="17:17">
      <c r="Q3866" s="2"/>
    </row>
    <row r="3867" spans="17:17">
      <c r="Q3867" s="2"/>
    </row>
    <row r="3868" spans="17:17">
      <c r="Q3868" s="2"/>
    </row>
    <row r="3869" spans="17:17">
      <c r="Q3869" s="2"/>
    </row>
    <row r="3870" spans="17:17">
      <c r="Q3870" s="2"/>
    </row>
    <row r="3871" spans="17:17">
      <c r="Q3871" s="2"/>
    </row>
    <row r="3872" spans="17:17">
      <c r="Q3872" s="2"/>
    </row>
    <row r="3873" spans="17:17">
      <c r="Q3873" s="2"/>
    </row>
    <row r="3874" spans="17:17">
      <c r="Q3874" s="2"/>
    </row>
    <row r="3875" spans="17:17">
      <c r="Q3875" s="2"/>
    </row>
    <row r="3876" spans="17:17">
      <c r="Q3876" s="2"/>
    </row>
    <row r="3877" spans="17:17">
      <c r="Q3877" s="2"/>
    </row>
    <row r="3878" spans="17:17">
      <c r="Q3878" s="2"/>
    </row>
    <row r="3879" spans="17:17">
      <c r="Q3879" s="2"/>
    </row>
    <row r="3880" spans="17:17">
      <c r="Q3880" s="2"/>
    </row>
    <row r="3881" spans="17:17">
      <c r="Q3881" s="2"/>
    </row>
    <row r="3882" spans="17:17">
      <c r="Q3882" s="2"/>
    </row>
    <row r="3883" spans="17:17">
      <c r="Q3883" s="2"/>
    </row>
    <row r="3884" spans="17:17">
      <c r="Q3884" s="2"/>
    </row>
    <row r="3885" spans="17:17">
      <c r="Q3885" s="2"/>
    </row>
    <row r="3886" spans="17:17">
      <c r="Q3886" s="2"/>
    </row>
    <row r="3887" spans="17:17">
      <c r="Q3887" s="2"/>
    </row>
    <row r="3888" spans="17:17">
      <c r="Q3888" s="2"/>
    </row>
    <row r="3889" spans="17:17">
      <c r="Q3889" s="2"/>
    </row>
    <row r="3890" spans="17:17">
      <c r="Q3890" s="2"/>
    </row>
    <row r="3891" spans="17:17">
      <c r="Q3891" s="2"/>
    </row>
    <row r="3892" spans="17:17">
      <c r="Q3892" s="2"/>
    </row>
    <row r="3893" spans="17:17">
      <c r="Q3893" s="2"/>
    </row>
    <row r="3894" spans="17:17">
      <c r="Q3894" s="2"/>
    </row>
    <row r="3895" spans="17:17">
      <c r="Q3895" s="2"/>
    </row>
    <row r="3896" spans="17:17">
      <c r="Q3896" s="2"/>
    </row>
    <row r="3897" spans="17:17">
      <c r="Q3897" s="2"/>
    </row>
    <row r="3898" spans="17:17">
      <c r="Q3898" s="2"/>
    </row>
    <row r="3899" spans="17:17">
      <c r="Q3899" s="2"/>
    </row>
    <row r="3900" spans="17:17">
      <c r="Q3900" s="2"/>
    </row>
    <row r="3901" spans="17:17">
      <c r="Q3901" s="2"/>
    </row>
    <row r="3902" spans="17:17">
      <c r="Q3902" s="2"/>
    </row>
    <row r="3903" spans="17:17">
      <c r="Q3903" s="2"/>
    </row>
    <row r="3904" spans="17:17">
      <c r="Q3904" s="2"/>
    </row>
    <row r="3905" spans="17:17">
      <c r="Q3905" s="2"/>
    </row>
    <row r="3906" spans="17:17">
      <c r="Q3906" s="2"/>
    </row>
    <row r="3907" spans="17:17">
      <c r="Q3907" s="2"/>
    </row>
    <row r="3908" spans="17:17">
      <c r="Q3908" s="2"/>
    </row>
    <row r="3909" spans="17:17">
      <c r="Q3909" s="2"/>
    </row>
    <row r="3910" spans="17:17">
      <c r="Q3910" s="2"/>
    </row>
    <row r="3911" spans="17:17">
      <c r="Q3911" s="2"/>
    </row>
    <row r="3912" spans="17:17">
      <c r="Q3912" s="2"/>
    </row>
    <row r="3913" spans="17:17">
      <c r="Q3913" s="2"/>
    </row>
    <row r="3914" spans="17:17">
      <c r="Q3914" s="2"/>
    </row>
    <row r="3915" spans="17:17">
      <c r="Q3915" s="2"/>
    </row>
    <row r="3916" spans="17:17">
      <c r="Q3916" s="2"/>
    </row>
    <row r="3917" spans="17:17">
      <c r="Q3917" s="2"/>
    </row>
    <row r="3918" spans="17:17">
      <c r="Q3918" s="2"/>
    </row>
    <row r="3919" spans="17:17">
      <c r="Q3919" s="2"/>
    </row>
    <row r="3920" spans="17:17">
      <c r="Q3920" s="2"/>
    </row>
    <row r="3921" spans="17:17">
      <c r="Q3921" s="2"/>
    </row>
    <row r="3922" spans="17:17">
      <c r="Q3922" s="2"/>
    </row>
    <row r="3923" spans="17:17">
      <c r="Q3923" s="2"/>
    </row>
    <row r="3924" spans="17:17">
      <c r="Q3924" s="2"/>
    </row>
    <row r="3925" spans="17:17">
      <c r="Q3925" s="2"/>
    </row>
    <row r="3926" spans="17:17">
      <c r="Q3926" s="2"/>
    </row>
    <row r="3927" spans="17:17">
      <c r="Q3927" s="2"/>
    </row>
    <row r="3928" spans="17:17">
      <c r="Q3928" s="2"/>
    </row>
    <row r="3929" spans="17:17">
      <c r="Q3929" s="2"/>
    </row>
    <row r="3930" spans="17:17">
      <c r="Q3930" s="2"/>
    </row>
    <row r="3931" spans="17:17">
      <c r="Q3931" s="2"/>
    </row>
    <row r="3932" spans="17:17">
      <c r="Q3932" s="2"/>
    </row>
    <row r="3933" spans="17:17">
      <c r="Q3933" s="2"/>
    </row>
    <row r="3934" spans="17:17">
      <c r="Q3934" s="2"/>
    </row>
    <row r="3935" spans="17:17">
      <c r="Q3935" s="2"/>
    </row>
    <row r="3936" spans="17:17">
      <c r="Q3936" s="2"/>
    </row>
    <row r="3937" spans="17:17">
      <c r="Q3937" s="2"/>
    </row>
    <row r="3938" spans="17:17">
      <c r="Q3938" s="2"/>
    </row>
    <row r="3939" spans="17:17">
      <c r="Q3939" s="2"/>
    </row>
    <row r="3940" spans="17:17">
      <c r="Q3940" s="2"/>
    </row>
    <row r="3941" spans="17:17">
      <c r="Q3941" s="2"/>
    </row>
    <row r="3942" spans="17:17">
      <c r="Q3942" s="2"/>
    </row>
    <row r="3943" spans="17:17">
      <c r="Q3943" s="2"/>
    </row>
    <row r="3944" spans="17:17">
      <c r="Q3944" s="2"/>
    </row>
    <row r="3945" spans="17:17">
      <c r="Q3945" s="2"/>
    </row>
    <row r="3946" spans="17:17">
      <c r="Q3946" s="2"/>
    </row>
    <row r="3947" spans="17:17">
      <c r="Q3947" s="2"/>
    </row>
    <row r="3948" spans="17:17">
      <c r="Q3948" s="2"/>
    </row>
    <row r="3949" spans="17:17">
      <c r="Q3949" s="2"/>
    </row>
    <row r="3950" spans="17:17">
      <c r="Q3950" s="2"/>
    </row>
    <row r="3951" spans="17:17">
      <c r="Q3951" s="2"/>
    </row>
    <row r="3952" spans="17:17">
      <c r="Q3952" s="2"/>
    </row>
    <row r="3953" spans="17:17">
      <c r="Q3953" s="2"/>
    </row>
    <row r="3954" spans="17:17">
      <c r="Q3954" s="2"/>
    </row>
    <row r="3955" spans="17:17">
      <c r="Q3955" s="2"/>
    </row>
    <row r="3956" spans="17:17">
      <c r="Q3956" s="2"/>
    </row>
    <row r="3957" spans="17:17">
      <c r="Q3957" s="2"/>
    </row>
    <row r="3958" spans="17:17">
      <c r="Q3958" s="2"/>
    </row>
    <row r="3959" spans="17:17">
      <c r="Q3959" s="2"/>
    </row>
    <row r="3960" spans="17:17">
      <c r="Q3960" s="2"/>
    </row>
    <row r="3961" spans="17:17">
      <c r="Q3961" s="2"/>
    </row>
    <row r="3962" spans="17:17">
      <c r="Q3962" s="2"/>
    </row>
    <row r="3963" spans="17:17">
      <c r="Q3963" s="2"/>
    </row>
    <row r="3964" spans="17:17">
      <c r="Q3964" s="2"/>
    </row>
    <row r="3965" spans="17:17">
      <c r="Q3965" s="2"/>
    </row>
    <row r="3966" spans="17:17">
      <c r="Q3966" s="2"/>
    </row>
    <row r="3967" spans="17:17">
      <c r="Q3967" s="2"/>
    </row>
    <row r="3968" spans="17:17">
      <c r="Q3968" s="2"/>
    </row>
    <row r="3969" spans="17:17">
      <c r="Q3969" s="2"/>
    </row>
    <row r="3970" spans="17:17">
      <c r="Q3970" s="2"/>
    </row>
    <row r="3971" spans="17:17">
      <c r="Q3971" s="2"/>
    </row>
    <row r="3972" spans="17:17">
      <c r="Q3972" s="2"/>
    </row>
    <row r="3973" spans="17:17">
      <c r="Q3973" s="2"/>
    </row>
    <row r="3974" spans="17:17">
      <c r="Q3974" s="2"/>
    </row>
    <row r="3975" spans="17:17">
      <c r="Q3975" s="2"/>
    </row>
    <row r="3976" spans="17:17">
      <c r="Q3976" s="2"/>
    </row>
    <row r="3977" spans="17:17">
      <c r="Q3977" s="2"/>
    </row>
    <row r="3978" spans="17:17">
      <c r="Q3978" s="2"/>
    </row>
    <row r="3979" spans="17:17">
      <c r="Q3979" s="2"/>
    </row>
    <row r="3980" spans="17:17">
      <c r="Q3980" s="2"/>
    </row>
    <row r="3981" spans="17:17">
      <c r="Q3981" s="2"/>
    </row>
    <row r="3982" spans="17:17">
      <c r="Q3982" s="2"/>
    </row>
    <row r="3983" spans="17:17">
      <c r="Q3983" s="2"/>
    </row>
    <row r="3984" spans="17:17">
      <c r="Q3984" s="2"/>
    </row>
    <row r="3985" spans="17:17">
      <c r="Q3985" s="2"/>
    </row>
    <row r="3986" spans="17:17">
      <c r="Q3986" s="2"/>
    </row>
    <row r="3987" spans="17:17">
      <c r="Q3987" s="2"/>
    </row>
    <row r="3988" spans="17:17">
      <c r="Q3988" s="2"/>
    </row>
    <row r="3989" spans="17:17">
      <c r="Q3989" s="2"/>
    </row>
    <row r="3990" spans="17:17">
      <c r="Q3990" s="2"/>
    </row>
    <row r="3991" spans="17:17">
      <c r="Q3991" s="2"/>
    </row>
    <row r="3992" spans="17:17">
      <c r="Q3992" s="2"/>
    </row>
    <row r="3993" spans="17:17">
      <c r="Q3993" s="2"/>
    </row>
    <row r="3994" spans="17:17">
      <c r="Q3994" s="2"/>
    </row>
    <row r="3995" spans="17:17">
      <c r="Q3995" s="2"/>
    </row>
    <row r="3996" spans="17:17">
      <c r="Q3996" s="2"/>
    </row>
    <row r="3997" spans="17:17">
      <c r="Q3997" s="2"/>
    </row>
    <row r="3998" spans="17:17">
      <c r="Q3998" s="2"/>
    </row>
    <row r="3999" spans="17:17">
      <c r="Q3999" s="2"/>
    </row>
    <row r="4000" spans="17:17">
      <c r="Q4000" s="2"/>
    </row>
    <row r="4001" spans="17:17">
      <c r="Q4001" s="2"/>
    </row>
    <row r="4002" spans="17:17">
      <c r="Q4002" s="2"/>
    </row>
    <row r="4003" spans="17:17">
      <c r="Q4003" s="2"/>
    </row>
    <row r="4004" spans="17:17">
      <c r="Q4004" s="2"/>
    </row>
    <row r="4005" spans="17:17">
      <c r="Q4005" s="2"/>
    </row>
    <row r="4006" spans="17:17">
      <c r="Q4006" s="2"/>
    </row>
    <row r="4007" spans="17:17">
      <c r="Q4007" s="2"/>
    </row>
    <row r="4008" spans="17:17">
      <c r="Q4008" s="2"/>
    </row>
    <row r="4009" spans="17:17">
      <c r="Q4009" s="2"/>
    </row>
    <row r="4010" spans="17:17">
      <c r="Q4010" s="2"/>
    </row>
    <row r="4011" spans="17:17">
      <c r="Q4011" s="2"/>
    </row>
    <row r="4012" spans="17:17">
      <c r="Q4012" s="2"/>
    </row>
    <row r="4013" spans="17:17">
      <c r="Q4013" s="2"/>
    </row>
    <row r="4014" spans="17:17">
      <c r="Q4014" s="2"/>
    </row>
    <row r="4015" spans="17:17">
      <c r="Q4015" s="2"/>
    </row>
    <row r="4016" spans="17:17">
      <c r="Q4016" s="2"/>
    </row>
    <row r="4017" spans="17:17">
      <c r="Q4017" s="2"/>
    </row>
    <row r="4018" spans="17:17">
      <c r="Q4018" s="2"/>
    </row>
    <row r="4019" spans="17:17">
      <c r="Q4019" s="2"/>
    </row>
    <row r="4020" spans="17:17">
      <c r="Q4020" s="2"/>
    </row>
    <row r="4021" spans="17:17">
      <c r="Q4021" s="2"/>
    </row>
    <row r="4022" spans="17:17">
      <c r="Q4022" s="2"/>
    </row>
    <row r="4023" spans="17:17">
      <c r="Q4023" s="2"/>
    </row>
    <row r="4024" spans="17:17">
      <c r="Q4024" s="2"/>
    </row>
    <row r="4025" spans="17:17">
      <c r="Q4025" s="2"/>
    </row>
    <row r="4026" spans="17:17">
      <c r="Q4026" s="2"/>
    </row>
    <row r="4027" spans="17:17">
      <c r="Q4027" s="2"/>
    </row>
    <row r="4028" spans="17:17">
      <c r="Q4028" s="2"/>
    </row>
    <row r="4029" spans="17:17">
      <c r="Q4029" s="2"/>
    </row>
    <row r="4030" spans="17:17">
      <c r="Q4030" s="2"/>
    </row>
    <row r="4031" spans="17:17">
      <c r="Q4031" s="2"/>
    </row>
    <row r="4032" spans="17:17">
      <c r="Q4032" s="2"/>
    </row>
    <row r="4033" spans="17:17">
      <c r="Q4033" s="2"/>
    </row>
    <row r="4034" spans="17:17">
      <c r="Q4034" s="2"/>
    </row>
    <row r="4035" spans="17:17">
      <c r="Q4035" s="2"/>
    </row>
    <row r="4036" spans="17:17">
      <c r="Q4036" s="2"/>
    </row>
    <row r="4037" spans="17:17">
      <c r="Q4037" s="2"/>
    </row>
    <row r="4038" spans="17:17">
      <c r="Q4038" s="2"/>
    </row>
    <row r="4039" spans="17:17">
      <c r="Q4039" s="2"/>
    </row>
    <row r="4040" spans="17:17">
      <c r="Q4040" s="2"/>
    </row>
    <row r="4041" spans="17:17">
      <c r="Q4041" s="2"/>
    </row>
    <row r="4042" spans="17:17">
      <c r="Q4042" s="2"/>
    </row>
    <row r="4043" spans="17:17">
      <c r="Q4043" s="2"/>
    </row>
    <row r="4044" spans="17:17">
      <c r="Q4044" s="2"/>
    </row>
    <row r="4045" spans="17:17">
      <c r="Q4045" s="2"/>
    </row>
    <row r="4046" spans="17:17">
      <c r="Q4046" s="2"/>
    </row>
    <row r="4047" spans="17:17">
      <c r="Q4047" s="2"/>
    </row>
    <row r="4048" spans="17:17">
      <c r="Q4048" s="2"/>
    </row>
    <row r="4049" spans="17:17">
      <c r="Q4049" s="2"/>
    </row>
    <row r="4050" spans="17:17">
      <c r="Q4050" s="2"/>
    </row>
    <row r="4051" spans="17:17">
      <c r="Q4051" s="2"/>
    </row>
    <row r="4052" spans="17:17">
      <c r="Q4052" s="2"/>
    </row>
    <row r="4053" spans="17:17">
      <c r="Q4053" s="2"/>
    </row>
    <row r="4054" spans="17:17">
      <c r="Q4054" s="2"/>
    </row>
    <row r="4055" spans="17:17">
      <c r="Q4055" s="2"/>
    </row>
    <row r="4056" spans="17:17">
      <c r="Q4056" s="2"/>
    </row>
    <row r="4057" spans="17:17">
      <c r="Q4057" s="2"/>
    </row>
    <row r="4058" spans="17:17">
      <c r="Q4058" s="2"/>
    </row>
    <row r="4059" spans="17:17">
      <c r="Q4059" s="2"/>
    </row>
    <row r="4060" spans="17:17">
      <c r="Q4060" s="2"/>
    </row>
    <row r="4061" spans="17:17">
      <c r="Q4061" s="2"/>
    </row>
    <row r="4062" spans="17:17">
      <c r="Q4062" s="2"/>
    </row>
    <row r="4063" spans="17:17">
      <c r="Q4063" s="2"/>
    </row>
    <row r="4064" spans="17:17">
      <c r="Q4064" s="2"/>
    </row>
    <row r="4065" spans="17:17">
      <c r="Q4065" s="2"/>
    </row>
    <row r="4066" spans="17:17">
      <c r="Q4066" s="2"/>
    </row>
    <row r="4067" spans="17:17">
      <c r="Q4067" s="2"/>
    </row>
    <row r="4068" spans="17:17">
      <c r="Q4068" s="2"/>
    </row>
    <row r="4069" spans="17:17">
      <c r="Q4069" s="2"/>
    </row>
    <row r="4070" spans="17:17">
      <c r="Q4070" s="2"/>
    </row>
    <row r="4071" spans="17:17">
      <c r="Q4071" s="2"/>
    </row>
    <row r="4072" spans="17:17">
      <c r="Q4072" s="2"/>
    </row>
    <row r="4073" spans="17:17">
      <c r="Q4073" s="2"/>
    </row>
    <row r="4074" spans="17:17">
      <c r="Q4074" s="2"/>
    </row>
    <row r="4075" spans="17:17">
      <c r="Q4075" s="2"/>
    </row>
    <row r="4076" spans="17:17">
      <c r="Q4076" s="2"/>
    </row>
    <row r="4077" spans="17:17">
      <c r="Q4077" s="2"/>
    </row>
    <row r="4078" spans="17:17">
      <c r="Q4078" s="2"/>
    </row>
    <row r="4079" spans="17:17">
      <c r="Q4079" s="2"/>
    </row>
    <row r="4080" spans="17:17">
      <c r="Q4080" s="2"/>
    </row>
    <row r="4081" spans="17:17">
      <c r="Q4081" s="2"/>
    </row>
    <row r="4082" spans="17:17">
      <c r="Q4082" s="2"/>
    </row>
    <row r="4083" spans="17:17">
      <c r="Q4083" s="2"/>
    </row>
    <row r="4084" spans="17:17">
      <c r="Q4084" s="2"/>
    </row>
    <row r="4085" spans="17:17">
      <c r="Q4085" s="2"/>
    </row>
    <row r="4086" spans="17:17">
      <c r="Q4086" s="2"/>
    </row>
    <row r="4087" spans="17:17">
      <c r="Q4087" s="2"/>
    </row>
    <row r="4088" spans="17:17">
      <c r="Q4088" s="2"/>
    </row>
    <row r="4089" spans="17:17">
      <c r="Q4089" s="2"/>
    </row>
    <row r="4090" spans="17:17">
      <c r="Q4090" s="2"/>
    </row>
    <row r="4091" spans="17:17">
      <c r="Q4091" s="2"/>
    </row>
    <row r="4092" spans="17:17">
      <c r="Q4092" s="2"/>
    </row>
    <row r="4093" spans="17:17">
      <c r="Q4093" s="2"/>
    </row>
    <row r="4094" spans="17:17">
      <c r="Q4094" s="2"/>
    </row>
    <row r="4095" spans="17:17">
      <c r="Q4095" s="2"/>
    </row>
    <row r="4096" spans="17:17">
      <c r="Q4096" s="2"/>
    </row>
    <row r="4097" spans="17:17">
      <c r="Q4097" s="2"/>
    </row>
    <row r="4098" spans="17:17">
      <c r="Q4098" s="2"/>
    </row>
    <row r="4099" spans="17:17">
      <c r="Q4099" s="2"/>
    </row>
    <row r="4100" spans="17:17">
      <c r="Q4100" s="2"/>
    </row>
    <row r="4101" spans="17:17">
      <c r="Q4101" s="2"/>
    </row>
    <row r="4102" spans="17:17">
      <c r="Q4102" s="2"/>
    </row>
    <row r="4103" spans="17:17">
      <c r="Q4103" s="2"/>
    </row>
    <row r="4104" spans="17:17">
      <c r="Q4104" s="2"/>
    </row>
    <row r="4105" spans="17:17">
      <c r="Q4105" s="2"/>
    </row>
    <row r="4106" spans="17:17">
      <c r="Q4106" s="2"/>
    </row>
    <row r="4107" spans="17:17">
      <c r="Q4107" s="2"/>
    </row>
    <row r="4108" spans="17:17">
      <c r="Q4108" s="2"/>
    </row>
    <row r="4109" spans="17:17">
      <c r="Q4109" s="2"/>
    </row>
    <row r="4110" spans="17:17">
      <c r="Q4110" s="2"/>
    </row>
    <row r="4111" spans="17:17">
      <c r="Q4111" s="2"/>
    </row>
    <row r="4112" spans="17:17">
      <c r="Q4112" s="2"/>
    </row>
    <row r="4113" spans="17:17">
      <c r="Q4113" s="2"/>
    </row>
    <row r="4114" spans="17:17">
      <c r="Q4114" s="2"/>
    </row>
    <row r="4115" spans="17:17">
      <c r="Q4115" s="2"/>
    </row>
    <row r="4116" spans="17:17">
      <c r="Q4116" s="2"/>
    </row>
    <row r="4117" spans="17:17">
      <c r="Q4117" s="2"/>
    </row>
    <row r="4118" spans="17:17">
      <c r="Q4118" s="2"/>
    </row>
    <row r="4119" spans="17:17">
      <c r="Q4119" s="2"/>
    </row>
    <row r="4120" spans="17:17">
      <c r="Q4120" s="2"/>
    </row>
    <row r="4121" spans="17:17">
      <c r="Q4121" s="2"/>
    </row>
    <row r="4122" spans="17:17">
      <c r="Q4122" s="2"/>
    </row>
    <row r="4123" spans="17:17">
      <c r="Q4123" s="2"/>
    </row>
    <row r="4124" spans="17:17">
      <c r="Q4124" s="2"/>
    </row>
    <row r="4125" spans="17:17">
      <c r="Q4125" s="2"/>
    </row>
    <row r="4126" spans="17:17">
      <c r="Q4126" s="2"/>
    </row>
    <row r="4127" spans="17:17">
      <c r="Q4127" s="2"/>
    </row>
    <row r="4128" spans="17:17">
      <c r="Q4128" s="2"/>
    </row>
    <row r="4129" spans="17:17">
      <c r="Q4129" s="2"/>
    </row>
    <row r="4130" spans="17:17">
      <c r="Q4130" s="2"/>
    </row>
    <row r="4131" spans="17:17">
      <c r="Q4131" s="2"/>
    </row>
    <row r="4132" spans="17:17">
      <c r="Q4132" s="2"/>
    </row>
    <row r="4133" spans="17:17">
      <c r="Q4133" s="2"/>
    </row>
    <row r="4134" spans="17:17">
      <c r="Q4134" s="2"/>
    </row>
    <row r="4135" spans="17:17">
      <c r="Q4135" s="2"/>
    </row>
    <row r="4136" spans="17:17">
      <c r="Q4136" s="2"/>
    </row>
    <row r="4137" spans="17:17">
      <c r="Q4137" s="2"/>
    </row>
    <row r="4138" spans="17:17">
      <c r="Q4138" s="2"/>
    </row>
    <row r="4139" spans="17:17">
      <c r="Q4139" s="2"/>
    </row>
    <row r="4140" spans="17:17">
      <c r="Q4140" s="2"/>
    </row>
    <row r="4141" spans="17:17">
      <c r="Q4141" s="2"/>
    </row>
    <row r="4142" spans="17:17">
      <c r="Q4142" s="2"/>
    </row>
    <row r="4143" spans="17:17">
      <c r="Q4143" s="2"/>
    </row>
    <row r="4144" spans="17:17">
      <c r="Q4144" s="2"/>
    </row>
    <row r="4145" spans="17:17">
      <c r="Q4145" s="2"/>
    </row>
    <row r="4146" spans="17:17">
      <c r="Q4146" s="2"/>
    </row>
    <row r="4147" spans="17:17">
      <c r="Q4147" s="2"/>
    </row>
    <row r="4148" spans="17:17">
      <c r="Q4148" s="2"/>
    </row>
    <row r="4149" spans="17:17">
      <c r="Q4149" s="2"/>
    </row>
    <row r="4150" spans="17:17">
      <c r="Q4150" s="2"/>
    </row>
    <row r="4151" spans="17:17">
      <c r="Q4151" s="2"/>
    </row>
    <row r="4152" spans="17:17">
      <c r="Q4152" s="2"/>
    </row>
    <row r="4153" spans="17:17">
      <c r="Q4153" s="2"/>
    </row>
    <row r="4154" spans="17:17">
      <c r="Q4154" s="2"/>
    </row>
    <row r="4155" spans="17:17">
      <c r="Q4155" s="2"/>
    </row>
    <row r="4156" spans="17:17">
      <c r="Q4156" s="2"/>
    </row>
    <row r="4157" spans="17:17">
      <c r="Q4157" s="2"/>
    </row>
    <row r="4158" spans="17:17">
      <c r="Q4158" s="2"/>
    </row>
    <row r="4159" spans="17:17">
      <c r="Q4159" s="2"/>
    </row>
    <row r="4160" spans="17:17">
      <c r="Q4160" s="2"/>
    </row>
    <row r="4161" spans="17:17">
      <c r="Q4161" s="2"/>
    </row>
    <row r="4162" spans="17:17">
      <c r="Q4162" s="2"/>
    </row>
    <row r="4163" spans="17:17">
      <c r="Q4163" s="2"/>
    </row>
    <row r="4164" spans="17:17">
      <c r="Q4164" s="2"/>
    </row>
    <row r="4165" spans="17:17">
      <c r="Q4165" s="2"/>
    </row>
    <row r="4166" spans="17:17">
      <c r="Q4166" s="2"/>
    </row>
    <row r="4167" spans="17:17">
      <c r="Q4167" s="2"/>
    </row>
    <row r="4168" spans="17:17">
      <c r="Q4168" s="2"/>
    </row>
    <row r="4169" spans="17:17">
      <c r="Q4169" s="2"/>
    </row>
    <row r="4170" spans="17:17">
      <c r="Q4170" s="2"/>
    </row>
    <row r="4171" spans="17:17">
      <c r="Q4171" s="2"/>
    </row>
    <row r="4172" spans="17:17">
      <c r="Q4172" s="2"/>
    </row>
    <row r="4173" spans="17:17">
      <c r="Q4173" s="2"/>
    </row>
    <row r="4174" spans="17:17">
      <c r="Q4174" s="2"/>
    </row>
    <row r="4175" spans="17:17">
      <c r="Q4175" s="2"/>
    </row>
    <row r="4176" spans="17:17">
      <c r="Q4176" s="2"/>
    </row>
    <row r="4177" spans="17:17">
      <c r="Q4177" s="2"/>
    </row>
    <row r="4178" spans="17:17">
      <c r="Q4178" s="2"/>
    </row>
    <row r="4179" spans="17:17">
      <c r="Q4179" s="2"/>
    </row>
    <row r="4180" spans="17:17">
      <c r="Q4180" s="2"/>
    </row>
    <row r="4181" spans="17:17">
      <c r="Q4181" s="2"/>
    </row>
    <row r="4182" spans="17:17">
      <c r="Q4182" s="2"/>
    </row>
    <row r="4183" spans="17:17">
      <c r="Q4183" s="2"/>
    </row>
    <row r="4184" spans="17:17">
      <c r="Q4184" s="2"/>
    </row>
    <row r="4185" spans="17:17">
      <c r="Q4185" s="2"/>
    </row>
    <row r="4186" spans="17:17">
      <c r="Q4186" s="2"/>
    </row>
    <row r="4187" spans="17:17">
      <c r="Q4187" s="2"/>
    </row>
    <row r="4188" spans="17:17">
      <c r="Q4188" s="2"/>
    </row>
    <row r="4189" spans="17:17">
      <c r="Q4189" s="2"/>
    </row>
    <row r="4190" spans="17:17">
      <c r="Q4190" s="2"/>
    </row>
    <row r="4191" spans="17:17">
      <c r="Q4191" s="2"/>
    </row>
    <row r="4192" spans="17:17">
      <c r="Q4192" s="2"/>
    </row>
    <row r="4193" spans="17:17">
      <c r="Q4193" s="2"/>
    </row>
    <row r="4194" spans="17:17">
      <c r="Q4194" s="2"/>
    </row>
    <row r="4195" spans="17:17">
      <c r="Q4195" s="2"/>
    </row>
    <row r="4196" spans="17:17">
      <c r="Q4196" s="2"/>
    </row>
    <row r="4197" spans="17:17">
      <c r="Q4197" s="2"/>
    </row>
    <row r="4198" spans="17:17">
      <c r="Q4198" s="2"/>
    </row>
    <row r="4199" spans="17:17">
      <c r="Q4199" s="2"/>
    </row>
    <row r="4200" spans="17:17">
      <c r="Q4200" s="2"/>
    </row>
    <row r="4201" spans="17:17">
      <c r="Q4201" s="2"/>
    </row>
    <row r="4202" spans="17:17">
      <c r="Q4202" s="2"/>
    </row>
    <row r="4203" spans="17:17">
      <c r="Q4203" s="2"/>
    </row>
    <row r="4204" spans="17:17">
      <c r="Q4204" s="2"/>
    </row>
    <row r="4205" spans="17:17">
      <c r="Q4205" s="2"/>
    </row>
    <row r="4206" spans="17:17">
      <c r="Q4206" s="2"/>
    </row>
    <row r="4207" spans="17:17">
      <c r="Q4207" s="2"/>
    </row>
    <row r="4208" spans="17:17">
      <c r="Q4208" s="2"/>
    </row>
    <row r="4209" spans="17:17">
      <c r="Q4209" s="2"/>
    </row>
    <row r="4210" spans="17:17">
      <c r="Q4210" s="2"/>
    </row>
    <row r="4211" spans="17:17">
      <c r="Q4211" s="2"/>
    </row>
    <row r="4212" spans="17:17">
      <c r="Q4212" s="2"/>
    </row>
    <row r="4213" spans="17:17">
      <c r="Q4213" s="2"/>
    </row>
    <row r="4214" spans="17:17">
      <c r="Q4214" s="2"/>
    </row>
    <row r="4215" spans="17:17">
      <c r="Q4215" s="2"/>
    </row>
    <row r="4216" spans="17:17">
      <c r="Q4216" s="2"/>
    </row>
    <row r="4217" spans="17:17">
      <c r="Q4217" s="2"/>
    </row>
    <row r="4218" spans="17:17">
      <c r="Q4218" s="2"/>
    </row>
    <row r="4219" spans="17:17">
      <c r="Q4219" s="2"/>
    </row>
    <row r="4220" spans="17:17">
      <c r="Q4220" s="2"/>
    </row>
    <row r="4221" spans="17:17">
      <c r="Q4221" s="2"/>
    </row>
    <row r="4222" spans="17:17">
      <c r="Q4222" s="2"/>
    </row>
    <row r="4223" spans="17:17">
      <c r="Q4223" s="2"/>
    </row>
    <row r="4224" spans="17:17">
      <c r="Q4224" s="2"/>
    </row>
    <row r="4225" spans="17:17">
      <c r="Q4225" s="2"/>
    </row>
    <row r="4226" spans="17:17">
      <c r="Q4226" s="2"/>
    </row>
    <row r="4227" spans="17:17">
      <c r="Q4227" s="2"/>
    </row>
    <row r="4228" spans="17:17">
      <c r="Q4228" s="2"/>
    </row>
    <row r="4229" spans="17:17">
      <c r="Q4229" s="2"/>
    </row>
    <row r="4230" spans="17:17">
      <c r="Q4230" s="2"/>
    </row>
    <row r="4231" spans="17:17">
      <c r="Q4231" s="2"/>
    </row>
    <row r="4232" spans="17:17">
      <c r="Q4232" s="2"/>
    </row>
    <row r="4233" spans="17:17">
      <c r="Q4233" s="2"/>
    </row>
    <row r="4234" spans="17:17">
      <c r="Q4234" s="2"/>
    </row>
    <row r="4235" spans="17:17">
      <c r="Q4235" s="2"/>
    </row>
    <row r="4236" spans="17:17">
      <c r="Q4236" s="2"/>
    </row>
    <row r="4237" spans="17:17">
      <c r="Q4237" s="2"/>
    </row>
    <row r="4238" spans="17:17">
      <c r="Q4238" s="2"/>
    </row>
    <row r="4239" spans="17:17">
      <c r="Q4239" s="2"/>
    </row>
    <row r="4240" spans="17:17">
      <c r="Q4240" s="2"/>
    </row>
    <row r="4241" spans="17:17">
      <c r="Q4241" s="2"/>
    </row>
    <row r="4242" spans="17:17">
      <c r="Q4242" s="2"/>
    </row>
    <row r="4243" spans="17:17">
      <c r="Q4243" s="2"/>
    </row>
    <row r="4244" spans="17:17">
      <c r="Q4244" s="2"/>
    </row>
    <row r="4245" spans="17:17">
      <c r="Q4245" s="2"/>
    </row>
    <row r="4246" spans="17:17">
      <c r="Q4246" s="2"/>
    </row>
    <row r="4247" spans="17:17">
      <c r="Q4247" s="2"/>
    </row>
    <row r="4248" spans="17:17">
      <c r="Q4248" s="2"/>
    </row>
    <row r="4249" spans="17:17">
      <c r="Q4249" s="2"/>
    </row>
    <row r="4250" spans="17:17">
      <c r="Q4250" s="2"/>
    </row>
    <row r="4251" spans="17:17">
      <c r="Q4251" s="2"/>
    </row>
    <row r="4252" spans="17:17">
      <c r="Q4252" s="2"/>
    </row>
    <row r="4253" spans="17:17">
      <c r="Q4253" s="2"/>
    </row>
    <row r="4254" spans="17:17">
      <c r="Q4254" s="2"/>
    </row>
    <row r="4255" spans="17:17">
      <c r="Q4255" s="2"/>
    </row>
    <row r="4256" spans="17:17">
      <c r="Q4256" s="2"/>
    </row>
    <row r="4257" spans="17:17">
      <c r="Q4257" s="2"/>
    </row>
    <row r="4258" spans="17:17">
      <c r="Q4258" s="2"/>
    </row>
    <row r="4259" spans="17:17">
      <c r="Q4259" s="2"/>
    </row>
    <row r="4260" spans="17:17">
      <c r="Q4260" s="2"/>
    </row>
    <row r="4261" spans="17:17">
      <c r="Q4261" s="2"/>
    </row>
    <row r="4262" spans="17:17">
      <c r="Q4262" s="2"/>
    </row>
    <row r="4263" spans="17:17">
      <c r="Q4263" s="2"/>
    </row>
    <row r="4264" spans="17:17">
      <c r="Q4264" s="2"/>
    </row>
    <row r="4265" spans="17:17">
      <c r="Q4265" s="2"/>
    </row>
    <row r="4266" spans="17:17">
      <c r="Q4266" s="2"/>
    </row>
    <row r="4267" spans="17:17">
      <c r="Q4267" s="2"/>
    </row>
    <row r="4268" spans="17:17">
      <c r="Q4268" s="2"/>
    </row>
    <row r="4269" spans="17:17">
      <c r="Q4269" s="2"/>
    </row>
    <row r="4270" spans="17:17">
      <c r="Q4270" s="2"/>
    </row>
    <row r="4271" spans="17:17">
      <c r="Q4271" s="2"/>
    </row>
    <row r="4272" spans="17:17">
      <c r="Q4272" s="2"/>
    </row>
    <row r="4273" spans="17:17">
      <c r="Q4273" s="2"/>
    </row>
    <row r="4274" spans="17:17">
      <c r="Q4274" s="2"/>
    </row>
    <row r="4275" spans="17:17">
      <c r="Q4275" s="2"/>
    </row>
    <row r="4276" spans="17:17">
      <c r="Q4276" s="2"/>
    </row>
    <row r="4277" spans="17:17">
      <c r="Q4277" s="2"/>
    </row>
    <row r="4278" spans="17:17">
      <c r="Q4278" s="2"/>
    </row>
    <row r="4279" spans="17:17">
      <c r="Q4279" s="2"/>
    </row>
    <row r="4280" spans="17:17">
      <c r="Q4280" s="2"/>
    </row>
    <row r="4281" spans="17:17">
      <c r="Q4281" s="2"/>
    </row>
    <row r="4282" spans="17:17">
      <c r="Q4282" s="2"/>
    </row>
    <row r="4283" spans="17:17">
      <c r="Q4283" s="2"/>
    </row>
    <row r="4284" spans="17:17">
      <c r="Q4284" s="2"/>
    </row>
    <row r="4285" spans="17:17">
      <c r="Q4285" s="2"/>
    </row>
    <row r="4286" spans="17:17">
      <c r="Q4286" s="2"/>
    </row>
    <row r="4287" spans="17:17">
      <c r="Q4287" s="2"/>
    </row>
    <row r="4288" spans="17:17">
      <c r="Q4288" s="2"/>
    </row>
    <row r="4289" spans="17:17">
      <c r="Q4289" s="2"/>
    </row>
    <row r="4290" spans="17:17">
      <c r="Q4290" s="2"/>
    </row>
    <row r="4291" spans="17:17">
      <c r="Q4291" s="2"/>
    </row>
    <row r="4292" spans="17:17">
      <c r="Q4292" s="2"/>
    </row>
    <row r="4293" spans="17:17">
      <c r="Q4293" s="2"/>
    </row>
    <row r="4294" spans="17:17">
      <c r="Q4294" s="2"/>
    </row>
    <row r="4295" spans="17:17">
      <c r="Q4295" s="2"/>
    </row>
    <row r="4296" spans="17:17">
      <c r="Q4296" s="2"/>
    </row>
    <row r="4297" spans="17:17">
      <c r="Q4297" s="2"/>
    </row>
    <row r="4298" spans="17:17">
      <c r="Q4298" s="2"/>
    </row>
    <row r="4299" spans="17:17">
      <c r="Q4299" s="2"/>
    </row>
    <row r="4300" spans="17:17">
      <c r="Q4300" s="2"/>
    </row>
    <row r="4301" spans="17:17">
      <c r="Q4301" s="2"/>
    </row>
    <row r="4302" spans="17:17">
      <c r="Q4302" s="2"/>
    </row>
    <row r="4303" spans="17:17">
      <c r="Q4303" s="2"/>
    </row>
    <row r="4304" spans="17:17">
      <c r="Q4304" s="2"/>
    </row>
    <row r="4305" spans="17:17">
      <c r="Q4305" s="2"/>
    </row>
    <row r="4306" spans="17:17">
      <c r="Q4306" s="2"/>
    </row>
    <row r="4307" spans="17:17">
      <c r="Q4307" s="2"/>
    </row>
    <row r="4308" spans="17:17">
      <c r="Q4308" s="2"/>
    </row>
    <row r="4309" spans="17:17">
      <c r="Q4309" s="2"/>
    </row>
    <row r="4310" spans="17:17">
      <c r="Q4310" s="2"/>
    </row>
    <row r="4311" spans="17:17">
      <c r="Q4311" s="2"/>
    </row>
    <row r="4312" spans="17:17">
      <c r="Q4312" s="2"/>
    </row>
    <row r="4313" spans="17:17">
      <c r="Q4313" s="2"/>
    </row>
    <row r="4314" spans="17:17">
      <c r="Q4314" s="2"/>
    </row>
    <row r="4315" spans="17:17">
      <c r="Q4315" s="2"/>
    </row>
    <row r="4316" spans="17:17">
      <c r="Q4316" s="2"/>
    </row>
    <row r="4317" spans="17:17">
      <c r="Q4317" s="2"/>
    </row>
    <row r="4318" spans="17:17">
      <c r="Q4318" s="2"/>
    </row>
    <row r="4319" spans="17:17">
      <c r="Q4319" s="2"/>
    </row>
    <row r="4320" spans="17:17">
      <c r="Q4320" s="2"/>
    </row>
    <row r="4321" spans="17:17">
      <c r="Q4321" s="2"/>
    </row>
    <row r="4322" spans="17:17">
      <c r="Q4322" s="2"/>
    </row>
    <row r="4323" spans="17:17">
      <c r="Q4323" s="2"/>
    </row>
    <row r="4324" spans="17:17">
      <c r="Q4324" s="2"/>
    </row>
    <row r="4325" spans="17:17">
      <c r="Q4325" s="2"/>
    </row>
    <row r="4326" spans="17:17">
      <c r="Q4326" s="2"/>
    </row>
    <row r="4327" spans="17:17">
      <c r="Q4327" s="2"/>
    </row>
    <row r="4328" spans="17:17">
      <c r="Q4328" s="2"/>
    </row>
    <row r="4329" spans="17:17">
      <c r="Q4329" s="2"/>
    </row>
    <row r="4330" spans="17:17">
      <c r="Q4330" s="2"/>
    </row>
    <row r="4331" spans="17:17">
      <c r="Q4331" s="2"/>
    </row>
    <row r="4332" spans="17:17">
      <c r="Q4332" s="2"/>
    </row>
    <row r="4333" spans="17:17">
      <c r="Q4333" s="2"/>
    </row>
    <row r="4334" spans="17:17">
      <c r="Q4334" s="2"/>
    </row>
    <row r="4335" spans="17:17">
      <c r="Q4335" s="2"/>
    </row>
    <row r="4336" spans="17:17">
      <c r="Q4336" s="2"/>
    </row>
    <row r="4337" spans="17:17">
      <c r="Q4337" s="2"/>
    </row>
    <row r="4338" spans="17:17">
      <c r="Q4338" s="2"/>
    </row>
    <row r="4339" spans="17:17">
      <c r="Q4339" s="2"/>
    </row>
    <row r="4340" spans="17:17">
      <c r="Q4340" s="2"/>
    </row>
    <row r="4341" spans="17:17">
      <c r="Q4341" s="2"/>
    </row>
    <row r="4342" spans="17:17">
      <c r="Q4342" s="2"/>
    </row>
    <row r="4343" spans="17:17">
      <c r="Q4343" s="2"/>
    </row>
    <row r="4344" spans="17:17">
      <c r="Q4344" s="2"/>
    </row>
    <row r="4345" spans="17:17">
      <c r="Q4345" s="2"/>
    </row>
    <row r="4346" spans="17:17">
      <c r="Q4346" s="2"/>
    </row>
    <row r="4347" spans="17:17">
      <c r="Q4347" s="2"/>
    </row>
    <row r="4348" spans="17:17">
      <c r="Q4348" s="2"/>
    </row>
    <row r="4349" spans="17:17">
      <c r="Q4349" s="2"/>
    </row>
    <row r="4350" spans="17:17">
      <c r="Q4350" s="2"/>
    </row>
    <row r="4351" spans="17:17">
      <c r="Q4351" s="2"/>
    </row>
    <row r="4352" spans="17:17">
      <c r="Q4352" s="2"/>
    </row>
    <row r="4353" spans="17:17">
      <c r="Q4353" s="2"/>
    </row>
    <row r="4354" spans="17:17">
      <c r="Q4354" s="2"/>
    </row>
    <row r="4355" spans="17:17">
      <c r="Q4355" s="2"/>
    </row>
    <row r="4356" spans="17:17">
      <c r="Q4356" s="2"/>
    </row>
    <row r="4357" spans="17:17">
      <c r="Q4357" s="2"/>
    </row>
    <row r="4358" spans="17:17">
      <c r="Q4358" s="2"/>
    </row>
    <row r="4359" spans="17:17">
      <c r="Q4359" s="2"/>
    </row>
    <row r="4360" spans="17:17">
      <c r="Q4360" s="2"/>
    </row>
    <row r="4361" spans="17:17">
      <c r="Q4361" s="2"/>
    </row>
    <row r="4362" spans="17:17">
      <c r="Q4362" s="2"/>
    </row>
    <row r="4363" spans="17:17">
      <c r="Q4363" s="2"/>
    </row>
    <row r="4364" spans="17:17">
      <c r="Q4364" s="2"/>
    </row>
    <row r="4365" spans="17:17">
      <c r="Q4365" s="2"/>
    </row>
    <row r="4366" spans="17:17">
      <c r="Q4366" s="2"/>
    </row>
    <row r="4367" spans="17:17">
      <c r="Q4367" s="2"/>
    </row>
    <row r="4368" spans="17:17">
      <c r="Q4368" s="2"/>
    </row>
    <row r="4369" spans="17:17">
      <c r="Q4369" s="2"/>
    </row>
    <row r="4370" spans="17:17">
      <c r="Q4370" s="2"/>
    </row>
    <row r="4371" spans="17:17">
      <c r="Q4371" s="2"/>
    </row>
    <row r="4372" spans="17:17">
      <c r="Q4372" s="2"/>
    </row>
    <row r="4373" spans="17:17">
      <c r="Q4373" s="2"/>
    </row>
    <row r="4374" spans="17:17">
      <c r="Q4374" s="2"/>
    </row>
    <row r="4375" spans="17:17">
      <c r="Q4375" s="2"/>
    </row>
    <row r="4376" spans="17:17">
      <c r="Q4376" s="2"/>
    </row>
    <row r="4377" spans="17:17">
      <c r="Q4377" s="2"/>
    </row>
    <row r="4378" spans="17:17">
      <c r="Q4378" s="2"/>
    </row>
    <row r="4379" spans="17:17">
      <c r="Q4379" s="2"/>
    </row>
    <row r="4380" spans="17:17">
      <c r="Q4380" s="2"/>
    </row>
    <row r="4381" spans="17:17">
      <c r="Q4381" s="2"/>
    </row>
    <row r="4382" spans="17:17">
      <c r="Q4382" s="2"/>
    </row>
    <row r="4383" spans="17:17">
      <c r="Q4383" s="2"/>
    </row>
    <row r="4384" spans="17:17">
      <c r="Q4384" s="2"/>
    </row>
    <row r="4385" spans="17:17">
      <c r="Q4385" s="2"/>
    </row>
    <row r="4386" spans="17:17">
      <c r="Q4386" s="2"/>
    </row>
    <row r="4387" spans="17:17">
      <c r="Q4387" s="2"/>
    </row>
    <row r="4388" spans="17:17">
      <c r="Q4388" s="2"/>
    </row>
    <row r="4389" spans="17:17">
      <c r="Q4389" s="2"/>
    </row>
    <row r="4390" spans="17:17">
      <c r="Q4390" s="2"/>
    </row>
    <row r="4391" spans="17:17">
      <c r="Q4391" s="2"/>
    </row>
    <row r="4392" spans="17:17">
      <c r="Q4392" s="2"/>
    </row>
    <row r="4393" spans="17:17">
      <c r="Q4393" s="2"/>
    </row>
    <row r="4394" spans="17:17">
      <c r="Q4394" s="2"/>
    </row>
    <row r="4395" spans="17:17">
      <c r="Q4395" s="2"/>
    </row>
    <row r="4396" spans="17:17">
      <c r="Q4396" s="2"/>
    </row>
    <row r="4397" spans="17:17">
      <c r="Q4397" s="2"/>
    </row>
    <row r="4398" spans="17:17">
      <c r="Q4398" s="2"/>
    </row>
    <row r="4399" spans="17:17">
      <c r="Q4399" s="2"/>
    </row>
    <row r="4400" spans="17:17">
      <c r="Q4400" s="2"/>
    </row>
    <row r="4401" spans="17:17">
      <c r="Q4401" s="2"/>
    </row>
    <row r="4402" spans="17:17">
      <c r="Q4402" s="2"/>
    </row>
    <row r="4403" spans="17:17">
      <c r="Q4403" s="2"/>
    </row>
    <row r="4404" spans="17:17">
      <c r="Q4404" s="2"/>
    </row>
    <row r="4405" spans="17:17">
      <c r="Q4405" s="2"/>
    </row>
    <row r="4406" spans="17:17">
      <c r="Q4406" s="2"/>
    </row>
    <row r="4407" spans="17:17">
      <c r="Q4407" s="2"/>
    </row>
    <row r="4408" spans="17:17">
      <c r="Q4408" s="2"/>
    </row>
    <row r="4409" spans="17:17">
      <c r="Q4409" s="2"/>
    </row>
    <row r="4410" spans="17:17">
      <c r="Q4410" s="2"/>
    </row>
    <row r="4411" spans="17:17">
      <c r="Q4411" s="2"/>
    </row>
    <row r="4412" spans="17:17">
      <c r="Q4412" s="2"/>
    </row>
    <row r="4413" spans="17:17">
      <c r="Q4413" s="2"/>
    </row>
    <row r="4414" spans="17:17">
      <c r="Q4414" s="2"/>
    </row>
    <row r="4415" spans="17:17">
      <c r="Q4415" s="2"/>
    </row>
    <row r="4416" spans="17:17">
      <c r="Q4416" s="2"/>
    </row>
    <row r="4417" spans="17:17">
      <c r="Q4417" s="2"/>
    </row>
    <row r="4418" spans="17:17">
      <c r="Q4418" s="2"/>
    </row>
    <row r="4419" spans="17:17">
      <c r="Q4419" s="2"/>
    </row>
    <row r="4420" spans="17:17">
      <c r="Q4420" s="2"/>
    </row>
    <row r="4421" spans="17:17">
      <c r="Q4421" s="2"/>
    </row>
    <row r="4422" spans="17:17">
      <c r="Q4422" s="2"/>
    </row>
    <row r="4423" spans="17:17">
      <c r="Q4423" s="2"/>
    </row>
    <row r="4424" spans="17:17">
      <c r="Q4424" s="2"/>
    </row>
    <row r="4425" spans="17:17">
      <c r="Q4425" s="2"/>
    </row>
    <row r="4426" spans="17:17">
      <c r="Q4426" s="2"/>
    </row>
    <row r="4427" spans="17:17">
      <c r="Q4427" s="2"/>
    </row>
    <row r="4428" spans="17:17">
      <c r="Q4428" s="2"/>
    </row>
    <row r="4429" spans="17:17">
      <c r="Q4429" s="2"/>
    </row>
    <row r="4430" spans="17:17">
      <c r="Q4430" s="2"/>
    </row>
    <row r="4431" spans="17:17">
      <c r="Q4431" s="2"/>
    </row>
    <row r="4432" spans="17:17">
      <c r="Q4432" s="2"/>
    </row>
    <row r="4433" spans="17:17">
      <c r="Q4433" s="2"/>
    </row>
    <row r="4434" spans="17:17">
      <c r="Q4434" s="2"/>
    </row>
    <row r="4435" spans="17:17">
      <c r="Q4435" s="2"/>
    </row>
    <row r="4436" spans="17:17">
      <c r="Q4436" s="2"/>
    </row>
    <row r="4437" spans="17:17">
      <c r="Q4437" s="2"/>
    </row>
    <row r="4438" spans="17:17">
      <c r="Q4438" s="2"/>
    </row>
    <row r="4439" spans="17:17">
      <c r="Q4439" s="2"/>
    </row>
    <row r="4440" spans="17:17">
      <c r="Q4440" s="2"/>
    </row>
    <row r="4441" spans="17:17">
      <c r="Q4441" s="2"/>
    </row>
    <row r="4442" spans="17:17">
      <c r="Q4442" s="2"/>
    </row>
    <row r="4443" spans="17:17">
      <c r="Q4443" s="2"/>
    </row>
    <row r="4444" spans="17:17">
      <c r="Q4444" s="2"/>
    </row>
    <row r="4445" spans="17:17">
      <c r="Q4445" s="2"/>
    </row>
    <row r="4446" spans="17:17">
      <c r="Q4446" s="2"/>
    </row>
    <row r="4447" spans="17:17">
      <c r="Q4447" s="2"/>
    </row>
    <row r="4448" spans="17:17">
      <c r="Q4448" s="2"/>
    </row>
    <row r="4449" spans="17:17">
      <c r="Q4449" s="2"/>
    </row>
    <row r="4450" spans="17:17">
      <c r="Q4450" s="2"/>
    </row>
    <row r="4451" spans="17:17">
      <c r="Q4451" s="2"/>
    </row>
    <row r="4452" spans="17:17">
      <c r="Q4452" s="2"/>
    </row>
    <row r="4453" spans="17:17">
      <c r="Q4453" s="2"/>
    </row>
    <row r="4454" spans="17:17">
      <c r="Q4454" s="2"/>
    </row>
    <row r="4455" spans="17:17">
      <c r="Q4455" s="2"/>
    </row>
    <row r="4456" spans="17:17">
      <c r="Q4456" s="2"/>
    </row>
    <row r="4457" spans="17:17">
      <c r="Q4457" s="2"/>
    </row>
    <row r="4458" spans="17:17">
      <c r="Q4458" s="2"/>
    </row>
    <row r="4459" spans="17:17">
      <c r="Q4459" s="2"/>
    </row>
    <row r="4460" spans="17:17">
      <c r="Q4460" s="2"/>
    </row>
    <row r="4461" spans="17:17">
      <c r="Q4461" s="2"/>
    </row>
    <row r="4462" spans="17:17">
      <c r="Q4462" s="2"/>
    </row>
    <row r="4463" spans="17:17">
      <c r="Q4463" s="2"/>
    </row>
    <row r="4464" spans="17:17">
      <c r="Q4464" s="2"/>
    </row>
    <row r="4465" spans="17:17">
      <c r="Q4465" s="2"/>
    </row>
    <row r="4466" spans="17:17">
      <c r="Q4466" s="2"/>
    </row>
    <row r="4467" spans="17:17">
      <c r="Q4467" s="2"/>
    </row>
    <row r="4468" spans="17:17">
      <c r="Q4468" s="2"/>
    </row>
    <row r="4469" spans="17:17">
      <c r="Q4469" s="2"/>
    </row>
    <row r="4470" spans="17:17">
      <c r="Q4470" s="2"/>
    </row>
    <row r="4471" spans="17:17">
      <c r="Q4471" s="2"/>
    </row>
    <row r="4472" spans="17:17">
      <c r="Q4472" s="2"/>
    </row>
    <row r="4473" spans="17:17">
      <c r="Q4473" s="2"/>
    </row>
    <row r="4474" spans="17:17">
      <c r="Q4474" s="2"/>
    </row>
    <row r="4475" spans="17:17">
      <c r="Q4475" s="2"/>
    </row>
    <row r="4476" spans="17:17">
      <c r="Q4476" s="2"/>
    </row>
    <row r="4477" spans="17:17">
      <c r="Q4477" s="2"/>
    </row>
    <row r="4478" spans="17:17">
      <c r="Q4478" s="2"/>
    </row>
    <row r="4479" spans="17:17">
      <c r="Q4479" s="2"/>
    </row>
    <row r="4480" spans="17:17">
      <c r="Q4480" s="2"/>
    </row>
    <row r="4481" spans="17:17">
      <c r="Q4481" s="2"/>
    </row>
    <row r="4482" spans="17:17">
      <c r="Q4482" s="2"/>
    </row>
    <row r="4483" spans="17:17">
      <c r="Q4483" s="2"/>
    </row>
    <row r="4484" spans="17:17">
      <c r="Q4484" s="2"/>
    </row>
    <row r="4485" spans="17:17">
      <c r="Q4485" s="2"/>
    </row>
    <row r="4486" spans="17:17">
      <c r="Q4486" s="2"/>
    </row>
    <row r="4487" spans="17:17">
      <c r="Q4487" s="2"/>
    </row>
    <row r="4488" spans="17:17">
      <c r="Q4488" s="2"/>
    </row>
    <row r="4489" spans="17:17">
      <c r="Q4489" s="2"/>
    </row>
    <row r="4490" spans="17:17">
      <c r="Q4490" s="2"/>
    </row>
    <row r="4491" spans="17:17">
      <c r="Q4491" s="2"/>
    </row>
    <row r="4492" spans="17:17">
      <c r="Q4492" s="2"/>
    </row>
    <row r="4493" spans="17:17">
      <c r="Q4493" s="2"/>
    </row>
    <row r="4494" spans="17:17">
      <c r="Q4494" s="2"/>
    </row>
    <row r="4495" spans="17:17">
      <c r="Q4495" s="2"/>
    </row>
    <row r="4496" spans="17:17">
      <c r="Q4496" s="2"/>
    </row>
    <row r="4497" spans="17:17">
      <c r="Q4497" s="2"/>
    </row>
    <row r="4498" spans="17:17">
      <c r="Q4498" s="2"/>
    </row>
    <row r="4499" spans="17:17">
      <c r="Q4499" s="2"/>
    </row>
    <row r="4500" spans="17:17">
      <c r="Q4500" s="2"/>
    </row>
    <row r="4501" spans="17:17">
      <c r="Q4501" s="2"/>
    </row>
    <row r="4502" spans="17:17">
      <c r="Q4502" s="2"/>
    </row>
    <row r="4503" spans="17:17">
      <c r="Q4503" s="2"/>
    </row>
    <row r="4504" spans="17:17">
      <c r="Q4504" s="2"/>
    </row>
    <row r="4505" spans="17:17">
      <c r="Q4505" s="2"/>
    </row>
    <row r="4506" spans="17:17">
      <c r="Q4506" s="2"/>
    </row>
    <row r="4507" spans="17:17">
      <c r="Q4507" s="2"/>
    </row>
    <row r="4508" spans="17:17">
      <c r="Q4508" s="2"/>
    </row>
    <row r="4509" spans="17:17">
      <c r="Q4509" s="2"/>
    </row>
    <row r="4510" spans="17:17">
      <c r="Q4510" s="2"/>
    </row>
    <row r="4511" spans="17:17">
      <c r="Q4511" s="2"/>
    </row>
    <row r="4512" spans="17:17">
      <c r="Q4512" s="2"/>
    </row>
    <row r="4513" spans="17:17">
      <c r="Q4513" s="2"/>
    </row>
    <row r="4514" spans="17:17">
      <c r="Q4514" s="2"/>
    </row>
    <row r="4515" spans="17:17">
      <c r="Q4515" s="2"/>
    </row>
    <row r="4516" spans="17:17">
      <c r="Q4516" s="2"/>
    </row>
    <row r="4517" spans="17:17">
      <c r="Q4517" s="2"/>
    </row>
    <row r="4518" spans="17:17">
      <c r="Q4518" s="2"/>
    </row>
    <row r="4519" spans="17:17">
      <c r="Q4519" s="2"/>
    </row>
    <row r="4520" spans="17:17">
      <c r="Q4520" s="2"/>
    </row>
    <row r="4521" spans="17:17">
      <c r="Q4521" s="2"/>
    </row>
    <row r="4522" spans="17:17">
      <c r="Q4522" s="2"/>
    </row>
    <row r="4523" spans="17:17">
      <c r="Q4523" s="2"/>
    </row>
    <row r="4524" spans="17:17">
      <c r="Q4524" s="2"/>
    </row>
    <row r="4525" spans="17:17">
      <c r="Q4525" s="2"/>
    </row>
    <row r="4526" spans="17:17">
      <c r="Q4526" s="2"/>
    </row>
    <row r="4527" spans="17:17">
      <c r="Q4527" s="2"/>
    </row>
    <row r="4528" spans="17:17">
      <c r="Q4528" s="2"/>
    </row>
    <row r="4529" spans="17:17">
      <c r="Q4529" s="2"/>
    </row>
    <row r="4530" spans="17:17">
      <c r="Q4530" s="2"/>
    </row>
    <row r="4531" spans="17:17">
      <c r="Q4531" s="2"/>
    </row>
    <row r="4532" spans="17:17">
      <c r="Q4532" s="2"/>
    </row>
    <row r="4533" spans="17:17">
      <c r="Q4533" s="2"/>
    </row>
    <row r="4534" spans="17:17">
      <c r="Q4534" s="2"/>
    </row>
    <row r="4535" spans="17:17">
      <c r="Q4535" s="2"/>
    </row>
    <row r="4536" spans="17:17">
      <c r="Q4536" s="2"/>
    </row>
    <row r="4537" spans="17:17">
      <c r="Q4537" s="2"/>
    </row>
    <row r="4538" spans="17:17">
      <c r="Q4538" s="2"/>
    </row>
    <row r="4539" spans="17:17">
      <c r="Q4539" s="2"/>
    </row>
    <row r="4540" spans="17:17">
      <c r="Q4540" s="2"/>
    </row>
    <row r="4541" spans="17:17">
      <c r="Q4541" s="2"/>
    </row>
    <row r="4542" spans="17:17">
      <c r="Q4542" s="2"/>
    </row>
    <row r="4543" spans="17:17">
      <c r="Q4543" s="2"/>
    </row>
    <row r="4544" spans="17:17">
      <c r="Q4544" s="2"/>
    </row>
    <row r="4545" spans="17:17">
      <c r="Q4545" s="2"/>
    </row>
    <row r="4546" spans="17:17">
      <c r="Q4546" s="2"/>
    </row>
    <row r="4547" spans="17:17">
      <c r="Q4547" s="2"/>
    </row>
    <row r="4548" spans="17:17">
      <c r="Q4548" s="2"/>
    </row>
    <row r="4549" spans="17:17">
      <c r="Q4549" s="2"/>
    </row>
    <row r="4550" spans="17:17">
      <c r="Q4550" s="2"/>
    </row>
    <row r="4551" spans="17:17">
      <c r="Q4551" s="2"/>
    </row>
    <row r="4552" spans="17:17">
      <c r="Q4552" s="2"/>
    </row>
    <row r="4553" spans="17:17">
      <c r="Q4553" s="2"/>
    </row>
    <row r="4554" spans="17:17">
      <c r="Q4554" s="2"/>
    </row>
    <row r="4555" spans="17:17">
      <c r="Q4555" s="2"/>
    </row>
    <row r="4556" spans="17:17">
      <c r="Q4556" s="2"/>
    </row>
    <row r="4557" spans="17:17">
      <c r="Q4557" s="2"/>
    </row>
    <row r="4558" spans="17:17">
      <c r="Q4558" s="2"/>
    </row>
    <row r="4559" spans="17:17">
      <c r="Q4559" s="2"/>
    </row>
    <row r="4560" spans="17:17">
      <c r="Q4560" s="2"/>
    </row>
    <row r="4561" spans="17:17">
      <c r="Q4561" s="2"/>
    </row>
    <row r="4562" spans="17:17">
      <c r="Q4562" s="2"/>
    </row>
    <row r="4563" spans="17:17">
      <c r="Q4563" s="2"/>
    </row>
    <row r="4564" spans="17:17">
      <c r="Q4564" s="2"/>
    </row>
    <row r="4565" spans="17:17">
      <c r="Q4565" s="2"/>
    </row>
    <row r="4566" spans="17:17">
      <c r="Q4566" s="2"/>
    </row>
    <row r="4567" spans="17:17">
      <c r="Q4567" s="2"/>
    </row>
    <row r="4568" spans="17:17">
      <c r="Q4568" s="2"/>
    </row>
    <row r="4569" spans="17:17">
      <c r="Q4569" s="2"/>
    </row>
    <row r="4570" spans="17:17">
      <c r="Q4570" s="2"/>
    </row>
    <row r="4571" spans="17:17">
      <c r="Q4571" s="2"/>
    </row>
    <row r="4572" spans="17:17">
      <c r="Q4572" s="2"/>
    </row>
    <row r="4573" spans="17:17">
      <c r="Q4573" s="2"/>
    </row>
    <row r="4574" spans="17:17">
      <c r="Q4574" s="2"/>
    </row>
    <row r="4575" spans="17:17">
      <c r="Q4575" s="2"/>
    </row>
    <row r="4576" spans="17:17">
      <c r="Q4576" s="2"/>
    </row>
    <row r="4577" spans="17:17">
      <c r="Q4577" s="2"/>
    </row>
    <row r="4578" spans="17:17">
      <c r="Q4578" s="2"/>
    </row>
    <row r="4579" spans="17:17">
      <c r="Q4579" s="2"/>
    </row>
    <row r="4580" spans="17:17">
      <c r="Q4580" s="2"/>
    </row>
    <row r="4581" spans="17:17">
      <c r="Q4581" s="2"/>
    </row>
    <row r="4582" spans="17:17">
      <c r="Q4582" s="2"/>
    </row>
    <row r="4583" spans="17:17">
      <c r="Q4583" s="2"/>
    </row>
    <row r="4584" spans="17:17">
      <c r="Q4584" s="2"/>
    </row>
    <row r="4585" spans="17:17">
      <c r="Q4585" s="2"/>
    </row>
    <row r="4586" spans="17:17">
      <c r="Q4586" s="2"/>
    </row>
    <row r="4587" spans="17:17">
      <c r="Q4587" s="2"/>
    </row>
    <row r="4588" spans="17:17">
      <c r="Q4588" s="2"/>
    </row>
    <row r="4589" spans="17:17">
      <c r="Q4589" s="2"/>
    </row>
    <row r="4590" spans="17:17">
      <c r="Q4590" s="2"/>
    </row>
    <row r="4591" spans="17:17">
      <c r="Q4591" s="2"/>
    </row>
    <row r="4592" spans="17:17">
      <c r="Q4592" s="2"/>
    </row>
    <row r="4593" spans="17:17">
      <c r="Q4593" s="2"/>
    </row>
    <row r="4594" spans="17:17">
      <c r="Q4594" s="2"/>
    </row>
    <row r="4595" spans="17:17">
      <c r="Q4595" s="2"/>
    </row>
    <row r="4596" spans="17:17">
      <c r="Q4596" s="2"/>
    </row>
    <row r="4597" spans="17:17">
      <c r="Q4597" s="2"/>
    </row>
    <row r="4598" spans="17:17">
      <c r="Q4598" s="2"/>
    </row>
    <row r="4599" spans="17:17">
      <c r="Q4599" s="2"/>
    </row>
    <row r="4600" spans="17:17">
      <c r="Q4600" s="2"/>
    </row>
    <row r="4601" spans="17:17">
      <c r="Q4601" s="2"/>
    </row>
    <row r="4602" spans="17:17">
      <c r="Q4602" s="2"/>
    </row>
    <row r="4603" spans="17:17">
      <c r="Q4603" s="2"/>
    </row>
    <row r="4604" spans="17:17">
      <c r="Q4604" s="2"/>
    </row>
    <row r="4605" spans="17:17">
      <c r="Q4605" s="2"/>
    </row>
    <row r="4606" spans="17:17">
      <c r="Q4606" s="2"/>
    </row>
    <row r="4607" spans="17:17">
      <c r="Q4607" s="2"/>
    </row>
    <row r="4608" spans="17:17">
      <c r="Q4608" s="2"/>
    </row>
    <row r="4609" spans="17:17">
      <c r="Q4609" s="2"/>
    </row>
    <row r="4610" spans="17:17">
      <c r="Q4610" s="2"/>
    </row>
    <row r="4611" spans="17:17">
      <c r="Q4611" s="2"/>
    </row>
    <row r="4612" spans="17:17">
      <c r="Q4612" s="2"/>
    </row>
    <row r="4613" spans="17:17">
      <c r="Q4613" s="2"/>
    </row>
    <row r="4614" spans="17:17">
      <c r="Q4614" s="2"/>
    </row>
    <row r="4615" spans="17:17">
      <c r="Q4615" s="2"/>
    </row>
    <row r="4616" spans="17:17">
      <c r="Q4616" s="2"/>
    </row>
    <row r="4617" spans="17:17">
      <c r="Q4617" s="2"/>
    </row>
    <row r="4618" spans="17:17">
      <c r="Q4618" s="2"/>
    </row>
    <row r="4619" spans="17:17">
      <c r="Q4619" s="2"/>
    </row>
    <row r="4620" spans="17:17">
      <c r="Q4620" s="2"/>
    </row>
    <row r="4621" spans="17:17">
      <c r="Q4621" s="2"/>
    </row>
    <row r="4622" spans="17:17">
      <c r="Q4622" s="2"/>
    </row>
    <row r="4623" spans="17:17">
      <c r="Q4623" s="2"/>
    </row>
    <row r="4624" spans="17:17">
      <c r="Q4624" s="2"/>
    </row>
    <row r="4625" spans="17:17">
      <c r="Q4625" s="2"/>
    </row>
    <row r="4626" spans="17:17">
      <c r="Q4626" s="2"/>
    </row>
    <row r="4627" spans="17:17">
      <c r="Q4627" s="2"/>
    </row>
    <row r="4628" spans="17:17">
      <c r="Q4628" s="2"/>
    </row>
    <row r="4629" spans="17:17">
      <c r="Q4629" s="2"/>
    </row>
    <row r="4630" spans="17:17">
      <c r="Q4630" s="2"/>
    </row>
    <row r="4631" spans="17:17">
      <c r="Q4631" s="2"/>
    </row>
    <row r="4632" spans="17:17">
      <c r="Q4632" s="2"/>
    </row>
    <row r="4633" spans="17:17">
      <c r="Q4633" s="2"/>
    </row>
    <row r="4634" spans="17:17">
      <c r="Q4634" s="2"/>
    </row>
    <row r="4635" spans="17:17">
      <c r="Q4635" s="2"/>
    </row>
    <row r="4636" spans="17:17">
      <c r="Q4636" s="2"/>
    </row>
    <row r="4637" spans="17:17">
      <c r="Q4637" s="2"/>
    </row>
    <row r="4638" spans="17:17">
      <c r="Q4638" s="2"/>
    </row>
    <row r="4639" spans="17:17">
      <c r="Q4639" s="2"/>
    </row>
    <row r="4640" spans="17:17">
      <c r="Q4640" s="2"/>
    </row>
    <row r="4641" spans="17:17">
      <c r="Q4641" s="2"/>
    </row>
    <row r="4642" spans="17:17">
      <c r="Q4642" s="2"/>
    </row>
    <row r="4643" spans="17:17">
      <c r="Q4643" s="2"/>
    </row>
    <row r="4644" spans="17:17">
      <c r="Q4644" s="2"/>
    </row>
    <row r="4645" spans="17:17">
      <c r="Q4645" s="2"/>
    </row>
    <row r="4646" spans="17:17">
      <c r="Q4646" s="2"/>
    </row>
    <row r="4647" spans="17:17">
      <c r="Q4647" s="2"/>
    </row>
    <row r="4648" spans="17:17">
      <c r="Q4648" s="2"/>
    </row>
    <row r="4649" spans="17:17">
      <c r="Q4649" s="2"/>
    </row>
    <row r="4650" spans="17:17">
      <c r="Q4650" s="2"/>
    </row>
    <row r="4651" spans="17:17">
      <c r="Q4651" s="2"/>
    </row>
    <row r="4652" spans="17:17">
      <c r="Q4652" s="2"/>
    </row>
    <row r="4653" spans="17:17">
      <c r="Q4653" s="2"/>
    </row>
    <row r="4654" spans="17:17">
      <c r="Q4654" s="2"/>
    </row>
    <row r="4655" spans="17:17">
      <c r="Q4655" s="2"/>
    </row>
    <row r="4656" spans="17:17">
      <c r="Q4656" s="2"/>
    </row>
    <row r="4657" spans="17:17">
      <c r="Q4657" s="2"/>
    </row>
    <row r="4658" spans="17:17">
      <c r="Q4658" s="2"/>
    </row>
    <row r="4659" spans="17:17">
      <c r="Q4659" s="2"/>
    </row>
    <row r="4660" spans="17:17">
      <c r="Q4660" s="2"/>
    </row>
    <row r="4661" spans="17:17">
      <c r="Q4661" s="2"/>
    </row>
    <row r="4662" spans="17:17">
      <c r="Q4662" s="2"/>
    </row>
    <row r="4663" spans="17:17">
      <c r="Q4663" s="2"/>
    </row>
    <row r="4664" spans="17:17">
      <c r="Q4664" s="2"/>
    </row>
    <row r="4665" spans="17:17">
      <c r="Q4665" s="2"/>
    </row>
    <row r="4666" spans="17:17">
      <c r="Q4666" s="2"/>
    </row>
    <row r="4667" spans="17:17">
      <c r="Q4667" s="2"/>
    </row>
    <row r="4668" spans="17:17">
      <c r="Q4668" s="2"/>
    </row>
    <row r="4669" spans="17:17">
      <c r="Q4669" s="2"/>
    </row>
    <row r="4670" spans="17:17">
      <c r="Q4670" s="2"/>
    </row>
    <row r="4671" spans="17:17">
      <c r="Q4671" s="2"/>
    </row>
    <row r="4672" spans="17:17">
      <c r="Q4672" s="2"/>
    </row>
    <row r="4673" spans="17:17">
      <c r="Q4673" s="2"/>
    </row>
    <row r="4674" spans="17:17">
      <c r="Q4674" s="2"/>
    </row>
    <row r="4675" spans="17:17">
      <c r="Q4675" s="2"/>
    </row>
    <row r="4676" spans="17:17">
      <c r="Q4676" s="2"/>
    </row>
    <row r="4677" spans="17:17">
      <c r="Q4677" s="2"/>
    </row>
    <row r="4678" spans="17:17">
      <c r="Q4678" s="2"/>
    </row>
    <row r="4679" spans="17:17">
      <c r="Q4679" s="2"/>
    </row>
    <row r="4680" spans="17:17">
      <c r="Q4680" s="2"/>
    </row>
    <row r="4681" spans="17:17">
      <c r="Q4681" s="2"/>
    </row>
    <row r="4682" spans="17:17">
      <c r="Q4682" s="2"/>
    </row>
    <row r="4683" spans="17:17">
      <c r="Q4683" s="2"/>
    </row>
    <row r="4684" spans="17:17">
      <c r="Q4684" s="2"/>
    </row>
    <row r="4685" spans="17:17">
      <c r="Q4685" s="2"/>
    </row>
    <row r="4686" spans="17:17">
      <c r="Q4686" s="2"/>
    </row>
    <row r="4687" spans="17:17">
      <c r="Q4687" s="2"/>
    </row>
    <row r="4688" spans="17:17">
      <c r="Q4688" s="2"/>
    </row>
    <row r="4689" spans="17:17">
      <c r="Q4689" s="2"/>
    </row>
    <row r="4690" spans="17:17">
      <c r="Q4690" s="2"/>
    </row>
    <row r="4691" spans="17:17">
      <c r="Q4691" s="2"/>
    </row>
    <row r="4692" spans="17:17">
      <c r="Q4692" s="2"/>
    </row>
    <row r="4693" spans="17:17">
      <c r="Q4693" s="2"/>
    </row>
    <row r="4694" spans="17:17">
      <c r="Q4694" s="2"/>
    </row>
    <row r="4695" spans="17:17">
      <c r="Q4695" s="2"/>
    </row>
    <row r="4696" spans="17:17">
      <c r="Q4696" s="2"/>
    </row>
    <row r="4697" spans="17:17">
      <c r="Q4697" s="2"/>
    </row>
    <row r="4698" spans="17:17">
      <c r="Q4698" s="2"/>
    </row>
    <row r="4699" spans="17:17">
      <c r="Q4699" s="2"/>
    </row>
    <row r="4700" spans="17:17">
      <c r="Q4700" s="2"/>
    </row>
    <row r="4701" spans="17:17">
      <c r="Q4701" s="2"/>
    </row>
    <row r="4702" spans="17:17">
      <c r="Q4702" s="2"/>
    </row>
    <row r="4703" spans="17:17">
      <c r="Q4703" s="2"/>
    </row>
    <row r="4704" spans="17:17">
      <c r="Q4704" s="2"/>
    </row>
    <row r="4705" spans="17:17">
      <c r="Q4705" s="2"/>
    </row>
    <row r="4706" spans="17:17">
      <c r="Q4706" s="2"/>
    </row>
    <row r="4707" spans="17:17">
      <c r="Q4707" s="2"/>
    </row>
    <row r="4708" spans="17:17">
      <c r="Q4708" s="2"/>
    </row>
    <row r="4709" spans="17:17">
      <c r="Q4709" s="2"/>
    </row>
    <row r="4710" spans="17:17">
      <c r="Q4710" s="2"/>
    </row>
    <row r="4711" spans="17:17">
      <c r="Q4711" s="2"/>
    </row>
    <row r="4712" spans="17:17">
      <c r="Q4712" s="2"/>
    </row>
    <row r="4713" spans="17:17">
      <c r="Q4713" s="2"/>
    </row>
    <row r="4714" spans="17:17">
      <c r="Q4714" s="2"/>
    </row>
    <row r="4715" spans="17:17">
      <c r="Q4715" s="2"/>
    </row>
    <row r="4716" spans="17:17">
      <c r="Q4716" s="2"/>
    </row>
    <row r="4717" spans="17:17">
      <c r="Q4717" s="2"/>
    </row>
    <row r="4718" spans="17:17">
      <c r="Q4718" s="2"/>
    </row>
    <row r="4719" spans="17:17">
      <c r="Q4719" s="2"/>
    </row>
    <row r="4720" spans="17:17">
      <c r="Q4720" s="2"/>
    </row>
    <row r="4721" spans="17:17">
      <c r="Q4721" s="2"/>
    </row>
    <row r="4722" spans="17:17">
      <c r="Q4722" s="2"/>
    </row>
    <row r="4723" spans="17:17">
      <c r="Q4723" s="2"/>
    </row>
    <row r="4724" spans="17:17">
      <c r="Q4724" s="2"/>
    </row>
    <row r="4725" spans="17:17">
      <c r="Q4725" s="2"/>
    </row>
    <row r="4726" spans="17:17">
      <c r="Q4726" s="2"/>
    </row>
    <row r="4727" spans="17:17">
      <c r="Q4727" s="2"/>
    </row>
    <row r="4728" spans="17:17">
      <c r="Q4728" s="2"/>
    </row>
    <row r="4729" spans="17:17">
      <c r="Q4729" s="2"/>
    </row>
    <row r="4730" spans="17:17">
      <c r="Q4730" s="2"/>
    </row>
    <row r="4731" spans="17:17">
      <c r="Q4731" s="2"/>
    </row>
    <row r="4732" spans="17:17">
      <c r="Q4732" s="2"/>
    </row>
    <row r="4733" spans="17:17">
      <c r="Q4733" s="2"/>
    </row>
    <row r="4734" spans="17:17">
      <c r="Q4734" s="2"/>
    </row>
    <row r="4735" spans="17:17">
      <c r="Q4735" s="2"/>
    </row>
    <row r="4736" spans="17:17">
      <c r="Q4736" s="2"/>
    </row>
    <row r="4737" spans="17:17">
      <c r="Q4737" s="2"/>
    </row>
    <row r="4738" spans="17:17">
      <c r="Q4738" s="2"/>
    </row>
    <row r="4739" spans="17:17">
      <c r="Q4739" s="2"/>
    </row>
    <row r="4740" spans="17:17">
      <c r="Q4740" s="2"/>
    </row>
    <row r="4741" spans="17:17">
      <c r="Q4741" s="2"/>
    </row>
    <row r="4742" spans="17:17">
      <c r="Q4742" s="2"/>
    </row>
    <row r="4743" spans="17:17">
      <c r="Q4743" s="2"/>
    </row>
    <row r="4744" spans="17:17">
      <c r="Q4744" s="2"/>
    </row>
    <row r="4745" spans="17:17">
      <c r="Q4745" s="2"/>
    </row>
    <row r="4746" spans="17:17">
      <c r="Q4746" s="2"/>
    </row>
    <row r="4747" spans="17:17">
      <c r="Q4747" s="2"/>
    </row>
    <row r="4748" spans="17:17">
      <c r="Q4748" s="2"/>
    </row>
    <row r="4749" spans="17:17">
      <c r="Q4749" s="2"/>
    </row>
    <row r="4750" spans="17:17">
      <c r="Q4750" s="2"/>
    </row>
    <row r="4751" spans="17:17">
      <c r="Q4751" s="2"/>
    </row>
    <row r="4752" spans="17:17">
      <c r="Q4752" s="2"/>
    </row>
    <row r="4753" spans="17:17">
      <c r="Q4753" s="2"/>
    </row>
    <row r="4754" spans="17:17">
      <c r="Q4754" s="2"/>
    </row>
    <row r="4755" spans="17:17">
      <c r="Q4755" s="2"/>
    </row>
    <row r="4756" spans="17:17">
      <c r="Q4756" s="2"/>
    </row>
    <row r="4757" spans="17:17">
      <c r="Q4757" s="2"/>
    </row>
    <row r="4758" spans="17:17">
      <c r="Q4758" s="2"/>
    </row>
    <row r="4759" spans="17:17">
      <c r="Q4759" s="2"/>
    </row>
    <row r="4760" spans="17:17">
      <c r="Q4760" s="2"/>
    </row>
    <row r="4761" spans="17:17">
      <c r="Q4761" s="2"/>
    </row>
    <row r="4762" spans="17:17">
      <c r="Q4762" s="2"/>
    </row>
    <row r="4763" spans="17:17">
      <c r="Q4763" s="2"/>
    </row>
    <row r="4764" spans="17:17">
      <c r="Q4764" s="2"/>
    </row>
    <row r="4765" spans="17:17">
      <c r="Q4765" s="2"/>
    </row>
    <row r="4766" spans="17:17">
      <c r="Q4766" s="2"/>
    </row>
    <row r="4767" spans="17:17">
      <c r="Q4767" s="2"/>
    </row>
    <row r="4768" spans="17:17">
      <c r="Q4768" s="2"/>
    </row>
    <row r="4769" spans="17:17">
      <c r="Q4769" s="2"/>
    </row>
    <row r="4770" spans="17:17">
      <c r="Q4770" s="2"/>
    </row>
    <row r="4771" spans="17:17">
      <c r="Q4771" s="2"/>
    </row>
    <row r="4772" spans="17:17">
      <c r="Q4772" s="2"/>
    </row>
    <row r="4773" spans="17:17">
      <c r="Q4773" s="2"/>
    </row>
    <row r="4774" spans="17:17">
      <c r="Q4774" s="2"/>
    </row>
    <row r="4775" spans="17:17">
      <c r="Q4775" s="2"/>
    </row>
    <row r="4776" spans="17:17">
      <c r="Q4776" s="2"/>
    </row>
    <row r="4777" spans="17:17">
      <c r="Q4777" s="2"/>
    </row>
    <row r="4778" spans="17:17">
      <c r="Q4778" s="2"/>
    </row>
    <row r="4779" spans="17:17">
      <c r="Q4779" s="2"/>
    </row>
    <row r="4780" spans="17:17">
      <c r="Q4780" s="2"/>
    </row>
    <row r="4781" spans="17:17">
      <c r="Q4781" s="2"/>
    </row>
    <row r="4782" spans="17:17">
      <c r="Q4782" s="2"/>
    </row>
    <row r="4783" spans="17:17">
      <c r="Q4783" s="2"/>
    </row>
    <row r="4784" spans="17:17">
      <c r="Q4784" s="2"/>
    </row>
    <row r="4785" spans="17:17">
      <c r="Q4785" s="2"/>
    </row>
    <row r="4786" spans="17:17">
      <c r="Q4786" s="2"/>
    </row>
    <row r="4787" spans="17:17">
      <c r="Q4787" s="2"/>
    </row>
    <row r="4788" spans="17:17">
      <c r="Q4788" s="2"/>
    </row>
    <row r="4789" spans="17:17">
      <c r="Q4789" s="2"/>
    </row>
    <row r="4790" spans="17:17">
      <c r="Q4790" s="2"/>
    </row>
    <row r="4791" spans="17:17">
      <c r="Q4791" s="2"/>
    </row>
    <row r="4792" spans="17:17">
      <c r="Q4792" s="2"/>
    </row>
    <row r="4793" spans="17:17">
      <c r="Q4793" s="2"/>
    </row>
    <row r="4794" spans="17:17">
      <c r="Q4794" s="2"/>
    </row>
    <row r="4795" spans="17:17">
      <c r="Q4795" s="2"/>
    </row>
    <row r="4796" spans="17:17">
      <c r="Q4796" s="2"/>
    </row>
    <row r="4797" spans="17:17">
      <c r="Q4797" s="2"/>
    </row>
    <row r="4798" spans="17:17">
      <c r="Q4798" s="2"/>
    </row>
    <row r="4799" spans="17:17">
      <c r="Q4799" s="2"/>
    </row>
    <row r="4800" spans="17:17">
      <c r="Q4800" s="2"/>
    </row>
    <row r="4801" spans="17:17">
      <c r="Q4801" s="2"/>
    </row>
    <row r="4802" spans="17:17">
      <c r="Q4802" s="2"/>
    </row>
    <row r="4803" spans="17:17">
      <c r="Q4803" s="2"/>
    </row>
    <row r="4804" spans="17:17">
      <c r="Q4804" s="2"/>
    </row>
    <row r="4805" spans="17:17">
      <c r="Q4805" s="2"/>
    </row>
    <row r="4806" spans="17:17">
      <c r="Q4806" s="2"/>
    </row>
    <row r="4807" spans="17:17">
      <c r="Q4807" s="2"/>
    </row>
    <row r="4808" spans="17:17">
      <c r="Q4808" s="2"/>
    </row>
    <row r="4809" spans="17:17">
      <c r="Q4809" s="2"/>
    </row>
    <row r="4810" spans="17:17">
      <c r="Q4810" s="2"/>
    </row>
    <row r="4811" spans="17:17">
      <c r="Q4811" s="2"/>
    </row>
    <row r="4812" spans="17:17">
      <c r="Q4812" s="2"/>
    </row>
    <row r="4813" spans="17:17">
      <c r="Q4813" s="2"/>
    </row>
    <row r="4814" spans="17:17">
      <c r="Q4814" s="2"/>
    </row>
    <row r="4815" spans="17:17">
      <c r="Q4815" s="2"/>
    </row>
    <row r="4816" spans="17:17">
      <c r="Q4816" s="2"/>
    </row>
    <row r="4817" spans="17:17">
      <c r="Q4817" s="2"/>
    </row>
    <row r="4818" spans="17:17">
      <c r="Q4818" s="2"/>
    </row>
    <row r="4819" spans="17:17">
      <c r="Q4819" s="2"/>
    </row>
    <row r="4820" spans="17:17">
      <c r="Q4820" s="2"/>
    </row>
    <row r="4821" spans="17:17">
      <c r="Q4821" s="2"/>
    </row>
    <row r="4822" spans="17:17">
      <c r="Q4822" s="2"/>
    </row>
    <row r="4823" spans="17:17">
      <c r="Q4823" s="2"/>
    </row>
    <row r="4824" spans="17:17">
      <c r="Q4824" s="2"/>
    </row>
    <row r="4825" spans="17:17">
      <c r="Q4825" s="2"/>
    </row>
    <row r="4826" spans="17:17">
      <c r="Q4826" s="2"/>
    </row>
    <row r="4827" spans="17:17">
      <c r="Q4827" s="2"/>
    </row>
    <row r="4828" spans="17:17">
      <c r="Q4828" s="2"/>
    </row>
    <row r="4829" spans="17:17">
      <c r="Q4829" s="2"/>
    </row>
    <row r="4830" spans="17:17">
      <c r="Q4830" s="2"/>
    </row>
    <row r="4831" spans="17:17">
      <c r="Q4831" s="2"/>
    </row>
    <row r="4832" spans="17:17">
      <c r="Q4832" s="2"/>
    </row>
    <row r="4833" spans="17:17">
      <c r="Q4833" s="2"/>
    </row>
    <row r="4834" spans="17:17">
      <c r="Q4834" s="2"/>
    </row>
    <row r="4835" spans="17:17">
      <c r="Q4835" s="2"/>
    </row>
    <row r="4836" spans="17:17">
      <c r="Q4836" s="2"/>
    </row>
    <row r="4837" spans="17:17">
      <c r="Q4837" s="2"/>
    </row>
    <row r="4838" spans="17:17">
      <c r="Q4838" s="2"/>
    </row>
    <row r="4839" spans="17:17">
      <c r="Q4839" s="2"/>
    </row>
    <row r="4840" spans="17:17">
      <c r="Q4840" s="2"/>
    </row>
    <row r="4841" spans="17:17">
      <c r="Q4841" s="2"/>
    </row>
    <row r="4842" spans="17:17">
      <c r="Q4842" s="2"/>
    </row>
    <row r="4843" spans="17:17">
      <c r="Q4843" s="2"/>
    </row>
    <row r="4844" spans="17:17">
      <c r="Q4844" s="2"/>
    </row>
    <row r="4845" spans="17:17">
      <c r="Q4845" s="2"/>
    </row>
    <row r="4846" spans="17:17">
      <c r="Q4846" s="2"/>
    </row>
    <row r="4847" spans="17:17">
      <c r="Q4847" s="2"/>
    </row>
    <row r="4848" spans="17:17">
      <c r="Q4848" s="2"/>
    </row>
    <row r="4849" spans="17:17">
      <c r="Q4849" s="2"/>
    </row>
    <row r="4850" spans="17:17">
      <c r="Q4850" s="2"/>
    </row>
    <row r="4851" spans="17:17">
      <c r="Q4851" s="2"/>
    </row>
    <row r="4852" spans="17:17">
      <c r="Q4852" s="2"/>
    </row>
    <row r="4853" spans="17:17">
      <c r="Q4853" s="2"/>
    </row>
    <row r="4854" spans="17:17">
      <c r="Q4854" s="2"/>
    </row>
    <row r="4855" spans="17:17">
      <c r="Q4855" s="2"/>
    </row>
    <row r="4856" spans="17:17">
      <c r="Q4856" s="2"/>
    </row>
    <row r="4857" spans="17:17">
      <c r="Q4857" s="2"/>
    </row>
    <row r="4858" spans="17:17">
      <c r="Q4858" s="2"/>
    </row>
    <row r="4859" spans="17:17">
      <c r="Q4859" s="2"/>
    </row>
    <row r="4860" spans="17:17">
      <c r="Q4860" s="2"/>
    </row>
    <row r="4861" spans="17:17">
      <c r="Q4861" s="2"/>
    </row>
    <row r="4862" spans="17:17">
      <c r="Q4862" s="2"/>
    </row>
    <row r="4863" spans="17:17">
      <c r="Q4863" s="2"/>
    </row>
    <row r="4864" spans="17:17">
      <c r="Q4864" s="2"/>
    </row>
    <row r="4865" spans="17:17">
      <c r="Q4865" s="2"/>
    </row>
    <row r="4866" spans="17:17">
      <c r="Q4866" s="2"/>
    </row>
    <row r="4867" spans="17:17">
      <c r="Q4867" s="2"/>
    </row>
    <row r="4868" spans="17:17">
      <c r="Q4868" s="2"/>
    </row>
    <row r="4869" spans="17:17">
      <c r="Q4869" s="2"/>
    </row>
    <row r="4870" spans="17:17">
      <c r="Q4870" s="2"/>
    </row>
    <row r="4871" spans="17:17">
      <c r="Q4871" s="2"/>
    </row>
    <row r="4872" spans="17:17">
      <c r="Q4872" s="2"/>
    </row>
    <row r="4873" spans="17:17">
      <c r="Q4873" s="2"/>
    </row>
    <row r="4874" spans="17:17">
      <c r="Q4874" s="2"/>
    </row>
    <row r="4875" spans="17:17">
      <c r="Q4875" s="2"/>
    </row>
    <row r="4876" spans="17:17">
      <c r="Q4876" s="2"/>
    </row>
    <row r="4877" spans="17:17">
      <c r="Q4877" s="2"/>
    </row>
    <row r="4878" spans="17:17">
      <c r="Q4878" s="2"/>
    </row>
    <row r="4879" spans="17:17">
      <c r="Q4879" s="2"/>
    </row>
    <row r="4880" spans="17:17">
      <c r="Q4880" s="2"/>
    </row>
    <row r="4881" spans="17:17">
      <c r="Q4881" s="2"/>
    </row>
    <row r="4882" spans="17:17">
      <c r="Q4882" s="2"/>
    </row>
    <row r="4883" spans="17:17">
      <c r="Q4883" s="2"/>
    </row>
    <row r="4884" spans="17:17">
      <c r="Q4884" s="2"/>
    </row>
    <row r="4885" spans="17:17">
      <c r="Q4885" s="2"/>
    </row>
    <row r="4886" spans="17:17">
      <c r="Q4886" s="2"/>
    </row>
    <row r="4887" spans="17:17">
      <c r="Q4887" s="2"/>
    </row>
    <row r="4888" spans="17:17">
      <c r="Q4888" s="2"/>
    </row>
    <row r="4889" spans="17:17">
      <c r="Q4889" s="2"/>
    </row>
    <row r="4890" spans="17:17">
      <c r="Q4890" s="2"/>
    </row>
    <row r="4891" spans="17:17">
      <c r="Q4891" s="2"/>
    </row>
    <row r="4892" spans="17:17">
      <c r="Q4892" s="2"/>
    </row>
    <row r="4893" spans="17:17">
      <c r="Q4893" s="2"/>
    </row>
    <row r="4894" spans="17:17">
      <c r="Q4894" s="2"/>
    </row>
    <row r="4895" spans="17:17">
      <c r="Q4895" s="2"/>
    </row>
    <row r="4896" spans="17:17">
      <c r="Q4896" s="2"/>
    </row>
    <row r="4897" spans="17:17">
      <c r="Q4897" s="2"/>
    </row>
    <row r="4898" spans="17:17">
      <c r="Q4898" s="2"/>
    </row>
    <row r="4899" spans="17:17">
      <c r="Q4899" s="2"/>
    </row>
    <row r="4900" spans="17:17">
      <c r="Q4900" s="2"/>
    </row>
    <row r="4901" spans="17:17">
      <c r="Q4901" s="2"/>
    </row>
    <row r="4902" spans="17:17">
      <c r="Q4902" s="2"/>
    </row>
    <row r="4903" spans="17:17">
      <c r="Q4903" s="2"/>
    </row>
    <row r="4904" spans="17:17">
      <c r="Q4904" s="2"/>
    </row>
    <row r="4905" spans="17:17">
      <c r="Q4905" s="2"/>
    </row>
    <row r="4906" spans="17:17">
      <c r="Q4906" s="2"/>
    </row>
    <row r="4907" spans="17:17">
      <c r="Q4907" s="2"/>
    </row>
    <row r="4908" spans="17:17">
      <c r="Q4908" s="2"/>
    </row>
    <row r="4909" spans="17:17">
      <c r="Q4909" s="2"/>
    </row>
    <row r="4910" spans="17:17">
      <c r="Q4910" s="2"/>
    </row>
    <row r="4911" spans="17:17">
      <c r="Q4911" s="2"/>
    </row>
    <row r="4912" spans="17:17">
      <c r="Q4912" s="2"/>
    </row>
    <row r="4913" spans="17:17">
      <c r="Q4913" s="2"/>
    </row>
    <row r="4914" spans="17:17">
      <c r="Q4914" s="2"/>
    </row>
    <row r="4915" spans="17:17">
      <c r="Q4915" s="2"/>
    </row>
    <row r="4916" spans="17:17">
      <c r="Q4916" s="2"/>
    </row>
    <row r="4917" spans="17:17">
      <c r="Q4917" s="2"/>
    </row>
    <row r="4918" spans="17:17">
      <c r="Q4918" s="2"/>
    </row>
    <row r="4919" spans="17:17">
      <c r="Q4919" s="2"/>
    </row>
    <row r="4920" spans="17:17">
      <c r="Q4920" s="2"/>
    </row>
    <row r="4921" spans="17:17">
      <c r="Q4921" s="2"/>
    </row>
    <row r="4922" spans="17:17">
      <c r="Q4922" s="2"/>
    </row>
    <row r="4923" spans="17:17">
      <c r="Q4923" s="2"/>
    </row>
    <row r="4924" spans="17:17">
      <c r="Q4924" s="2"/>
    </row>
    <row r="4925" spans="17:17">
      <c r="Q4925" s="2"/>
    </row>
    <row r="4926" spans="17:17">
      <c r="Q4926" s="2"/>
    </row>
    <row r="4927" spans="17:17">
      <c r="Q4927" s="2"/>
    </row>
    <row r="4928" spans="17:17">
      <c r="Q4928" s="2"/>
    </row>
    <row r="4929" spans="17:17">
      <c r="Q4929" s="2"/>
    </row>
    <row r="4930" spans="17:17">
      <c r="Q4930" s="2"/>
    </row>
    <row r="4931" spans="17:17">
      <c r="Q4931" s="2"/>
    </row>
    <row r="4932" spans="17:17">
      <c r="Q4932" s="2"/>
    </row>
    <row r="4933" spans="17:17">
      <c r="Q4933" s="2"/>
    </row>
    <row r="4934" spans="17:17">
      <c r="Q4934" s="2"/>
    </row>
    <row r="4935" spans="17:17">
      <c r="Q4935" s="2"/>
    </row>
    <row r="4936" spans="17:17">
      <c r="Q4936" s="2"/>
    </row>
    <row r="4937" spans="17:17">
      <c r="Q4937" s="2"/>
    </row>
    <row r="4938" spans="17:17">
      <c r="Q4938" s="2"/>
    </row>
    <row r="4939" spans="17:17">
      <c r="Q4939" s="2"/>
    </row>
    <row r="4940" spans="17:17">
      <c r="Q4940" s="2"/>
    </row>
    <row r="4941" spans="17:17">
      <c r="Q4941" s="2"/>
    </row>
    <row r="4942" spans="17:17">
      <c r="Q4942" s="2"/>
    </row>
    <row r="4943" spans="17:17">
      <c r="Q4943" s="2"/>
    </row>
    <row r="4944" spans="17:17">
      <c r="Q4944" s="2"/>
    </row>
    <row r="4945" spans="17:17">
      <c r="Q4945" s="2"/>
    </row>
    <row r="4946" spans="17:17">
      <c r="Q4946" s="2"/>
    </row>
    <row r="4947" spans="17:17">
      <c r="Q4947" s="2"/>
    </row>
    <row r="4948" spans="17:17">
      <c r="Q4948" s="2"/>
    </row>
    <row r="4949" spans="17:17">
      <c r="Q4949" s="2"/>
    </row>
    <row r="4950" spans="17:17">
      <c r="Q4950" s="2"/>
    </row>
    <row r="4951" spans="17:17">
      <c r="Q4951" s="2"/>
    </row>
    <row r="4952" spans="17:17">
      <c r="Q4952" s="2"/>
    </row>
    <row r="4953" spans="17:17">
      <c r="Q4953" s="2"/>
    </row>
    <row r="4954" spans="17:17">
      <c r="Q4954" s="2"/>
    </row>
    <row r="4955" spans="17:17">
      <c r="Q4955" s="2"/>
    </row>
    <row r="4956" spans="17:17">
      <c r="Q4956" s="2"/>
    </row>
    <row r="4957" spans="17:17">
      <c r="Q4957" s="2"/>
    </row>
    <row r="4958" spans="17:17">
      <c r="Q4958" s="2"/>
    </row>
    <row r="4959" spans="17:17">
      <c r="Q4959" s="2"/>
    </row>
    <row r="4960" spans="17:17">
      <c r="Q4960" s="2"/>
    </row>
    <row r="4961" spans="17:17">
      <c r="Q4961" s="2"/>
    </row>
    <row r="4962" spans="17:17">
      <c r="Q4962" s="2"/>
    </row>
    <row r="4963" spans="17:17">
      <c r="Q4963" s="2"/>
    </row>
    <row r="4964" spans="17:17">
      <c r="Q4964" s="2"/>
    </row>
    <row r="4965" spans="17:17">
      <c r="Q4965" s="2"/>
    </row>
    <row r="4966" spans="17:17">
      <c r="Q4966" s="2"/>
    </row>
    <row r="4967" spans="17:17">
      <c r="Q4967" s="2"/>
    </row>
    <row r="4968" spans="17:17">
      <c r="Q4968" s="2"/>
    </row>
    <row r="4969" spans="17:17">
      <c r="Q4969" s="2"/>
    </row>
    <row r="4970" spans="17:17">
      <c r="Q4970" s="2"/>
    </row>
    <row r="4971" spans="17:17">
      <c r="Q4971" s="2"/>
    </row>
    <row r="4972" spans="17:17">
      <c r="Q4972" s="2"/>
    </row>
    <row r="4973" spans="17:17">
      <c r="Q4973" s="2"/>
    </row>
    <row r="4974" spans="17:17">
      <c r="Q4974" s="2"/>
    </row>
    <row r="4975" spans="17:17">
      <c r="Q4975" s="2"/>
    </row>
    <row r="4976" spans="17:17">
      <c r="Q4976" s="2"/>
    </row>
    <row r="4977" spans="17:17">
      <c r="Q4977" s="2"/>
    </row>
    <row r="4978" spans="17:17">
      <c r="Q4978" s="2"/>
    </row>
    <row r="4979" spans="17:17">
      <c r="Q4979" s="2"/>
    </row>
    <row r="4980" spans="17:17">
      <c r="Q4980" s="2"/>
    </row>
    <row r="4981" spans="17:17">
      <c r="Q4981" s="2"/>
    </row>
    <row r="4982" spans="17:17">
      <c r="Q4982" s="2"/>
    </row>
    <row r="4983" spans="17:17">
      <c r="Q4983" s="2"/>
    </row>
    <row r="4984" spans="17:17">
      <c r="Q4984" s="2"/>
    </row>
    <row r="4985" spans="17:17">
      <c r="Q4985" s="2"/>
    </row>
    <row r="4986" spans="17:17">
      <c r="Q4986" s="2"/>
    </row>
    <row r="4987" spans="17:17">
      <c r="Q4987" s="2"/>
    </row>
    <row r="4988" spans="17:17">
      <c r="Q4988" s="2"/>
    </row>
    <row r="4989" spans="17:17">
      <c r="Q4989" s="2"/>
    </row>
    <row r="4990" spans="17:17">
      <c r="Q4990" s="2"/>
    </row>
    <row r="4991" spans="17:17">
      <c r="Q4991" s="2"/>
    </row>
    <row r="4992" spans="17:17">
      <c r="Q4992" s="2"/>
    </row>
    <row r="4993" spans="17:17">
      <c r="Q4993" s="2"/>
    </row>
    <row r="4994" spans="17:17">
      <c r="Q4994" s="2"/>
    </row>
    <row r="4995" spans="17:17">
      <c r="Q4995" s="2"/>
    </row>
    <row r="4996" spans="17:17">
      <c r="Q4996" s="2"/>
    </row>
    <row r="4997" spans="17:17">
      <c r="Q4997" s="2"/>
    </row>
    <row r="4998" spans="17:17">
      <c r="Q4998" s="2"/>
    </row>
    <row r="4999" spans="17:17">
      <c r="Q4999" s="2"/>
    </row>
    <row r="5000" spans="17:17">
      <c r="Q5000" s="2"/>
    </row>
    <row r="5001" spans="17:17">
      <c r="Q5001" s="2"/>
    </row>
    <row r="5002" spans="17:17">
      <c r="Q5002" s="2"/>
    </row>
    <row r="5003" spans="17:17">
      <c r="Q5003" s="2"/>
    </row>
    <row r="5004" spans="17:17">
      <c r="Q5004" s="2"/>
    </row>
    <row r="5005" spans="17:17">
      <c r="Q5005" s="2"/>
    </row>
    <row r="5006" spans="17:17">
      <c r="Q5006" s="2"/>
    </row>
    <row r="5007" spans="17:17">
      <c r="Q5007" s="2"/>
    </row>
    <row r="5008" spans="17:17">
      <c r="Q5008" s="2"/>
    </row>
    <row r="5009" spans="17:17">
      <c r="Q5009" s="2"/>
    </row>
    <row r="5010" spans="17:17">
      <c r="Q5010" s="2"/>
    </row>
    <row r="5011" spans="17:17">
      <c r="Q5011" s="2"/>
    </row>
    <row r="5012" spans="17:17">
      <c r="Q5012" s="2"/>
    </row>
    <row r="5013" spans="17:17">
      <c r="Q5013" s="2"/>
    </row>
    <row r="5014" spans="17:17">
      <c r="Q5014" s="2"/>
    </row>
    <row r="5015" spans="17:17">
      <c r="Q5015" s="2"/>
    </row>
    <row r="5016" spans="17:17">
      <c r="Q5016" s="2"/>
    </row>
    <row r="5017" spans="17:17">
      <c r="Q5017" s="2"/>
    </row>
    <row r="5018" spans="17:17">
      <c r="Q5018" s="2"/>
    </row>
    <row r="5019" spans="17:17">
      <c r="Q5019" s="2"/>
    </row>
    <row r="5020" spans="17:17">
      <c r="Q5020" s="2"/>
    </row>
    <row r="5021" spans="17:17">
      <c r="Q5021" s="2"/>
    </row>
    <row r="5022" spans="17:17">
      <c r="Q5022" s="2"/>
    </row>
    <row r="5023" spans="17:17">
      <c r="Q5023" s="2"/>
    </row>
    <row r="5024" spans="17:17">
      <c r="Q5024" s="2"/>
    </row>
    <row r="5025" spans="17:17">
      <c r="Q5025" s="2"/>
    </row>
    <row r="5026" spans="17:17">
      <c r="Q5026" s="2"/>
    </row>
    <row r="5027" spans="17:17">
      <c r="Q5027" s="2"/>
    </row>
    <row r="5028" spans="17:17">
      <c r="Q5028" s="2"/>
    </row>
    <row r="5029" spans="17:17">
      <c r="Q5029" s="2"/>
    </row>
    <row r="5030" spans="17:17">
      <c r="Q5030" s="2"/>
    </row>
    <row r="5031" spans="17:17">
      <c r="Q5031" s="2"/>
    </row>
    <row r="5032" spans="17:17">
      <c r="Q5032" s="2"/>
    </row>
    <row r="5033" spans="17:17">
      <c r="Q5033" s="2"/>
    </row>
  </sheetData>
  <mergeCells count="7">
    <mergeCell ref="A1:AG1"/>
    <mergeCell ref="A2:B2"/>
    <mergeCell ref="C2:M2"/>
    <mergeCell ref="N2:P2"/>
    <mergeCell ref="Q2:S2"/>
    <mergeCell ref="T2:V2"/>
    <mergeCell ref="W2:Y2"/>
  </mergeCells>
  <pageMargins left="0.7" right="0.7" top="0.75" bottom="0.75" header="0.3" footer="0.3"/>
  <pageSetup paperSize="9" orientation="portrait"/>
  <headerFooter/>
  <ignoredErrors>
    <ignoredError sqref="C375 C376:L382" formula="1" formulaRange="1"/>
    <ignoredError sqref="D375:L375 C383:L38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81"/>
  <sheetViews>
    <sheetView workbookViewId="0">
      <pane xSplit="2" ySplit="4" topLeftCell="L5" activePane="bottomRight" state="frozen"/>
      <selection/>
      <selection pane="topRight"/>
      <selection pane="bottomLeft"/>
      <selection pane="bottomRight" activeCell="Z5" sqref="Z5"/>
    </sheetView>
  </sheetViews>
  <sheetFormatPr defaultColWidth="9" defaultRowHeight="14.25"/>
  <cols>
    <col min="1" max="1" width="9.625" style="2" customWidth="1"/>
    <col min="2" max="2" width="6" style="2" customWidth="1"/>
    <col min="3" max="3" width="10.375" style="2" customWidth="1"/>
    <col min="4" max="4" width="8.75" style="2" customWidth="1"/>
    <col min="5" max="5" width="10.5" style="2" customWidth="1"/>
    <col min="6" max="6" width="9.5" style="2" customWidth="1"/>
    <col min="7" max="7" width="8.625" style="2" customWidth="1"/>
    <col min="8" max="8" width="9" style="2" hidden="1" customWidth="1"/>
    <col min="9" max="9" width="8.75" style="2" hidden="1" customWidth="1"/>
    <col min="10" max="10" width="11.25" style="2" customWidth="1"/>
    <col min="11" max="13" width="9" style="2"/>
    <col min="14" max="14" width="8.875" style="2" customWidth="1"/>
    <col min="15" max="15" width="9" style="2"/>
    <col min="16" max="16" width="10.625" style="2" customWidth="1"/>
    <col min="17" max="17" width="10" style="3" customWidth="1"/>
    <col min="18" max="18" width="10.125" style="2" customWidth="1"/>
    <col min="19" max="25" width="10.625" style="2" customWidth="1"/>
    <col min="26" max="26" width="7.875" style="2" customWidth="1"/>
    <col min="27" max="27" width="9.25" style="2" customWidth="1"/>
    <col min="28" max="28" width="9.75" style="2" customWidth="1"/>
    <col min="29" max="29" width="8.125" style="2" customWidth="1"/>
    <col min="30" max="30" width="9" style="2"/>
    <col min="31" max="31" width="9.375" style="2" customWidth="1"/>
    <col min="32" max="32" width="9" style="2"/>
    <col min="33" max="33" width="9.5" style="2" customWidth="1"/>
    <col min="34" max="16384" width="9" style="2"/>
  </cols>
  <sheetData>
    <row r="1" ht="15" customHeight="1" spans="1:29">
      <c r="A1" s="4" t="s">
        <v>62</v>
      </c>
      <c r="B1" s="4"/>
      <c r="C1" s="5"/>
      <c r="D1" s="5"/>
      <c r="E1" s="5"/>
      <c r="F1" s="6"/>
      <c r="G1" s="6"/>
      <c r="H1" s="6"/>
      <c r="I1" s="32"/>
      <c r="N1" s="68"/>
      <c r="O1" s="4"/>
      <c r="P1" s="68"/>
      <c r="Q1" s="4"/>
      <c r="R1" s="4"/>
      <c r="S1" s="68"/>
      <c r="T1" s="68"/>
      <c r="U1" s="68"/>
      <c r="V1" s="68"/>
      <c r="W1" s="68"/>
      <c r="X1" s="68"/>
      <c r="Y1" s="68"/>
      <c r="Z1" s="32"/>
      <c r="AA1" s="32"/>
      <c r="AB1" s="32"/>
      <c r="AC1" s="32"/>
    </row>
    <row r="2" ht="15" customHeight="1" spans="1:29">
      <c r="A2" s="7"/>
      <c r="B2" s="7"/>
      <c r="C2" s="69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2</v>
      </c>
      <c r="O2" s="7"/>
      <c r="P2" s="7"/>
      <c r="Q2" s="7" t="s">
        <v>3</v>
      </c>
      <c r="R2" s="7"/>
      <c r="S2" s="7"/>
      <c r="T2" s="7" t="s">
        <v>4</v>
      </c>
      <c r="U2" s="7"/>
      <c r="V2" s="7"/>
      <c r="W2" s="7" t="s">
        <v>5</v>
      </c>
      <c r="X2" s="7"/>
      <c r="Y2" s="7"/>
      <c r="Z2" s="32"/>
      <c r="AA2" s="32"/>
      <c r="AB2" s="32"/>
      <c r="AC2" s="32"/>
    </row>
    <row r="3" ht="24.75" customHeight="1" spans="1:33">
      <c r="A3" s="9" t="s">
        <v>6</v>
      </c>
      <c r="B3" s="9" t="s">
        <v>7</v>
      </c>
      <c r="C3" s="69" t="s">
        <v>8</v>
      </c>
      <c r="D3" s="69" t="s">
        <v>9</v>
      </c>
      <c r="E3" s="69" t="s">
        <v>10</v>
      </c>
      <c r="F3" s="11" t="s">
        <v>11</v>
      </c>
      <c r="G3" s="8" t="s">
        <v>12</v>
      </c>
      <c r="H3" s="12" t="s">
        <v>13</v>
      </c>
      <c r="I3" s="12" t="s">
        <v>14</v>
      </c>
      <c r="J3" s="8" t="s">
        <v>15</v>
      </c>
      <c r="K3" s="8" t="s">
        <v>16</v>
      </c>
      <c r="L3" s="8" t="s">
        <v>17</v>
      </c>
      <c r="M3" s="69" t="s">
        <v>18</v>
      </c>
      <c r="N3" s="69" t="s">
        <v>8</v>
      </c>
      <c r="O3" s="69" t="s">
        <v>9</v>
      </c>
      <c r="P3" s="69" t="s">
        <v>10</v>
      </c>
      <c r="Q3" s="69" t="s">
        <v>8</v>
      </c>
      <c r="R3" s="69" t="s">
        <v>9</v>
      </c>
      <c r="S3" s="69" t="s">
        <v>10</v>
      </c>
      <c r="T3" s="69" t="s">
        <v>8</v>
      </c>
      <c r="U3" s="69" t="s">
        <v>9</v>
      </c>
      <c r="V3" s="69" t="s">
        <v>10</v>
      </c>
      <c r="W3" s="69" t="s">
        <v>8</v>
      </c>
      <c r="X3" s="69" t="s">
        <v>9</v>
      </c>
      <c r="Y3" s="69" t="s">
        <v>10</v>
      </c>
      <c r="Z3" s="51" t="s">
        <v>19</v>
      </c>
      <c r="AA3" s="51" t="s">
        <v>20</v>
      </c>
      <c r="AB3" s="107" t="s">
        <v>21</v>
      </c>
      <c r="AC3" s="107" t="s">
        <v>22</v>
      </c>
      <c r="AD3" s="52" t="s">
        <v>23</v>
      </c>
      <c r="AE3" s="52" t="s">
        <v>24</v>
      </c>
      <c r="AF3" s="52" t="s">
        <v>25</v>
      </c>
      <c r="AG3" s="52" t="s">
        <v>26</v>
      </c>
    </row>
    <row r="4" ht="15" customHeight="1" spans="1:33">
      <c r="A4" s="9"/>
      <c r="B4" s="9"/>
      <c r="C4" s="8" t="s">
        <v>29</v>
      </c>
      <c r="D4" s="8" t="s">
        <v>29</v>
      </c>
      <c r="E4" s="8" t="s">
        <v>29</v>
      </c>
      <c r="F4" s="13" t="s">
        <v>30</v>
      </c>
      <c r="G4" s="9" t="s">
        <v>30</v>
      </c>
      <c r="H4" s="9" t="s">
        <v>30</v>
      </c>
      <c r="I4" s="9" t="s">
        <v>30</v>
      </c>
      <c r="J4" s="9" t="s">
        <v>29</v>
      </c>
      <c r="K4" s="9" t="s">
        <v>29</v>
      </c>
      <c r="L4" s="9" t="s">
        <v>29</v>
      </c>
      <c r="M4" s="9"/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 t="s">
        <v>31</v>
      </c>
      <c r="U4" s="8" t="s">
        <v>31</v>
      </c>
      <c r="V4" s="8" t="s">
        <v>31</v>
      </c>
      <c r="W4" s="8" t="s">
        <v>31</v>
      </c>
      <c r="X4" s="8" t="s">
        <v>31</v>
      </c>
      <c r="Y4" s="8" t="s">
        <v>31</v>
      </c>
      <c r="Z4" s="8" t="s">
        <v>32</v>
      </c>
      <c r="AA4" s="8" t="s">
        <v>32</v>
      </c>
      <c r="AB4" s="108" t="s">
        <v>30</v>
      </c>
      <c r="AC4" s="108" t="s">
        <v>33</v>
      </c>
      <c r="AD4" s="8" t="s">
        <v>29</v>
      </c>
      <c r="AE4" s="8" t="s">
        <v>29</v>
      </c>
      <c r="AF4" s="8" t="s">
        <v>29</v>
      </c>
      <c r="AG4" s="8" t="s">
        <v>29</v>
      </c>
    </row>
    <row r="5" ht="15" customHeight="1" spans="1:33">
      <c r="A5" s="14">
        <v>42370</v>
      </c>
      <c r="B5" s="21" t="s">
        <v>37</v>
      </c>
      <c r="C5" s="9">
        <v>46480</v>
      </c>
      <c r="D5" s="38">
        <v>20101</v>
      </c>
      <c r="E5" s="38">
        <v>68870</v>
      </c>
      <c r="F5" s="9">
        <v>3230</v>
      </c>
      <c r="G5" s="38">
        <v>2594</v>
      </c>
      <c r="H5" s="25"/>
      <c r="I5" s="37"/>
      <c r="J5" s="9">
        <f t="shared" ref="J5:J64" si="0">E5-D5</f>
        <v>48769</v>
      </c>
      <c r="K5" s="38">
        <f>J5-C5-M5-L5</f>
        <v>1496</v>
      </c>
      <c r="L5" s="38">
        <v>793</v>
      </c>
      <c r="M5" s="38"/>
      <c r="N5" s="78">
        <f>C5</f>
        <v>46480</v>
      </c>
      <c r="O5" s="79">
        <f>D5</f>
        <v>20101</v>
      </c>
      <c r="P5" s="79">
        <f>E5</f>
        <v>68870</v>
      </c>
      <c r="Q5" s="80">
        <f>N5</f>
        <v>46480</v>
      </c>
      <c r="R5" s="80">
        <f>O5</f>
        <v>20101</v>
      </c>
      <c r="S5" s="80">
        <f>P5</f>
        <v>68870</v>
      </c>
      <c r="T5" s="84">
        <f>N5/'2015'!M5-1</f>
        <v>-0.0416099632974556</v>
      </c>
      <c r="U5" s="84">
        <f>O5/'2015'!N5-1</f>
        <v>0.0597321805145508</v>
      </c>
      <c r="V5" s="84">
        <f>P5/'2015'!O5-1</f>
        <v>0.00629757886585125</v>
      </c>
      <c r="W5" s="85">
        <f>Q5/'2015'!P5-1</f>
        <v>-0.0416099632974556</v>
      </c>
      <c r="X5" s="85">
        <f>R5/'2015'!Q5-1</f>
        <v>0.0597321805145508</v>
      </c>
      <c r="Y5" s="85">
        <f>S5/'2015'!R5-1</f>
        <v>0.00629757886585125</v>
      </c>
      <c r="Z5" s="54">
        <f>Z$11/7</f>
        <v>0.35</v>
      </c>
      <c r="AA5" s="101">
        <f>Q5/10000-Z5</f>
        <v>4.298</v>
      </c>
      <c r="AB5" s="109">
        <f>4230.1</f>
        <v>4230.1</v>
      </c>
      <c r="AC5" s="109"/>
      <c r="AD5" s="9">
        <f>S5-R5</f>
        <v>48769</v>
      </c>
      <c r="AE5" s="38">
        <f>K5</f>
        <v>1496</v>
      </c>
      <c r="AF5" s="38">
        <f>L5</f>
        <v>793</v>
      </c>
      <c r="AG5" s="38">
        <f>AD5-Q5-AE5-AF5</f>
        <v>0</v>
      </c>
    </row>
    <row r="6" ht="15" customHeight="1" spans="1:33">
      <c r="A6" s="14">
        <v>42371</v>
      </c>
      <c r="B6" s="21" t="s">
        <v>38</v>
      </c>
      <c r="C6" s="9">
        <v>53694</v>
      </c>
      <c r="D6" s="38">
        <v>20182</v>
      </c>
      <c r="E6" s="38">
        <v>76193</v>
      </c>
      <c r="F6" s="9">
        <v>3857</v>
      </c>
      <c r="G6" s="38">
        <v>2306</v>
      </c>
      <c r="H6" s="25"/>
      <c r="I6" s="37"/>
      <c r="J6" s="9">
        <f t="shared" si="0"/>
        <v>56011</v>
      </c>
      <c r="K6" s="38">
        <f t="shared" ref="K6:K69" si="1">J6-C6-M6-L6</f>
        <v>1524</v>
      </c>
      <c r="L6" s="38">
        <v>793</v>
      </c>
      <c r="M6" s="38"/>
      <c r="N6" s="78">
        <f t="shared" ref="N6:N35" si="2">N5+C6</f>
        <v>100174</v>
      </c>
      <c r="O6" s="79">
        <f t="shared" ref="O6:O35" si="3">O5+D6</f>
        <v>40283</v>
      </c>
      <c r="P6" s="79">
        <f t="shared" ref="P6:P35" si="4">P5+E6</f>
        <v>145063</v>
      </c>
      <c r="Q6" s="80">
        <f t="shared" ref="Q6:S35" si="5">N6</f>
        <v>100174</v>
      </c>
      <c r="R6" s="80">
        <f t="shared" si="5"/>
        <v>40283</v>
      </c>
      <c r="S6" s="80">
        <f t="shared" si="5"/>
        <v>145063</v>
      </c>
      <c r="T6" s="84">
        <f>N6/'2015'!M6-1</f>
        <v>-0.0695855701892891</v>
      </c>
      <c r="U6" s="84">
        <f>O6/'2015'!N6-1</f>
        <v>0.051116793654107</v>
      </c>
      <c r="V6" s="84">
        <f>P6/'2015'!O6-1</f>
        <v>-0.0187572715712006</v>
      </c>
      <c r="W6" s="85">
        <f>Q6/'2015'!P6-1</f>
        <v>-0.0695855701892891</v>
      </c>
      <c r="X6" s="85">
        <f>R6/'2015'!Q6-1</f>
        <v>0.051116793654107</v>
      </c>
      <c r="Y6" s="85">
        <f>S6/'2015'!R6-1</f>
        <v>-0.0187572715712006</v>
      </c>
      <c r="Z6" s="54">
        <f>Z$11*2/7</f>
        <v>0.7</v>
      </c>
      <c r="AA6" s="101">
        <f t="shared" ref="AA6:AA69" si="6">Q6/10000-Z6</f>
        <v>9.3174</v>
      </c>
      <c r="AB6" s="109"/>
      <c r="AC6" s="109"/>
      <c r="AD6" s="9">
        <f t="shared" ref="AD6:AD69" si="7">S6-R6</f>
        <v>104780</v>
      </c>
      <c r="AE6" s="38">
        <f>AE5+K6</f>
        <v>3020</v>
      </c>
      <c r="AF6" s="38">
        <f>AF5+L6</f>
        <v>1586</v>
      </c>
      <c r="AG6" s="38">
        <f t="shared" ref="AG6:AG69" si="8">AD6-Q6-AE6-AF6</f>
        <v>0</v>
      </c>
    </row>
    <row r="7" ht="15" customHeight="1" spans="1:33">
      <c r="A7" s="14">
        <v>42372</v>
      </c>
      <c r="B7" s="21" t="s">
        <v>1</v>
      </c>
      <c r="C7" s="9">
        <v>58586</v>
      </c>
      <c r="D7" s="38">
        <v>20609</v>
      </c>
      <c r="E7" s="38">
        <v>81629</v>
      </c>
      <c r="F7" s="9">
        <v>4185</v>
      </c>
      <c r="G7" s="38">
        <v>2615</v>
      </c>
      <c r="H7" s="25"/>
      <c r="I7" s="37"/>
      <c r="J7" s="9">
        <f t="shared" si="0"/>
        <v>61020</v>
      </c>
      <c r="K7" s="38">
        <f t="shared" si="1"/>
        <v>1641</v>
      </c>
      <c r="L7" s="38">
        <v>793</v>
      </c>
      <c r="M7" s="38"/>
      <c r="N7" s="78">
        <f t="shared" si="2"/>
        <v>158760</v>
      </c>
      <c r="O7" s="79">
        <f t="shared" si="3"/>
        <v>60892</v>
      </c>
      <c r="P7" s="79">
        <f t="shared" si="4"/>
        <v>226692</v>
      </c>
      <c r="Q7" s="80">
        <f t="shared" si="5"/>
        <v>158760</v>
      </c>
      <c r="R7" s="80">
        <f t="shared" si="5"/>
        <v>60892</v>
      </c>
      <c r="S7" s="80">
        <f t="shared" si="5"/>
        <v>226692</v>
      </c>
      <c r="T7" s="84">
        <f>N7/'2015'!M7-1</f>
        <v>-0.0899293772356232</v>
      </c>
      <c r="U7" s="84">
        <f>O7/'2015'!N7-1</f>
        <v>0.0525660749165962</v>
      </c>
      <c r="V7" s="84">
        <f>P7/'2015'!O7-1</f>
        <v>-0.0374871030608736</v>
      </c>
      <c r="W7" s="85">
        <f>Q7/'2015'!P7-1</f>
        <v>-0.0899293772356232</v>
      </c>
      <c r="X7" s="85">
        <f>R7/'2015'!Q7-1</f>
        <v>0.0525660749165962</v>
      </c>
      <c r="Y7" s="85">
        <f>S7/'2015'!R7-1</f>
        <v>-0.0374871030608736</v>
      </c>
      <c r="Z7" s="54">
        <f>Z$11*3/7</f>
        <v>1.05</v>
      </c>
      <c r="AA7" s="101">
        <f t="shared" si="6"/>
        <v>14.826</v>
      </c>
      <c r="AB7" s="109"/>
      <c r="AC7" s="109"/>
      <c r="AD7" s="9">
        <f t="shared" si="7"/>
        <v>165800</v>
      </c>
      <c r="AE7" s="38">
        <f t="shared" ref="AE7:AF70" si="9">AE6+K7</f>
        <v>4661</v>
      </c>
      <c r="AF7" s="38">
        <f t="shared" si="9"/>
        <v>2379</v>
      </c>
      <c r="AG7" s="38">
        <f t="shared" si="8"/>
        <v>0</v>
      </c>
    </row>
    <row r="8" ht="15" customHeight="1" spans="1:33">
      <c r="A8" s="106">
        <v>42373</v>
      </c>
      <c r="B8" s="21" t="s">
        <v>39</v>
      </c>
      <c r="C8" s="9">
        <v>60406</v>
      </c>
      <c r="D8" s="38">
        <v>21839</v>
      </c>
      <c r="E8" s="38">
        <v>85141</v>
      </c>
      <c r="F8" s="9">
        <v>4410</v>
      </c>
      <c r="G8" s="38">
        <v>2670</v>
      </c>
      <c r="H8" s="25"/>
      <c r="I8" s="37"/>
      <c r="J8" s="9">
        <f t="shared" si="0"/>
        <v>63302</v>
      </c>
      <c r="K8" s="38">
        <f t="shared" si="1"/>
        <v>2103</v>
      </c>
      <c r="L8" s="38">
        <v>793</v>
      </c>
      <c r="M8" s="38"/>
      <c r="N8" s="78">
        <f t="shared" si="2"/>
        <v>219166</v>
      </c>
      <c r="O8" s="79">
        <f t="shared" si="3"/>
        <v>82731</v>
      </c>
      <c r="P8" s="79">
        <f t="shared" si="4"/>
        <v>311833</v>
      </c>
      <c r="Q8" s="80">
        <f t="shared" si="5"/>
        <v>219166</v>
      </c>
      <c r="R8" s="80">
        <f t="shared" si="5"/>
        <v>82731</v>
      </c>
      <c r="S8" s="80">
        <f t="shared" si="5"/>
        <v>311833</v>
      </c>
      <c r="T8" s="84">
        <f>N8/'2015'!M8-1</f>
        <v>-0.0872799053822192</v>
      </c>
      <c r="U8" s="84">
        <f>O8/'2015'!N8-1</f>
        <v>0.0433713363264894</v>
      </c>
      <c r="V8" s="84">
        <f>P8/'2015'!O8-1</f>
        <v>-0.0382678316437465</v>
      </c>
      <c r="W8" s="85">
        <f>Q8/'2015'!P8-1</f>
        <v>-0.0872799053822192</v>
      </c>
      <c r="X8" s="85">
        <f>R8/'2015'!Q8-1</f>
        <v>0.0433713363264894</v>
      </c>
      <c r="Y8" s="85">
        <f>S8/'2015'!R8-1</f>
        <v>-0.0382678316437465</v>
      </c>
      <c r="Z8" s="54">
        <f>Z$11*4/7</f>
        <v>1.4</v>
      </c>
      <c r="AA8" s="101">
        <f t="shared" si="6"/>
        <v>20.5166</v>
      </c>
      <c r="AB8" s="109"/>
      <c r="AC8" s="109"/>
      <c r="AD8" s="9">
        <f t="shared" si="7"/>
        <v>229102</v>
      </c>
      <c r="AE8" s="38">
        <f t="shared" si="9"/>
        <v>6764</v>
      </c>
      <c r="AF8" s="38">
        <f t="shared" si="9"/>
        <v>3172</v>
      </c>
      <c r="AG8" s="38">
        <f t="shared" si="8"/>
        <v>0</v>
      </c>
    </row>
    <row r="9" ht="15" customHeight="1" spans="1:33">
      <c r="A9" s="106">
        <v>42374</v>
      </c>
      <c r="B9" s="15" t="s">
        <v>34</v>
      </c>
      <c r="C9" s="33">
        <v>61236</v>
      </c>
      <c r="D9" s="34">
        <v>24145</v>
      </c>
      <c r="E9" s="34">
        <v>88087</v>
      </c>
      <c r="F9" s="33">
        <v>4510</v>
      </c>
      <c r="G9" s="34">
        <v>2802</v>
      </c>
      <c r="H9" s="20"/>
      <c r="I9" s="20"/>
      <c r="J9" s="33">
        <f t="shared" si="0"/>
        <v>63942</v>
      </c>
      <c r="K9" s="34">
        <f t="shared" si="1"/>
        <v>1913</v>
      </c>
      <c r="L9" s="34">
        <v>793</v>
      </c>
      <c r="M9" s="34"/>
      <c r="N9" s="81">
        <f t="shared" si="2"/>
        <v>280402</v>
      </c>
      <c r="O9" s="82">
        <f t="shared" si="3"/>
        <v>106876</v>
      </c>
      <c r="P9" s="82">
        <f t="shared" si="4"/>
        <v>399920</v>
      </c>
      <c r="Q9" s="81">
        <f t="shared" si="5"/>
        <v>280402</v>
      </c>
      <c r="R9" s="81">
        <f t="shared" si="5"/>
        <v>106876</v>
      </c>
      <c r="S9" s="81">
        <f t="shared" si="5"/>
        <v>399920</v>
      </c>
      <c r="T9" s="86">
        <f>N9/'2015'!M9-1</f>
        <v>-0.0904484796584989</v>
      </c>
      <c r="U9" s="86">
        <f>O9/'2015'!N9-1</f>
        <v>0.0710842528286382</v>
      </c>
      <c r="V9" s="86">
        <f>P9/'2015'!O9-1</f>
        <v>-0.0341169821710631</v>
      </c>
      <c r="W9" s="86">
        <f>Q9/'2015'!P9-1</f>
        <v>-0.0904484796584989</v>
      </c>
      <c r="X9" s="86">
        <f>R9/'2015'!Q9-1</f>
        <v>0.0710842528286382</v>
      </c>
      <c r="Y9" s="86">
        <f>S9/'2015'!R9-1</f>
        <v>-0.0341169821710631</v>
      </c>
      <c r="Z9" s="53">
        <f>Z$11*5/7</f>
        <v>1.75</v>
      </c>
      <c r="AA9" s="53">
        <f t="shared" si="6"/>
        <v>26.2902</v>
      </c>
      <c r="AB9" s="34">
        <v>4230</v>
      </c>
      <c r="AC9" s="34">
        <f>AA9*10000/AB9</f>
        <v>62.1517730496454</v>
      </c>
      <c r="AD9" s="33">
        <f t="shared" si="7"/>
        <v>293044</v>
      </c>
      <c r="AE9" s="34">
        <f t="shared" si="9"/>
        <v>8677</v>
      </c>
      <c r="AF9" s="34">
        <f t="shared" si="9"/>
        <v>3965</v>
      </c>
      <c r="AG9" s="34">
        <f t="shared" si="8"/>
        <v>0</v>
      </c>
    </row>
    <row r="10" ht="15" customHeight="1" spans="1:33">
      <c r="A10" s="106">
        <v>42375</v>
      </c>
      <c r="B10" s="21" t="s">
        <v>35</v>
      </c>
      <c r="C10" s="9">
        <v>62233</v>
      </c>
      <c r="D10" s="38">
        <v>23686</v>
      </c>
      <c r="E10" s="38">
        <v>89344</v>
      </c>
      <c r="F10" s="9">
        <v>4605</v>
      </c>
      <c r="G10" s="38">
        <v>2825</v>
      </c>
      <c r="H10" s="25"/>
      <c r="I10" s="37"/>
      <c r="J10" s="9">
        <f t="shared" si="0"/>
        <v>65658</v>
      </c>
      <c r="K10" s="38">
        <f t="shared" si="1"/>
        <v>2632</v>
      </c>
      <c r="L10" s="38">
        <v>793</v>
      </c>
      <c r="M10" s="38"/>
      <c r="N10" s="78">
        <f t="shared" si="2"/>
        <v>342635</v>
      </c>
      <c r="O10" s="79">
        <f t="shared" si="3"/>
        <v>130562</v>
      </c>
      <c r="P10" s="79">
        <f t="shared" si="4"/>
        <v>489264</v>
      </c>
      <c r="Q10" s="80">
        <f t="shared" si="5"/>
        <v>342635</v>
      </c>
      <c r="R10" s="80">
        <f t="shared" si="5"/>
        <v>130562</v>
      </c>
      <c r="S10" s="80">
        <f t="shared" si="5"/>
        <v>489264</v>
      </c>
      <c r="T10" s="84">
        <f>N10/'2015'!M10-1</f>
        <v>-0.0938123171808963</v>
      </c>
      <c r="U10" s="84">
        <f>O10/'2015'!N10-1</f>
        <v>0.0758151300664958</v>
      </c>
      <c r="V10" s="84">
        <f>P10/'2015'!O10-1</f>
        <v>-0.0341745364960045</v>
      </c>
      <c r="W10" s="85">
        <f>Q10/'2015'!P10-1</f>
        <v>-0.0938123171808963</v>
      </c>
      <c r="X10" s="85">
        <f>R10/'2015'!Q10-1</f>
        <v>0.0758151300664958</v>
      </c>
      <c r="Y10" s="85">
        <f>S10/'2015'!R10-1</f>
        <v>-0.0341745364960045</v>
      </c>
      <c r="Z10" s="54">
        <f>Z$11*6/7</f>
        <v>2.1</v>
      </c>
      <c r="AA10" s="101">
        <f t="shared" si="6"/>
        <v>32.1635</v>
      </c>
      <c r="AB10" s="109"/>
      <c r="AC10" s="109"/>
      <c r="AD10" s="9">
        <f t="shared" si="7"/>
        <v>358702</v>
      </c>
      <c r="AE10" s="38">
        <f t="shared" si="9"/>
        <v>11309</v>
      </c>
      <c r="AF10" s="38">
        <f t="shared" si="9"/>
        <v>4758</v>
      </c>
      <c r="AG10" s="38">
        <f t="shared" si="8"/>
        <v>0</v>
      </c>
    </row>
    <row r="11" ht="15" customHeight="1" spans="1:33">
      <c r="A11" s="106">
        <v>42376</v>
      </c>
      <c r="B11" s="21" t="s">
        <v>36</v>
      </c>
      <c r="C11" s="74">
        <v>65061</v>
      </c>
      <c r="D11" s="75">
        <v>23410</v>
      </c>
      <c r="E11" s="75">
        <v>91245</v>
      </c>
      <c r="F11" s="74">
        <v>4673</v>
      </c>
      <c r="G11" s="75">
        <v>2882</v>
      </c>
      <c r="H11" s="25"/>
      <c r="I11" s="25"/>
      <c r="J11" s="74">
        <f t="shared" si="0"/>
        <v>67835</v>
      </c>
      <c r="K11" s="75">
        <f t="shared" si="1"/>
        <v>1981</v>
      </c>
      <c r="L11" s="75">
        <v>793</v>
      </c>
      <c r="M11" s="75"/>
      <c r="N11" s="78">
        <f t="shared" si="2"/>
        <v>407696</v>
      </c>
      <c r="O11" s="79">
        <f t="shared" si="3"/>
        <v>153972</v>
      </c>
      <c r="P11" s="79">
        <f t="shared" si="4"/>
        <v>580509</v>
      </c>
      <c r="Q11" s="80">
        <f t="shared" si="5"/>
        <v>407696</v>
      </c>
      <c r="R11" s="80">
        <f t="shared" si="5"/>
        <v>153972</v>
      </c>
      <c r="S11" s="80">
        <f t="shared" si="5"/>
        <v>580509</v>
      </c>
      <c r="T11" s="84">
        <f>N11/'2015'!M11-1</f>
        <v>-0.0947873717491846</v>
      </c>
      <c r="U11" s="84">
        <f>O11/'2015'!N11-1</f>
        <v>0.071750751754093</v>
      </c>
      <c r="V11" s="84">
        <f>P11/'2015'!O11-1</f>
        <v>-0.0357714124359475</v>
      </c>
      <c r="W11" s="85">
        <f>Q11/'2015'!P11-1</f>
        <v>-0.0947873717491846</v>
      </c>
      <c r="X11" s="85">
        <f>R11/'2015'!Q11-1</f>
        <v>0.071750751754093</v>
      </c>
      <c r="Y11" s="85">
        <f>S11/'2015'!R11-1</f>
        <v>-0.0357714124359475</v>
      </c>
      <c r="Z11" s="101">
        <v>2.45</v>
      </c>
      <c r="AA11" s="101">
        <f t="shared" si="6"/>
        <v>38.3196</v>
      </c>
      <c r="AB11" s="110">
        <v>4230</v>
      </c>
      <c r="AC11" s="109">
        <f>AA11*10000/AB11</f>
        <v>90.5900709219858</v>
      </c>
      <c r="AD11" s="74">
        <f t="shared" si="7"/>
        <v>426537</v>
      </c>
      <c r="AE11" s="75">
        <f t="shared" si="9"/>
        <v>13290</v>
      </c>
      <c r="AF11" s="75">
        <f t="shared" si="9"/>
        <v>5551</v>
      </c>
      <c r="AG11" s="75">
        <f t="shared" si="8"/>
        <v>0</v>
      </c>
    </row>
    <row r="12" ht="15" customHeight="1" spans="1:33">
      <c r="A12" s="106">
        <v>42377</v>
      </c>
      <c r="B12" s="21" t="s">
        <v>37</v>
      </c>
      <c r="C12" s="9">
        <v>65590</v>
      </c>
      <c r="D12" s="38">
        <v>25135</v>
      </c>
      <c r="E12" s="38">
        <v>93720</v>
      </c>
      <c r="F12" s="9">
        <v>4802</v>
      </c>
      <c r="G12" s="38">
        <v>2932</v>
      </c>
      <c r="H12" s="25"/>
      <c r="I12" s="37"/>
      <c r="J12" s="9">
        <f t="shared" si="0"/>
        <v>68585</v>
      </c>
      <c r="K12" s="38">
        <f t="shared" si="1"/>
        <v>2202</v>
      </c>
      <c r="L12" s="38">
        <v>793</v>
      </c>
      <c r="M12" s="38"/>
      <c r="N12" s="78">
        <f t="shared" si="2"/>
        <v>473286</v>
      </c>
      <c r="O12" s="79">
        <f t="shared" si="3"/>
        <v>179107</v>
      </c>
      <c r="P12" s="79">
        <f t="shared" si="4"/>
        <v>674229</v>
      </c>
      <c r="Q12" s="80">
        <f t="shared" si="5"/>
        <v>473286</v>
      </c>
      <c r="R12" s="80">
        <f t="shared" si="5"/>
        <v>179107</v>
      </c>
      <c r="S12" s="80">
        <f t="shared" si="5"/>
        <v>674229</v>
      </c>
      <c r="T12" s="84">
        <f>N12/'2015'!M12-1</f>
        <v>-0.0952976258745269</v>
      </c>
      <c r="U12" s="84">
        <f>O12/'2015'!N12-1</f>
        <v>0.0812114407137769</v>
      </c>
      <c r="V12" s="84">
        <f>P12/'2015'!O12-1</f>
        <v>-0.033657153667989</v>
      </c>
      <c r="W12" s="85">
        <f>Q12/'2015'!P12-1</f>
        <v>-0.0952976258745269</v>
      </c>
      <c r="X12" s="85">
        <f>R12/'2015'!Q12-1</f>
        <v>0.0812114407137769</v>
      </c>
      <c r="Y12" s="85">
        <f>S12/'2015'!R12-1</f>
        <v>-0.033657153667989</v>
      </c>
      <c r="Z12" s="54">
        <f>(Z$14-Z$11)/3+Z$11</f>
        <v>3.34513333333333</v>
      </c>
      <c r="AA12" s="101">
        <f t="shared" si="6"/>
        <v>43.9834666666667</v>
      </c>
      <c r="AB12" s="109"/>
      <c r="AC12" s="109"/>
      <c r="AD12" s="9">
        <f t="shared" si="7"/>
        <v>495122</v>
      </c>
      <c r="AE12" s="38">
        <f t="shared" si="9"/>
        <v>15492</v>
      </c>
      <c r="AF12" s="38">
        <f t="shared" si="9"/>
        <v>6344</v>
      </c>
      <c r="AG12" s="38">
        <f t="shared" si="8"/>
        <v>0</v>
      </c>
    </row>
    <row r="13" ht="15" customHeight="1" spans="1:33">
      <c r="A13" s="106">
        <v>42378</v>
      </c>
      <c r="B13" s="21" t="s">
        <v>38</v>
      </c>
      <c r="C13" s="9">
        <v>62016</v>
      </c>
      <c r="D13" s="38">
        <v>27482</v>
      </c>
      <c r="E13" s="38">
        <v>91817</v>
      </c>
      <c r="F13" s="9">
        <v>4623</v>
      </c>
      <c r="G13" s="38">
        <v>2988</v>
      </c>
      <c r="H13" s="25"/>
      <c r="I13" s="37"/>
      <c r="J13" s="9">
        <f t="shared" si="0"/>
        <v>64335</v>
      </c>
      <c r="K13" s="38">
        <f t="shared" si="1"/>
        <v>1526</v>
      </c>
      <c r="L13" s="38">
        <v>793</v>
      </c>
      <c r="M13" s="38"/>
      <c r="N13" s="78">
        <f t="shared" si="2"/>
        <v>535302</v>
      </c>
      <c r="O13" s="79">
        <f t="shared" si="3"/>
        <v>206589</v>
      </c>
      <c r="P13" s="79">
        <f t="shared" si="4"/>
        <v>766046</v>
      </c>
      <c r="Q13" s="80">
        <f t="shared" si="5"/>
        <v>535302</v>
      </c>
      <c r="R13" s="80">
        <f t="shared" si="5"/>
        <v>206589</v>
      </c>
      <c r="S13" s="80">
        <f t="shared" si="5"/>
        <v>766046</v>
      </c>
      <c r="T13" s="84">
        <f>N13/'2015'!M13-1</f>
        <v>-0.101911597427044</v>
      </c>
      <c r="U13" s="84">
        <f>O13/'2015'!N13-1</f>
        <v>0.105451568369345</v>
      </c>
      <c r="V13" s="84">
        <f>P13/'2015'!O13-1</f>
        <v>-0.0342261792197117</v>
      </c>
      <c r="W13" s="85">
        <f>Q13/'2015'!P13-1</f>
        <v>-0.101911597427044</v>
      </c>
      <c r="X13" s="85">
        <f>R13/'2015'!Q13-1</f>
        <v>0.105451568369345</v>
      </c>
      <c r="Y13" s="85">
        <f>S13/'2015'!R13-1</f>
        <v>-0.0342261792197117</v>
      </c>
      <c r="Z13" s="54">
        <f>(Z$14-Z$11)*2/3+Z$11</f>
        <v>4.24026666666667</v>
      </c>
      <c r="AA13" s="101">
        <f t="shared" si="6"/>
        <v>49.2899333333333</v>
      </c>
      <c r="AB13" s="109"/>
      <c r="AC13" s="109"/>
      <c r="AD13" s="9">
        <f t="shared" si="7"/>
        <v>559457</v>
      </c>
      <c r="AE13" s="38">
        <f t="shared" si="9"/>
        <v>17018</v>
      </c>
      <c r="AF13" s="38">
        <f t="shared" si="9"/>
        <v>7137</v>
      </c>
      <c r="AG13" s="38">
        <f t="shared" si="8"/>
        <v>0</v>
      </c>
    </row>
    <row r="14" ht="15" customHeight="1" spans="1:33">
      <c r="A14" s="106">
        <v>42379</v>
      </c>
      <c r="B14" s="21" t="s">
        <v>1</v>
      </c>
      <c r="C14" s="9">
        <v>59097</v>
      </c>
      <c r="D14" s="38">
        <v>27084</v>
      </c>
      <c r="E14" s="38">
        <v>87814</v>
      </c>
      <c r="F14" s="9">
        <v>4443</v>
      </c>
      <c r="G14" s="38">
        <v>2882</v>
      </c>
      <c r="H14" s="25"/>
      <c r="I14" s="37"/>
      <c r="J14" s="9">
        <f t="shared" si="0"/>
        <v>60730</v>
      </c>
      <c r="K14" s="38">
        <f t="shared" si="1"/>
        <v>840</v>
      </c>
      <c r="L14" s="38">
        <v>793</v>
      </c>
      <c r="M14" s="38"/>
      <c r="N14" s="78">
        <f t="shared" si="2"/>
        <v>594399</v>
      </c>
      <c r="O14" s="79">
        <f t="shared" si="3"/>
        <v>233673</v>
      </c>
      <c r="P14" s="79">
        <f t="shared" si="4"/>
        <v>853860</v>
      </c>
      <c r="Q14" s="80">
        <f t="shared" si="5"/>
        <v>594399</v>
      </c>
      <c r="R14" s="80">
        <f t="shared" si="5"/>
        <v>233673</v>
      </c>
      <c r="S14" s="80">
        <f t="shared" si="5"/>
        <v>853860</v>
      </c>
      <c r="T14" s="84">
        <f>N14/'2015'!M14-1</f>
        <v>-0.109322460575765</v>
      </c>
      <c r="U14" s="84">
        <f>O14/'2015'!N14-1</f>
        <v>0.125099306180817</v>
      </c>
      <c r="V14" s="84">
        <f>P14/'2015'!O14-1</f>
        <v>-0.0370144809852483</v>
      </c>
      <c r="W14" s="85">
        <f>Q14/'2015'!P14-1</f>
        <v>-0.109322460575765</v>
      </c>
      <c r="X14" s="85">
        <f>R14/'2015'!Q14-1</f>
        <v>0.125099306180817</v>
      </c>
      <c r="Y14" s="85">
        <f>S14/'2015'!R14-1</f>
        <v>-0.0370144809852483</v>
      </c>
      <c r="Z14" s="54">
        <v>5.1354</v>
      </c>
      <c r="AA14" s="101">
        <f t="shared" si="6"/>
        <v>54.3045</v>
      </c>
      <c r="AB14" s="109">
        <v>4230</v>
      </c>
      <c r="AC14" s="109">
        <f>AA14*10000/AB14</f>
        <v>128.379432624113</v>
      </c>
      <c r="AD14" s="9">
        <f t="shared" si="7"/>
        <v>620187</v>
      </c>
      <c r="AE14" s="38">
        <v>17932</v>
      </c>
      <c r="AF14" s="38">
        <v>7856</v>
      </c>
      <c r="AG14" s="38">
        <f t="shared" si="8"/>
        <v>0</v>
      </c>
    </row>
    <row r="15" ht="15" customHeight="1" spans="1:33">
      <c r="A15" s="106">
        <v>42380</v>
      </c>
      <c r="B15" s="21" t="s">
        <v>39</v>
      </c>
      <c r="C15" s="9">
        <v>62142</v>
      </c>
      <c r="D15" s="38">
        <v>27542</v>
      </c>
      <c r="E15" s="38">
        <v>91950</v>
      </c>
      <c r="F15" s="9">
        <v>4802</v>
      </c>
      <c r="G15" s="38">
        <v>2932</v>
      </c>
      <c r="H15" s="25"/>
      <c r="I15" s="37"/>
      <c r="J15" s="9">
        <f t="shared" si="0"/>
        <v>64408</v>
      </c>
      <c r="K15" s="38">
        <f t="shared" si="1"/>
        <v>1410.2</v>
      </c>
      <c r="L15" s="38">
        <v>793</v>
      </c>
      <c r="M15" s="38">
        <f>(AG$24-AG$14)/10</f>
        <v>62.8</v>
      </c>
      <c r="N15" s="78">
        <f t="shared" si="2"/>
        <v>656541</v>
      </c>
      <c r="O15" s="79">
        <f t="shared" si="3"/>
        <v>261215</v>
      </c>
      <c r="P15" s="79">
        <f t="shared" si="4"/>
        <v>945810</v>
      </c>
      <c r="Q15" s="80">
        <f t="shared" si="5"/>
        <v>656541</v>
      </c>
      <c r="R15" s="80">
        <f t="shared" si="5"/>
        <v>261215</v>
      </c>
      <c r="S15" s="80">
        <f t="shared" si="5"/>
        <v>945810</v>
      </c>
      <c r="T15" s="84">
        <f>N15/'2015'!M15-1</f>
        <v>-0.104833596708066</v>
      </c>
      <c r="U15" s="84">
        <f>O15/'2015'!N15-1</f>
        <v>0.142752773597452</v>
      </c>
      <c r="V15" s="84">
        <f>P15/'2015'!O15-1</f>
        <v>-0.02965581769459</v>
      </c>
      <c r="W15" s="85">
        <f>Q15/'2015'!P15-1</f>
        <v>-0.104833596708066</v>
      </c>
      <c r="X15" s="85">
        <f>R15/'2015'!Q15-1</f>
        <v>0.142752773597452</v>
      </c>
      <c r="Y15" s="85">
        <f>S15/'2015'!R15-1</f>
        <v>-0.02965581769459</v>
      </c>
      <c r="Z15" s="54">
        <f>(Z$18-Z$14)*1/4+Z$14</f>
        <v>5.63655</v>
      </c>
      <c r="AA15" s="101">
        <f t="shared" si="6"/>
        <v>60.01755</v>
      </c>
      <c r="AB15" s="109"/>
      <c r="AC15" s="109"/>
      <c r="AD15" s="9">
        <f t="shared" si="7"/>
        <v>684595</v>
      </c>
      <c r="AE15" s="38">
        <f t="shared" si="9"/>
        <v>19342.2</v>
      </c>
      <c r="AF15" s="38">
        <f t="shared" si="9"/>
        <v>8649</v>
      </c>
      <c r="AG15" s="38">
        <f t="shared" si="8"/>
        <v>62.7999999999993</v>
      </c>
    </row>
    <row r="16" ht="15" customHeight="1" spans="1:33">
      <c r="A16" s="106">
        <v>42381</v>
      </c>
      <c r="B16" s="15" t="s">
        <v>34</v>
      </c>
      <c r="C16" s="33">
        <v>64272</v>
      </c>
      <c r="D16" s="34">
        <v>27794</v>
      </c>
      <c r="E16" s="34">
        <v>94798</v>
      </c>
      <c r="F16" s="33">
        <v>4623</v>
      </c>
      <c r="G16" s="34">
        <v>2988</v>
      </c>
      <c r="H16" s="20"/>
      <c r="I16" s="20"/>
      <c r="J16" s="33">
        <f t="shared" si="0"/>
        <v>67004</v>
      </c>
      <c r="K16" s="34">
        <f t="shared" si="1"/>
        <v>1876.2</v>
      </c>
      <c r="L16" s="34">
        <v>793</v>
      </c>
      <c r="M16" s="34">
        <f t="shared" ref="M16:M24" si="10">(AG$24-AG$14)/10</f>
        <v>62.8</v>
      </c>
      <c r="N16" s="81">
        <f t="shared" si="2"/>
        <v>720813</v>
      </c>
      <c r="O16" s="82">
        <f t="shared" si="3"/>
        <v>289009</v>
      </c>
      <c r="P16" s="82">
        <f t="shared" si="4"/>
        <v>1040608</v>
      </c>
      <c r="Q16" s="81">
        <f t="shared" si="5"/>
        <v>720813</v>
      </c>
      <c r="R16" s="81">
        <f t="shared" si="5"/>
        <v>289009</v>
      </c>
      <c r="S16" s="81">
        <f t="shared" si="5"/>
        <v>1040608</v>
      </c>
      <c r="T16" s="86">
        <f>N16/'2015'!M16-1</f>
        <v>-0.104634624724706</v>
      </c>
      <c r="U16" s="86">
        <f>O16/'2015'!N16-1</f>
        <v>0.157819041323638</v>
      </c>
      <c r="V16" s="86">
        <f>P16/'2015'!O16-1</f>
        <v>-0.026108441233312</v>
      </c>
      <c r="W16" s="86">
        <f>Q16/'2015'!P16-1</f>
        <v>-0.104634624724706</v>
      </c>
      <c r="X16" s="86">
        <f>R16/'2015'!Q16-1</f>
        <v>0.157819041323638</v>
      </c>
      <c r="Y16" s="86">
        <f>S16/'2015'!R16-1</f>
        <v>-0.026108441233312</v>
      </c>
      <c r="Z16" s="53">
        <f>(Z$18-Z$14)*2/4+Z$14</f>
        <v>6.1377</v>
      </c>
      <c r="AA16" s="53">
        <f t="shared" si="6"/>
        <v>65.9436</v>
      </c>
      <c r="AB16" s="34">
        <v>4230</v>
      </c>
      <c r="AC16" s="34">
        <f>AA16*10000/AB16</f>
        <v>155.895035460993</v>
      </c>
      <c r="AD16" s="33">
        <f t="shared" si="7"/>
        <v>751599</v>
      </c>
      <c r="AE16" s="34">
        <f t="shared" si="9"/>
        <v>21218.4</v>
      </c>
      <c r="AF16" s="34">
        <f t="shared" si="9"/>
        <v>9442</v>
      </c>
      <c r="AG16" s="34">
        <f t="shared" si="8"/>
        <v>125.599999999999</v>
      </c>
    </row>
    <row r="17" ht="15" customHeight="1" spans="1:33">
      <c r="A17" s="106">
        <v>42382</v>
      </c>
      <c r="B17" s="21" t="s">
        <v>35</v>
      </c>
      <c r="C17" s="9">
        <v>65277</v>
      </c>
      <c r="D17" s="38">
        <v>27873</v>
      </c>
      <c r="E17" s="38">
        <v>95962</v>
      </c>
      <c r="F17" s="9">
        <v>4443</v>
      </c>
      <c r="G17" s="38">
        <v>2882</v>
      </c>
      <c r="H17" s="25"/>
      <c r="I17" s="37"/>
      <c r="J17" s="9">
        <f t="shared" si="0"/>
        <v>68089</v>
      </c>
      <c r="K17" s="38">
        <f t="shared" si="1"/>
        <v>1956.2</v>
      </c>
      <c r="L17" s="38">
        <v>793</v>
      </c>
      <c r="M17" s="38">
        <f t="shared" si="10"/>
        <v>62.8</v>
      </c>
      <c r="N17" s="78">
        <f t="shared" si="2"/>
        <v>786090</v>
      </c>
      <c r="O17" s="79">
        <f t="shared" si="3"/>
        <v>316882</v>
      </c>
      <c r="P17" s="79">
        <f t="shared" si="4"/>
        <v>1136570</v>
      </c>
      <c r="Q17" s="80">
        <f t="shared" si="5"/>
        <v>786090</v>
      </c>
      <c r="R17" s="80">
        <f t="shared" si="5"/>
        <v>316882</v>
      </c>
      <c r="S17" s="80">
        <f t="shared" si="5"/>
        <v>1136570</v>
      </c>
      <c r="T17" s="84">
        <f>N17/'2015'!M17-1</f>
        <v>-0.104736155179522</v>
      </c>
      <c r="U17" s="84">
        <f>O17/'2015'!N17-1</f>
        <v>0.171060703489361</v>
      </c>
      <c r="V17" s="84">
        <f>P17/'2015'!O17-1</f>
        <v>-0.0233630846249094</v>
      </c>
      <c r="W17" s="85">
        <f>Q17/'2015'!P17-1</f>
        <v>-0.104736155179522</v>
      </c>
      <c r="X17" s="85">
        <f>R17/'2015'!Q17-1</f>
        <v>0.171060703489361</v>
      </c>
      <c r="Y17" s="85">
        <f>S17/'2015'!R17-1</f>
        <v>-0.0233630846249094</v>
      </c>
      <c r="Z17" s="54">
        <f>(Z$18-Z$14)*3/4+Z$14</f>
        <v>6.63885</v>
      </c>
      <c r="AA17" s="101">
        <f t="shared" si="6"/>
        <v>71.97015</v>
      </c>
      <c r="AB17" s="109"/>
      <c r="AC17" s="109"/>
      <c r="AD17" s="9">
        <f t="shared" si="7"/>
        <v>819688</v>
      </c>
      <c r="AE17" s="38">
        <f t="shared" si="9"/>
        <v>23174.6</v>
      </c>
      <c r="AF17" s="38">
        <f t="shared" si="9"/>
        <v>10235</v>
      </c>
      <c r="AG17" s="38">
        <f t="shared" si="8"/>
        <v>188.399999999998</v>
      </c>
    </row>
    <row r="18" ht="15" customHeight="1" spans="1:33">
      <c r="A18" s="106">
        <v>42383</v>
      </c>
      <c r="B18" s="21" t="s">
        <v>36</v>
      </c>
      <c r="C18" s="74">
        <v>64501</v>
      </c>
      <c r="D18" s="75">
        <v>28628</v>
      </c>
      <c r="E18" s="75">
        <v>95527</v>
      </c>
      <c r="F18" s="74">
        <v>4878</v>
      </c>
      <c r="G18" s="75">
        <v>2908</v>
      </c>
      <c r="H18" s="25"/>
      <c r="I18" s="25"/>
      <c r="J18" s="74">
        <f t="shared" si="0"/>
        <v>66899</v>
      </c>
      <c r="K18" s="75">
        <f t="shared" si="1"/>
        <v>1542.2</v>
      </c>
      <c r="L18" s="75">
        <v>793</v>
      </c>
      <c r="M18" s="75">
        <f t="shared" si="10"/>
        <v>62.8</v>
      </c>
      <c r="N18" s="78">
        <f t="shared" si="2"/>
        <v>850591</v>
      </c>
      <c r="O18" s="79">
        <f t="shared" si="3"/>
        <v>345510</v>
      </c>
      <c r="P18" s="79">
        <f t="shared" si="4"/>
        <v>1232097</v>
      </c>
      <c r="Q18" s="80">
        <f t="shared" si="5"/>
        <v>850591</v>
      </c>
      <c r="R18" s="80">
        <f t="shared" si="5"/>
        <v>345510</v>
      </c>
      <c r="S18" s="80">
        <f t="shared" si="5"/>
        <v>1232097</v>
      </c>
      <c r="T18" s="84">
        <f>N18/'2015'!M18-1</f>
        <v>-0.103484075238149</v>
      </c>
      <c r="U18" s="84">
        <f>O18/'2015'!N18-1</f>
        <v>0.182799748041847</v>
      </c>
      <c r="V18" s="84">
        <f>P18/'2015'!O18-1</f>
        <v>-0.0197701255502419</v>
      </c>
      <c r="W18" s="85">
        <f>Q18/'2015'!P18-1</f>
        <v>-0.103484075238149</v>
      </c>
      <c r="X18" s="85">
        <f>R18/'2015'!Q18-1</f>
        <v>0.182799748041847</v>
      </c>
      <c r="Y18" s="85">
        <f>S18/'2015'!R18-1</f>
        <v>-0.0197701255502419</v>
      </c>
      <c r="Z18" s="101">
        <v>7.14</v>
      </c>
      <c r="AA18" s="101">
        <f t="shared" si="6"/>
        <v>77.9191</v>
      </c>
      <c r="AB18" s="110">
        <v>4230</v>
      </c>
      <c r="AC18" s="109">
        <f>AA18*10000/AB18</f>
        <v>184.205910165485</v>
      </c>
      <c r="AD18" s="74">
        <f t="shared" si="7"/>
        <v>886587</v>
      </c>
      <c r="AE18" s="75">
        <f t="shared" si="9"/>
        <v>24716.8</v>
      </c>
      <c r="AF18" s="75">
        <f t="shared" si="9"/>
        <v>11028</v>
      </c>
      <c r="AG18" s="75">
        <f t="shared" si="8"/>
        <v>251.199999999997</v>
      </c>
    </row>
    <row r="19" ht="15" customHeight="1" spans="1:33">
      <c r="A19" s="106">
        <v>42384</v>
      </c>
      <c r="B19" s="21" t="s">
        <v>37</v>
      </c>
      <c r="C19" s="9">
        <v>62226</v>
      </c>
      <c r="D19" s="38">
        <v>28592</v>
      </c>
      <c r="E19" s="38">
        <v>92992</v>
      </c>
      <c r="F19" s="9">
        <v>4752</v>
      </c>
      <c r="G19" s="38">
        <v>2963</v>
      </c>
      <c r="H19" s="25"/>
      <c r="I19" s="37"/>
      <c r="J19" s="9">
        <f t="shared" si="0"/>
        <v>64400</v>
      </c>
      <c r="K19" s="38">
        <f t="shared" si="1"/>
        <v>1318.2</v>
      </c>
      <c r="L19" s="38">
        <v>793</v>
      </c>
      <c r="M19" s="38">
        <f t="shared" si="10"/>
        <v>62.8</v>
      </c>
      <c r="N19" s="78">
        <f t="shared" si="2"/>
        <v>912817</v>
      </c>
      <c r="O19" s="79">
        <f t="shared" si="3"/>
        <v>374102</v>
      </c>
      <c r="P19" s="79">
        <f t="shared" si="4"/>
        <v>1325089</v>
      </c>
      <c r="Q19" s="80">
        <f t="shared" si="5"/>
        <v>912817</v>
      </c>
      <c r="R19" s="80">
        <f t="shared" si="5"/>
        <v>374102</v>
      </c>
      <c r="S19" s="80">
        <f t="shared" si="5"/>
        <v>1325089</v>
      </c>
      <c r="T19" s="84">
        <f>N19/'2015'!M19-1</f>
        <v>-0.105497053330119</v>
      </c>
      <c r="U19" s="84">
        <f>O19/'2015'!N19-1</f>
        <v>0.192805581063157</v>
      </c>
      <c r="V19" s="84">
        <f>P19/'2015'!O19-1</f>
        <v>-0.0192669642467255</v>
      </c>
      <c r="W19" s="85">
        <f>Q19/'2015'!P19-1</f>
        <v>-0.105497053330119</v>
      </c>
      <c r="X19" s="85">
        <f>R19/'2015'!Q19-1</f>
        <v>0.192805581063157</v>
      </c>
      <c r="Y19" s="85">
        <f>S19/'2015'!R19-1</f>
        <v>-0.0192669642467255</v>
      </c>
      <c r="Z19" s="54">
        <f>(Z$25-Z$18)*1/7+Z$18</f>
        <v>7.98428571428571</v>
      </c>
      <c r="AA19" s="101">
        <f t="shared" si="6"/>
        <v>83.2974142857143</v>
      </c>
      <c r="AB19" s="109"/>
      <c r="AC19" s="109"/>
      <c r="AD19" s="9">
        <f t="shared" si="7"/>
        <v>950987</v>
      </c>
      <c r="AE19" s="38">
        <f t="shared" si="9"/>
        <v>26035</v>
      </c>
      <c r="AF19" s="38">
        <f t="shared" si="9"/>
        <v>11821</v>
      </c>
      <c r="AG19" s="38">
        <f t="shared" si="8"/>
        <v>313.999999999996</v>
      </c>
    </row>
    <row r="20" ht="15" customHeight="1" spans="1:33">
      <c r="A20" s="106">
        <v>42385</v>
      </c>
      <c r="B20" s="21" t="s">
        <v>38</v>
      </c>
      <c r="C20" s="9">
        <v>63087</v>
      </c>
      <c r="D20" s="38">
        <v>24384</v>
      </c>
      <c r="E20" s="38">
        <v>89604</v>
      </c>
      <c r="F20" s="9">
        <v>4522</v>
      </c>
      <c r="G20" s="38">
        <v>2918</v>
      </c>
      <c r="H20" s="25"/>
      <c r="I20" s="37"/>
      <c r="J20" s="9">
        <f t="shared" si="0"/>
        <v>65220</v>
      </c>
      <c r="K20" s="38">
        <f t="shared" si="1"/>
        <v>1277.2</v>
      </c>
      <c r="L20" s="38">
        <v>793</v>
      </c>
      <c r="M20" s="38">
        <f t="shared" si="10"/>
        <v>62.8</v>
      </c>
      <c r="N20" s="78">
        <f t="shared" si="2"/>
        <v>975904</v>
      </c>
      <c r="O20" s="79">
        <f t="shared" si="3"/>
        <v>398486</v>
      </c>
      <c r="P20" s="79">
        <f t="shared" si="4"/>
        <v>1414693</v>
      </c>
      <c r="Q20" s="80">
        <f t="shared" si="5"/>
        <v>975904</v>
      </c>
      <c r="R20" s="80">
        <f t="shared" si="5"/>
        <v>398486</v>
      </c>
      <c r="S20" s="80">
        <f t="shared" si="5"/>
        <v>1414693</v>
      </c>
      <c r="T20" s="84">
        <f>N20/'2015'!M20-1</f>
        <v>-0.10460951262478</v>
      </c>
      <c r="U20" s="84">
        <f>O20/'2015'!N20-1</f>
        <v>0.185994946323286</v>
      </c>
      <c r="V20" s="84">
        <f>P20/'2015'!O20-1</f>
        <v>-0.0201511718833872</v>
      </c>
      <c r="W20" s="85">
        <f>Q20/'2015'!P20-1</f>
        <v>-0.10460951262478</v>
      </c>
      <c r="X20" s="85">
        <f>R20/'2015'!Q20-1</f>
        <v>0.185994946323286</v>
      </c>
      <c r="Y20" s="85">
        <f>S20/'2015'!R20-1</f>
        <v>-0.0201511718833872</v>
      </c>
      <c r="Z20" s="54">
        <f>(Z$25-Z$18)*2/7+Z$18</f>
        <v>8.82857142857143</v>
      </c>
      <c r="AA20" s="101">
        <f t="shared" si="6"/>
        <v>88.7618285714286</v>
      </c>
      <c r="AB20" s="109"/>
      <c r="AC20" s="109"/>
      <c r="AD20" s="9">
        <f t="shared" si="7"/>
        <v>1016207</v>
      </c>
      <c r="AE20" s="38">
        <f t="shared" si="9"/>
        <v>27312.2</v>
      </c>
      <c r="AF20" s="38">
        <f t="shared" si="9"/>
        <v>12614</v>
      </c>
      <c r="AG20" s="38">
        <f t="shared" si="8"/>
        <v>376.799999999996</v>
      </c>
    </row>
    <row r="21" ht="15" customHeight="1" spans="1:33">
      <c r="A21" s="106">
        <v>42386</v>
      </c>
      <c r="B21" s="21" t="s">
        <v>1</v>
      </c>
      <c r="C21" s="9">
        <v>58708</v>
      </c>
      <c r="D21" s="38">
        <v>23571</v>
      </c>
      <c r="E21" s="38">
        <v>85074</v>
      </c>
      <c r="F21" s="9">
        <v>4278</v>
      </c>
      <c r="G21" s="38">
        <v>2760</v>
      </c>
      <c r="H21" s="25"/>
      <c r="I21" s="37"/>
      <c r="J21" s="9">
        <f t="shared" si="0"/>
        <v>61503</v>
      </c>
      <c r="K21" s="38">
        <f t="shared" si="1"/>
        <v>1939.2</v>
      </c>
      <c r="L21" s="38">
        <v>793</v>
      </c>
      <c r="M21" s="38">
        <f t="shared" si="10"/>
        <v>62.8</v>
      </c>
      <c r="N21" s="78">
        <f t="shared" si="2"/>
        <v>1034612</v>
      </c>
      <c r="O21" s="79">
        <f t="shared" si="3"/>
        <v>422057</v>
      </c>
      <c r="P21" s="79">
        <f t="shared" si="4"/>
        <v>1499767</v>
      </c>
      <c r="Q21" s="80">
        <f t="shared" si="5"/>
        <v>1034612</v>
      </c>
      <c r="R21" s="80">
        <f t="shared" si="5"/>
        <v>422057</v>
      </c>
      <c r="S21" s="80">
        <f t="shared" si="5"/>
        <v>1499767</v>
      </c>
      <c r="T21" s="84">
        <f>N21/'2015'!M21-1</f>
        <v>-0.107497588908461</v>
      </c>
      <c r="U21" s="84">
        <f>O21/'2015'!N21-1</f>
        <v>0.178163374116846</v>
      </c>
      <c r="V21" s="84">
        <f>P21/'2015'!O21-1</f>
        <v>-0.0237417330625423</v>
      </c>
      <c r="W21" s="85">
        <f>Q21/'2015'!P21-1</f>
        <v>-0.107497588908461</v>
      </c>
      <c r="X21" s="85">
        <f>R21/'2015'!Q21-1</f>
        <v>0.178163374116846</v>
      </c>
      <c r="Y21" s="85">
        <f>S21/'2015'!R21-1</f>
        <v>-0.0237417330625423</v>
      </c>
      <c r="Z21" s="54">
        <f>(Z$25-Z$18)*3/7+Z$18</f>
        <v>9.67285714285714</v>
      </c>
      <c r="AA21" s="101">
        <f t="shared" si="6"/>
        <v>93.7883428571429</v>
      </c>
      <c r="AB21" s="109"/>
      <c r="AC21" s="109"/>
      <c r="AD21" s="9">
        <f t="shared" si="7"/>
        <v>1077710</v>
      </c>
      <c r="AE21" s="38">
        <f t="shared" si="9"/>
        <v>29251.4</v>
      </c>
      <c r="AF21" s="38">
        <f t="shared" si="9"/>
        <v>13407</v>
      </c>
      <c r="AG21" s="38">
        <f t="shared" si="8"/>
        <v>439.599999999995</v>
      </c>
    </row>
    <row r="22" ht="15" customHeight="1" spans="1:33">
      <c r="A22" s="106">
        <v>42387</v>
      </c>
      <c r="B22" s="21" t="s">
        <v>39</v>
      </c>
      <c r="C22" s="9">
        <v>63740</v>
      </c>
      <c r="D22" s="38">
        <v>24288</v>
      </c>
      <c r="E22" s="38">
        <v>90192</v>
      </c>
      <c r="F22" s="9">
        <v>4657</v>
      </c>
      <c r="G22" s="38">
        <v>2659</v>
      </c>
      <c r="H22" s="25"/>
      <c r="I22" s="37"/>
      <c r="J22" s="9">
        <f t="shared" si="0"/>
        <v>65904</v>
      </c>
      <c r="K22" s="38">
        <f t="shared" si="1"/>
        <v>1308.2</v>
      </c>
      <c r="L22" s="38">
        <v>793</v>
      </c>
      <c r="M22" s="38">
        <f t="shared" si="10"/>
        <v>62.8</v>
      </c>
      <c r="N22" s="78">
        <f t="shared" si="2"/>
        <v>1098352</v>
      </c>
      <c r="O22" s="79">
        <f t="shared" si="3"/>
        <v>446345</v>
      </c>
      <c r="P22" s="79">
        <f t="shared" si="4"/>
        <v>1589959</v>
      </c>
      <c r="Q22" s="80">
        <f t="shared" si="5"/>
        <v>1098352</v>
      </c>
      <c r="R22" s="80">
        <f t="shared" si="5"/>
        <v>446345</v>
      </c>
      <c r="S22" s="80">
        <f t="shared" si="5"/>
        <v>1589959</v>
      </c>
      <c r="T22" s="84">
        <f>N22/'2015'!M22-1</f>
        <v>-0.103334884442376</v>
      </c>
      <c r="U22" s="84">
        <f>O22/'2015'!N22-1</f>
        <v>0.176533385348984</v>
      </c>
      <c r="V22" s="84">
        <f>P22/'2015'!O22-1</f>
        <v>-0.0209563840215962</v>
      </c>
      <c r="W22" s="85">
        <f>Q22/'2015'!P22-1</f>
        <v>-0.103334884442376</v>
      </c>
      <c r="X22" s="85">
        <f>R22/'2015'!Q22-1</f>
        <v>0.176533385348984</v>
      </c>
      <c r="Y22" s="85">
        <f>S22/'2015'!R22-1</f>
        <v>-0.0209563840215962</v>
      </c>
      <c r="Z22" s="54">
        <f>(Z$25-Z$18)*4/7+Z$18</f>
        <v>10.5171428571429</v>
      </c>
      <c r="AA22" s="101">
        <f t="shared" si="6"/>
        <v>99.3180571428571</v>
      </c>
      <c r="AB22" s="109"/>
      <c r="AC22" s="109"/>
      <c r="AD22" s="9">
        <f t="shared" si="7"/>
        <v>1143614</v>
      </c>
      <c r="AE22" s="38">
        <f t="shared" si="9"/>
        <v>30559.6</v>
      </c>
      <c r="AF22" s="38">
        <f t="shared" si="9"/>
        <v>14200</v>
      </c>
      <c r="AG22" s="38">
        <f t="shared" si="8"/>
        <v>502.399999999994</v>
      </c>
    </row>
    <row r="23" ht="15" customHeight="1" spans="1:33">
      <c r="A23" s="106">
        <v>42388</v>
      </c>
      <c r="B23" s="15" t="s">
        <v>34</v>
      </c>
      <c r="C23" s="33">
        <v>66037</v>
      </c>
      <c r="D23" s="34">
        <v>24464</v>
      </c>
      <c r="E23" s="34">
        <v>92724</v>
      </c>
      <c r="F23" s="33">
        <v>4730</v>
      </c>
      <c r="G23" s="34">
        <v>2851</v>
      </c>
      <c r="H23" s="20"/>
      <c r="I23" s="20"/>
      <c r="J23" s="33">
        <f t="shared" si="0"/>
        <v>68260</v>
      </c>
      <c r="K23" s="34">
        <f t="shared" si="1"/>
        <v>1367.2</v>
      </c>
      <c r="L23" s="34">
        <v>793</v>
      </c>
      <c r="M23" s="34">
        <f t="shared" si="10"/>
        <v>62.8</v>
      </c>
      <c r="N23" s="81">
        <f t="shared" si="2"/>
        <v>1164389</v>
      </c>
      <c r="O23" s="82">
        <f t="shared" si="3"/>
        <v>470809</v>
      </c>
      <c r="P23" s="82">
        <f t="shared" si="4"/>
        <v>1682683</v>
      </c>
      <c r="Q23" s="81">
        <f t="shared" si="5"/>
        <v>1164389</v>
      </c>
      <c r="R23" s="81">
        <f t="shared" si="5"/>
        <v>470809</v>
      </c>
      <c r="S23" s="81">
        <f t="shared" si="5"/>
        <v>1682683</v>
      </c>
      <c r="T23" s="86">
        <f>N23/'2015'!M23-1</f>
        <v>-0.0997198775595096</v>
      </c>
      <c r="U23" s="86">
        <f>O23/'2015'!N23-1</f>
        <v>0.175209738977627</v>
      </c>
      <c r="V23" s="86">
        <f>P23/'2015'!O23-1</f>
        <v>-0.0186228503908168</v>
      </c>
      <c r="W23" s="86">
        <f>Q23/'2015'!P23-1</f>
        <v>-0.0997198775595096</v>
      </c>
      <c r="X23" s="86">
        <f>R23/'2015'!Q23-1</f>
        <v>0.175209738977627</v>
      </c>
      <c r="Y23" s="86">
        <f>S23/'2015'!R23-1</f>
        <v>-0.0186228503908168</v>
      </c>
      <c r="Z23" s="53">
        <f>(Z$25-Z$18)*5/7+Z$18</f>
        <v>11.3614285714286</v>
      </c>
      <c r="AA23" s="53">
        <f t="shared" si="6"/>
        <v>105.077471428571</v>
      </c>
      <c r="AB23" s="34">
        <v>4230</v>
      </c>
      <c r="AC23" s="34">
        <f>AA23*10000/AB23</f>
        <v>248.410097939885</v>
      </c>
      <c r="AD23" s="33">
        <f t="shared" si="7"/>
        <v>1211874</v>
      </c>
      <c r="AE23" s="34">
        <f t="shared" si="9"/>
        <v>31926.8</v>
      </c>
      <c r="AF23" s="34">
        <f t="shared" si="9"/>
        <v>14993</v>
      </c>
      <c r="AG23" s="34">
        <f t="shared" si="8"/>
        <v>565.199999999993</v>
      </c>
    </row>
    <row r="24" ht="15" customHeight="1" spans="1:33">
      <c r="A24" s="106">
        <v>42389</v>
      </c>
      <c r="B24" s="21" t="s">
        <v>35</v>
      </c>
      <c r="C24" s="9">
        <v>66462</v>
      </c>
      <c r="D24" s="38">
        <v>24733</v>
      </c>
      <c r="E24" s="38">
        <v>95077</v>
      </c>
      <c r="F24" s="9">
        <v>4789</v>
      </c>
      <c r="G24" s="38">
        <v>2928</v>
      </c>
      <c r="H24" s="25"/>
      <c r="I24" s="37"/>
      <c r="J24" s="9">
        <f t="shared" si="0"/>
        <v>70344</v>
      </c>
      <c r="K24" s="38">
        <f t="shared" si="1"/>
        <v>3026.2</v>
      </c>
      <c r="L24" s="38">
        <v>793</v>
      </c>
      <c r="M24" s="38">
        <f t="shared" si="10"/>
        <v>62.8</v>
      </c>
      <c r="N24" s="78">
        <f t="shared" si="2"/>
        <v>1230851</v>
      </c>
      <c r="O24" s="79">
        <f t="shared" si="3"/>
        <v>495542</v>
      </c>
      <c r="P24" s="79">
        <f t="shared" si="4"/>
        <v>1777760</v>
      </c>
      <c r="Q24" s="80">
        <f t="shared" si="5"/>
        <v>1230851</v>
      </c>
      <c r="R24" s="80">
        <f t="shared" si="5"/>
        <v>495542</v>
      </c>
      <c r="S24" s="80">
        <f t="shared" si="5"/>
        <v>1777760</v>
      </c>
      <c r="T24" s="84">
        <f>N24/'2015'!M24-1</f>
        <v>-0.0964719233750675</v>
      </c>
      <c r="U24" s="84">
        <f>O24/'2015'!N24-1</f>
        <v>0.17265843153959</v>
      </c>
      <c r="V24" s="84">
        <f>P24/'2015'!O24-1</f>
        <v>-0.0158689035698113</v>
      </c>
      <c r="W24" s="85">
        <f>Q24/'2015'!P24-1</f>
        <v>-0.0964719233750675</v>
      </c>
      <c r="X24" s="85">
        <f>R24/'2015'!Q24-1</f>
        <v>0.17265843153959</v>
      </c>
      <c r="Y24" s="85">
        <f>S24/'2015'!R24-1</f>
        <v>-0.0158689035698113</v>
      </c>
      <c r="Z24" s="54">
        <v>12.3519</v>
      </c>
      <c r="AA24" s="101">
        <f t="shared" si="6"/>
        <v>110.7332</v>
      </c>
      <c r="AB24" s="109">
        <v>4230</v>
      </c>
      <c r="AC24" s="109">
        <f>AA24*10000/AB24</f>
        <v>261.78061465721</v>
      </c>
      <c r="AD24" s="9">
        <f t="shared" si="7"/>
        <v>1282218</v>
      </c>
      <c r="AE24" s="38">
        <v>34970</v>
      </c>
      <c r="AF24" s="38">
        <v>15769</v>
      </c>
      <c r="AG24" s="38">
        <f t="shared" si="8"/>
        <v>628</v>
      </c>
    </row>
    <row r="25" ht="15" customHeight="1" spans="1:33">
      <c r="A25" s="106">
        <v>42390</v>
      </c>
      <c r="B25" s="21" t="s">
        <v>36</v>
      </c>
      <c r="C25" s="74">
        <v>68431</v>
      </c>
      <c r="D25" s="75">
        <v>25214</v>
      </c>
      <c r="E25" s="75">
        <v>95829</v>
      </c>
      <c r="F25" s="74">
        <v>4900</v>
      </c>
      <c r="G25" s="75">
        <v>2915</v>
      </c>
      <c r="H25" s="25"/>
      <c r="I25" s="25"/>
      <c r="J25" s="74">
        <f t="shared" si="0"/>
        <v>70615</v>
      </c>
      <c r="K25" s="75">
        <f t="shared" si="1"/>
        <v>1391</v>
      </c>
      <c r="L25" s="75">
        <v>793</v>
      </c>
      <c r="M25" s="75">
        <v>0</v>
      </c>
      <c r="N25" s="78">
        <f t="shared" si="2"/>
        <v>1299282</v>
      </c>
      <c r="O25" s="79">
        <f t="shared" si="3"/>
        <v>520756</v>
      </c>
      <c r="P25" s="79">
        <f t="shared" si="4"/>
        <v>1873589</v>
      </c>
      <c r="Q25" s="80">
        <f t="shared" si="5"/>
        <v>1299282</v>
      </c>
      <c r="R25" s="80">
        <f t="shared" si="5"/>
        <v>520756</v>
      </c>
      <c r="S25" s="80">
        <f t="shared" si="5"/>
        <v>1873589</v>
      </c>
      <c r="T25" s="84">
        <f>N25/'2015'!M25-1</f>
        <v>-0.0902934584661014</v>
      </c>
      <c r="U25" s="84">
        <f>O25/'2015'!N25-1</f>
        <v>0.170674903447129</v>
      </c>
      <c r="V25" s="84">
        <f>P25/'2015'!O25-1</f>
        <v>-0.0116642867203214</v>
      </c>
      <c r="W25" s="85">
        <f>Q25/'2015'!P25-1</f>
        <v>-0.0902934584661014</v>
      </c>
      <c r="X25" s="85">
        <f>R25/'2015'!Q25-1</f>
        <v>0.170674903447129</v>
      </c>
      <c r="Y25" s="85">
        <f>S25/'2015'!R25-1</f>
        <v>-0.0116642867203214</v>
      </c>
      <c r="Z25" s="101">
        <v>13.05</v>
      </c>
      <c r="AA25" s="101">
        <f t="shared" si="6"/>
        <v>116.8782</v>
      </c>
      <c r="AB25" s="110">
        <v>4230</v>
      </c>
      <c r="AC25" s="109">
        <f>AA25*10000/AB25</f>
        <v>276.30780141844</v>
      </c>
      <c r="AD25" s="74">
        <f t="shared" si="7"/>
        <v>1352833</v>
      </c>
      <c r="AE25" s="75">
        <f t="shared" si="9"/>
        <v>36361</v>
      </c>
      <c r="AF25" s="75">
        <f t="shared" si="9"/>
        <v>16562</v>
      </c>
      <c r="AG25" s="75">
        <f t="shared" si="8"/>
        <v>628</v>
      </c>
    </row>
    <row r="26" ht="15" customHeight="1" spans="1:33">
      <c r="A26" s="106">
        <v>42391</v>
      </c>
      <c r="B26" s="21" t="s">
        <v>37</v>
      </c>
      <c r="C26" s="9">
        <v>65052</v>
      </c>
      <c r="D26" s="38">
        <v>26028</v>
      </c>
      <c r="E26" s="38">
        <v>93677</v>
      </c>
      <c r="F26" s="9">
        <v>4847</v>
      </c>
      <c r="G26" s="38">
        <v>2835</v>
      </c>
      <c r="H26" s="25"/>
      <c r="I26" s="37"/>
      <c r="J26" s="9">
        <f t="shared" si="0"/>
        <v>67649</v>
      </c>
      <c r="K26" s="38">
        <f t="shared" si="1"/>
        <v>1804</v>
      </c>
      <c r="L26" s="38">
        <v>793</v>
      </c>
      <c r="M26" s="38">
        <v>0</v>
      </c>
      <c r="N26" s="78">
        <f t="shared" si="2"/>
        <v>1364334</v>
      </c>
      <c r="O26" s="79">
        <f t="shared" si="3"/>
        <v>546784</v>
      </c>
      <c r="P26" s="79">
        <f t="shared" si="4"/>
        <v>1967266</v>
      </c>
      <c r="Q26" s="80">
        <f t="shared" si="5"/>
        <v>1364334</v>
      </c>
      <c r="R26" s="80">
        <f t="shared" si="5"/>
        <v>546784</v>
      </c>
      <c r="S26" s="80">
        <f t="shared" si="5"/>
        <v>1967266</v>
      </c>
      <c r="T26" s="84">
        <f>N26/'2015'!M26-1</f>
        <v>-0.0875924221834641</v>
      </c>
      <c r="U26" s="84">
        <f>O26/'2015'!N26-1</f>
        <v>0.168903853348298</v>
      </c>
      <c r="V26" s="84">
        <f>P26/'2015'!O26-1</f>
        <v>-0.00970977395541528</v>
      </c>
      <c r="W26" s="85">
        <f>Q26/'2015'!P26-1</f>
        <v>-0.0875924221834641</v>
      </c>
      <c r="X26" s="85">
        <f>R26/'2015'!Q26-1</f>
        <v>0.168903853348298</v>
      </c>
      <c r="Y26" s="85">
        <f>S26/'2015'!R26-1</f>
        <v>-0.00970977395541528</v>
      </c>
      <c r="Z26" s="54">
        <f>Z$25+0.64*1</f>
        <v>13.69</v>
      </c>
      <c r="AA26" s="101">
        <f t="shared" si="6"/>
        <v>122.7434</v>
      </c>
      <c r="AB26" s="109"/>
      <c r="AC26" s="109"/>
      <c r="AD26" s="9">
        <f t="shared" si="7"/>
        <v>1420482</v>
      </c>
      <c r="AE26" s="38">
        <f t="shared" si="9"/>
        <v>38165</v>
      </c>
      <c r="AF26" s="38">
        <f t="shared" si="9"/>
        <v>17355</v>
      </c>
      <c r="AG26" s="38">
        <f t="shared" si="8"/>
        <v>628</v>
      </c>
    </row>
    <row r="27" ht="15" customHeight="1" spans="1:33">
      <c r="A27" s="106">
        <v>42392</v>
      </c>
      <c r="B27" s="21" t="s">
        <v>38</v>
      </c>
      <c r="C27" s="9">
        <v>61732</v>
      </c>
      <c r="D27" s="38">
        <v>26142</v>
      </c>
      <c r="E27" s="38">
        <v>90044</v>
      </c>
      <c r="F27" s="9">
        <v>4608</v>
      </c>
      <c r="G27" s="38">
        <v>2708</v>
      </c>
      <c r="H27" s="25"/>
      <c r="I27" s="37"/>
      <c r="J27" s="9">
        <f t="shared" si="0"/>
        <v>63902</v>
      </c>
      <c r="K27" s="38">
        <f t="shared" si="1"/>
        <v>1377</v>
      </c>
      <c r="L27" s="38">
        <v>793</v>
      </c>
      <c r="M27" s="38">
        <v>0</v>
      </c>
      <c r="N27" s="78">
        <f t="shared" si="2"/>
        <v>1426066</v>
      </c>
      <c r="O27" s="79">
        <f t="shared" si="3"/>
        <v>572926</v>
      </c>
      <c r="P27" s="79">
        <f t="shared" si="4"/>
        <v>2057310</v>
      </c>
      <c r="Q27" s="80">
        <f t="shared" si="5"/>
        <v>1426066</v>
      </c>
      <c r="R27" s="80">
        <f t="shared" si="5"/>
        <v>572926</v>
      </c>
      <c r="S27" s="80">
        <f t="shared" si="5"/>
        <v>2057310</v>
      </c>
      <c r="T27" s="84">
        <f>N27/'2015'!M27-1</f>
        <v>-0.0889590913011119</v>
      </c>
      <c r="U27" s="84">
        <f>O27/'2015'!N27-1</f>
        <v>0.172646983574682</v>
      </c>
      <c r="V27" s="84">
        <f>P27/'2015'!O27-1</f>
        <v>-0.0101472286374134</v>
      </c>
      <c r="W27" s="85">
        <f>Q27/'2015'!P27-1</f>
        <v>-0.0889590913011119</v>
      </c>
      <c r="X27" s="85">
        <f>R27/'2015'!Q27-1</f>
        <v>0.172646983574682</v>
      </c>
      <c r="Y27" s="85">
        <f>S27/'2015'!R27-1</f>
        <v>-0.0101472286374134</v>
      </c>
      <c r="Z27" s="54">
        <f>Z$25+0.64*2</f>
        <v>14.33</v>
      </c>
      <c r="AA27" s="101">
        <f t="shared" si="6"/>
        <v>128.2766</v>
      </c>
      <c r="AB27" s="109"/>
      <c r="AC27" s="109"/>
      <c r="AD27" s="9">
        <f t="shared" si="7"/>
        <v>1484384</v>
      </c>
      <c r="AE27" s="38">
        <f t="shared" si="9"/>
        <v>39542</v>
      </c>
      <c r="AF27" s="38">
        <f t="shared" si="9"/>
        <v>18148</v>
      </c>
      <c r="AG27" s="38">
        <f t="shared" si="8"/>
        <v>628</v>
      </c>
    </row>
    <row r="28" ht="15" customHeight="1" spans="1:33">
      <c r="A28" s="106">
        <v>42393</v>
      </c>
      <c r="B28" s="21" t="s">
        <v>1</v>
      </c>
      <c r="C28" s="9">
        <v>60154</v>
      </c>
      <c r="D28" s="38">
        <v>24950</v>
      </c>
      <c r="E28" s="38">
        <v>87494</v>
      </c>
      <c r="F28" s="9">
        <v>4364</v>
      </c>
      <c r="G28" s="38">
        <v>2709</v>
      </c>
      <c r="H28" s="25"/>
      <c r="I28" s="37"/>
      <c r="J28" s="9">
        <f t="shared" si="0"/>
        <v>62544</v>
      </c>
      <c r="K28" s="38">
        <f t="shared" si="1"/>
        <v>1597</v>
      </c>
      <c r="L28" s="38">
        <v>793</v>
      </c>
      <c r="M28" s="38">
        <v>0</v>
      </c>
      <c r="N28" s="78">
        <f t="shared" si="2"/>
        <v>1486220</v>
      </c>
      <c r="O28" s="79">
        <f t="shared" si="3"/>
        <v>597876</v>
      </c>
      <c r="P28" s="79">
        <f t="shared" si="4"/>
        <v>2144804</v>
      </c>
      <c r="Q28" s="80">
        <f t="shared" si="5"/>
        <v>1486220</v>
      </c>
      <c r="R28" s="80">
        <f t="shared" si="5"/>
        <v>597876</v>
      </c>
      <c r="S28" s="80">
        <f t="shared" si="5"/>
        <v>2144804</v>
      </c>
      <c r="T28" s="84">
        <f>N28/'2015'!M28-1</f>
        <v>-0.0889715054570865</v>
      </c>
      <c r="U28" s="84">
        <f>O28/'2015'!N28-1</f>
        <v>0.17489756816507</v>
      </c>
      <c r="V28" s="84">
        <f>P28/'2015'!O28-1</f>
        <v>-0.00960333874984354</v>
      </c>
      <c r="W28" s="85">
        <f>Q28/'2015'!P28-1</f>
        <v>-0.0889715054570865</v>
      </c>
      <c r="X28" s="85">
        <f>R28/'2015'!Q28-1</f>
        <v>0.17489756816507</v>
      </c>
      <c r="Y28" s="85">
        <f>S28/'2015'!R28-1</f>
        <v>-0.00960333874984354</v>
      </c>
      <c r="Z28" s="54">
        <f>Z$25+0.64*3</f>
        <v>14.97</v>
      </c>
      <c r="AA28" s="101">
        <f t="shared" si="6"/>
        <v>133.652</v>
      </c>
      <c r="AB28" s="109"/>
      <c r="AC28" s="109"/>
      <c r="AD28" s="9">
        <f t="shared" si="7"/>
        <v>1546928</v>
      </c>
      <c r="AE28" s="38">
        <f t="shared" si="9"/>
        <v>41139</v>
      </c>
      <c r="AF28" s="38">
        <f t="shared" si="9"/>
        <v>18941</v>
      </c>
      <c r="AG28" s="38">
        <f t="shared" si="8"/>
        <v>628</v>
      </c>
    </row>
    <row r="29" ht="15" customHeight="1" spans="1:33">
      <c r="A29" s="106">
        <v>42394</v>
      </c>
      <c r="B29" s="21" t="s">
        <v>39</v>
      </c>
      <c r="C29" s="9">
        <v>60387</v>
      </c>
      <c r="D29" s="38">
        <v>24445</v>
      </c>
      <c r="E29" s="38">
        <v>87171</v>
      </c>
      <c r="F29" s="9">
        <v>4330</v>
      </c>
      <c r="G29" s="38">
        <v>2673</v>
      </c>
      <c r="H29" s="25"/>
      <c r="I29" s="37"/>
      <c r="J29" s="9">
        <f t="shared" si="0"/>
        <v>62726</v>
      </c>
      <c r="K29" s="38">
        <f t="shared" si="1"/>
        <v>1546</v>
      </c>
      <c r="L29" s="38">
        <v>793</v>
      </c>
      <c r="M29" s="38">
        <v>0</v>
      </c>
      <c r="N29" s="78">
        <f t="shared" si="2"/>
        <v>1546607</v>
      </c>
      <c r="O29" s="79">
        <f t="shared" si="3"/>
        <v>622321</v>
      </c>
      <c r="P29" s="79">
        <f t="shared" si="4"/>
        <v>2231975</v>
      </c>
      <c r="Q29" s="80">
        <f t="shared" si="5"/>
        <v>1546607</v>
      </c>
      <c r="R29" s="80">
        <f t="shared" si="5"/>
        <v>622321</v>
      </c>
      <c r="S29" s="80">
        <f t="shared" si="5"/>
        <v>2231975</v>
      </c>
      <c r="T29" s="84">
        <f>N29/'2015'!M29-1</f>
        <v>-0.0867743487849595</v>
      </c>
      <c r="U29" s="84">
        <f>O29/'2015'!N29-1</f>
        <v>0.17679950834397</v>
      </c>
      <c r="V29" s="84">
        <f>P29/'2015'!O29-1</f>
        <v>-0.00741026345725726</v>
      </c>
      <c r="W29" s="85">
        <f>Q29/'2015'!P29-1</f>
        <v>-0.0867743487849595</v>
      </c>
      <c r="X29" s="85">
        <f>R29/'2015'!Q29-1</f>
        <v>0.17679950834397</v>
      </c>
      <c r="Y29" s="85">
        <f>S29/'2015'!R29-1</f>
        <v>-0.00741026345725726</v>
      </c>
      <c r="Z29" s="54">
        <f>Z$25+0.64*4</f>
        <v>15.61</v>
      </c>
      <c r="AA29" s="101">
        <f t="shared" si="6"/>
        <v>139.0507</v>
      </c>
      <c r="AB29" s="109"/>
      <c r="AC29" s="109"/>
      <c r="AD29" s="9">
        <f t="shared" si="7"/>
        <v>1609654</v>
      </c>
      <c r="AE29" s="38">
        <f t="shared" si="9"/>
        <v>42685</v>
      </c>
      <c r="AF29" s="38">
        <f t="shared" si="9"/>
        <v>19734</v>
      </c>
      <c r="AG29" s="38">
        <f t="shared" si="8"/>
        <v>628</v>
      </c>
    </row>
    <row r="30" ht="15" customHeight="1" spans="1:33">
      <c r="A30" s="106">
        <v>42395</v>
      </c>
      <c r="B30" s="15" t="s">
        <v>34</v>
      </c>
      <c r="C30" s="33">
        <v>55899</v>
      </c>
      <c r="D30" s="34">
        <v>26268</v>
      </c>
      <c r="E30" s="34">
        <v>83737</v>
      </c>
      <c r="F30" s="33">
        <v>4135</v>
      </c>
      <c r="G30" s="34">
        <v>2673</v>
      </c>
      <c r="H30" s="20"/>
      <c r="I30" s="20"/>
      <c r="J30" s="33">
        <f t="shared" si="0"/>
        <v>57469</v>
      </c>
      <c r="K30" s="34">
        <f t="shared" si="1"/>
        <v>777</v>
      </c>
      <c r="L30" s="34">
        <v>793</v>
      </c>
      <c r="M30" s="34">
        <v>0</v>
      </c>
      <c r="N30" s="81">
        <f t="shared" si="2"/>
        <v>1602506</v>
      </c>
      <c r="O30" s="82">
        <f t="shared" si="3"/>
        <v>648589</v>
      </c>
      <c r="P30" s="82">
        <f t="shared" si="4"/>
        <v>2315712</v>
      </c>
      <c r="Q30" s="81">
        <f t="shared" si="5"/>
        <v>1602506</v>
      </c>
      <c r="R30" s="81">
        <f t="shared" si="5"/>
        <v>648589</v>
      </c>
      <c r="S30" s="81">
        <f t="shared" si="5"/>
        <v>2315712</v>
      </c>
      <c r="T30" s="86">
        <f>N30/'2015'!M30-1</f>
        <v>-0.0886385932386052</v>
      </c>
      <c r="U30" s="86">
        <f>O30/'2015'!N30-1</f>
        <v>0.179735346278023</v>
      </c>
      <c r="V30" s="86">
        <f>P30/'2015'!O30-1</f>
        <v>-0.00839160899050195</v>
      </c>
      <c r="W30" s="86">
        <f>Q30/'2015'!P30-1</f>
        <v>-0.0886385932386052</v>
      </c>
      <c r="X30" s="86">
        <f>R30/'2015'!Q30-1</f>
        <v>0.179735346278023</v>
      </c>
      <c r="Y30" s="86">
        <f>S30/'2015'!R30-1</f>
        <v>-0.00839160899050195</v>
      </c>
      <c r="Z30" s="53">
        <f>Z$25+0.64*5</f>
        <v>16.25</v>
      </c>
      <c r="AA30" s="53">
        <f t="shared" si="6"/>
        <v>144.0006</v>
      </c>
      <c r="AB30" s="34">
        <v>4230</v>
      </c>
      <c r="AC30" s="34">
        <f>AA30*10000/AB30</f>
        <v>340.42695035461</v>
      </c>
      <c r="AD30" s="33">
        <f t="shared" si="7"/>
        <v>1667123</v>
      </c>
      <c r="AE30" s="34">
        <f t="shared" si="9"/>
        <v>43462</v>
      </c>
      <c r="AF30" s="34">
        <f t="shared" si="9"/>
        <v>20527</v>
      </c>
      <c r="AG30" s="34">
        <f t="shared" si="8"/>
        <v>628</v>
      </c>
    </row>
    <row r="31" ht="15" customHeight="1" spans="1:33">
      <c r="A31" s="106">
        <v>42396</v>
      </c>
      <c r="B31" s="21" t="s">
        <v>35</v>
      </c>
      <c r="C31" s="9">
        <v>53846</v>
      </c>
      <c r="D31" s="38">
        <v>26116</v>
      </c>
      <c r="E31" s="38">
        <v>81411</v>
      </c>
      <c r="F31" s="9">
        <v>4136</v>
      </c>
      <c r="G31" s="38">
        <v>2478</v>
      </c>
      <c r="H31" s="25"/>
      <c r="I31" s="37"/>
      <c r="J31" s="9">
        <f t="shared" si="0"/>
        <v>55295</v>
      </c>
      <c r="K31" s="38">
        <f t="shared" si="1"/>
        <v>656</v>
      </c>
      <c r="L31" s="38">
        <v>793</v>
      </c>
      <c r="M31" s="38">
        <v>0</v>
      </c>
      <c r="N31" s="78">
        <f t="shared" si="2"/>
        <v>1656352</v>
      </c>
      <c r="O31" s="79">
        <f t="shared" si="3"/>
        <v>674705</v>
      </c>
      <c r="P31" s="79">
        <f t="shared" si="4"/>
        <v>2397123</v>
      </c>
      <c r="Q31" s="80">
        <f t="shared" si="5"/>
        <v>1656352</v>
      </c>
      <c r="R31" s="80">
        <f t="shared" si="5"/>
        <v>674705</v>
      </c>
      <c r="S31" s="80">
        <f t="shared" si="5"/>
        <v>2397123</v>
      </c>
      <c r="T31" s="84">
        <f>N31/'2015'!M31-1</f>
        <v>-0.0930881833587481</v>
      </c>
      <c r="U31" s="84">
        <f>O31/'2015'!N31-1</f>
        <v>0.18229289876024</v>
      </c>
      <c r="V31" s="84">
        <f>P31/'2015'!O31-1</f>
        <v>-0.0115307250959348</v>
      </c>
      <c r="W31" s="85">
        <f>Q31/'2015'!P31-1</f>
        <v>-0.0930881833587481</v>
      </c>
      <c r="X31" s="85">
        <f>R31/'2015'!Q31-1</f>
        <v>0.18229289876024</v>
      </c>
      <c r="Y31" s="85">
        <f>S31/'2015'!R31-1</f>
        <v>-0.0115307250959348</v>
      </c>
      <c r="Z31" s="54">
        <f>Z$25+0.64*6</f>
        <v>16.89</v>
      </c>
      <c r="AA31" s="101">
        <f t="shared" si="6"/>
        <v>148.7452</v>
      </c>
      <c r="AB31" s="109"/>
      <c r="AC31" s="109"/>
      <c r="AD31" s="9">
        <f t="shared" si="7"/>
        <v>1722418</v>
      </c>
      <c r="AE31" s="38">
        <f t="shared" si="9"/>
        <v>44118</v>
      </c>
      <c r="AF31" s="38">
        <f t="shared" si="9"/>
        <v>21320</v>
      </c>
      <c r="AG31" s="38">
        <f t="shared" si="8"/>
        <v>628</v>
      </c>
    </row>
    <row r="32" ht="15" customHeight="1" spans="1:33">
      <c r="A32" s="106">
        <v>42397</v>
      </c>
      <c r="B32" s="21" t="s">
        <v>36</v>
      </c>
      <c r="C32" s="74">
        <v>48747</v>
      </c>
      <c r="D32" s="75">
        <v>24435</v>
      </c>
      <c r="E32" s="75">
        <v>75400</v>
      </c>
      <c r="F32" s="74">
        <v>3835</v>
      </c>
      <c r="G32" s="75">
        <v>2094</v>
      </c>
      <c r="H32" s="25"/>
      <c r="I32" s="25"/>
      <c r="J32" s="74">
        <f t="shared" si="0"/>
        <v>50965</v>
      </c>
      <c r="K32" s="75">
        <f t="shared" si="1"/>
        <v>1425</v>
      </c>
      <c r="L32" s="75">
        <v>793</v>
      </c>
      <c r="M32" s="75">
        <v>0</v>
      </c>
      <c r="N32" s="78">
        <f t="shared" si="2"/>
        <v>1705099</v>
      </c>
      <c r="O32" s="79">
        <f t="shared" si="3"/>
        <v>699140</v>
      </c>
      <c r="P32" s="79">
        <f t="shared" si="4"/>
        <v>2472523</v>
      </c>
      <c r="Q32" s="80">
        <f t="shared" si="5"/>
        <v>1705099</v>
      </c>
      <c r="R32" s="80">
        <f t="shared" si="5"/>
        <v>699140</v>
      </c>
      <c r="S32" s="80">
        <f t="shared" si="5"/>
        <v>2472523</v>
      </c>
      <c r="T32" s="84">
        <f>N32/'2015'!M32-1</f>
        <v>-0.101759238041053</v>
      </c>
      <c r="U32" s="84">
        <f>O32/'2015'!N32-1</f>
        <v>0.18242780432117</v>
      </c>
      <c r="V32" s="84">
        <f>P32/'2015'!O32-1</f>
        <v>-0.0182502503488207</v>
      </c>
      <c r="W32" s="85">
        <f>Q32/'2015'!P32-1</f>
        <v>-0.101759238041053</v>
      </c>
      <c r="X32" s="85">
        <f>R32/'2015'!Q32-1</f>
        <v>0.18242780432117</v>
      </c>
      <c r="Y32" s="85">
        <f>S32/'2015'!R32-1</f>
        <v>-0.0182502503488207</v>
      </c>
      <c r="Z32" s="101">
        <f>Z$25+0.64*7</f>
        <v>17.53</v>
      </c>
      <c r="AA32" s="101">
        <f t="shared" si="6"/>
        <v>152.9799</v>
      </c>
      <c r="AB32" s="110">
        <v>4230</v>
      </c>
      <c r="AC32" s="109">
        <f>AA32*10000/AB32</f>
        <v>361.654609929078</v>
      </c>
      <c r="AD32" s="74">
        <f t="shared" si="7"/>
        <v>1773383</v>
      </c>
      <c r="AE32" s="75">
        <f t="shared" si="9"/>
        <v>45543</v>
      </c>
      <c r="AF32" s="75">
        <f t="shared" si="9"/>
        <v>22113</v>
      </c>
      <c r="AG32" s="75">
        <f t="shared" si="8"/>
        <v>628</v>
      </c>
    </row>
    <row r="33" ht="15" customHeight="1" spans="1:33">
      <c r="A33" s="106">
        <v>42398</v>
      </c>
      <c r="B33" s="21" t="s">
        <v>37</v>
      </c>
      <c r="C33" s="9">
        <v>41685</v>
      </c>
      <c r="D33" s="38">
        <v>23892</v>
      </c>
      <c r="E33" s="38">
        <v>68398</v>
      </c>
      <c r="F33" s="9">
        <v>3494</v>
      </c>
      <c r="G33" s="38">
        <v>2085</v>
      </c>
      <c r="H33" s="25"/>
      <c r="I33" s="37"/>
      <c r="J33" s="9">
        <f t="shared" si="0"/>
        <v>44506</v>
      </c>
      <c r="K33" s="38">
        <f t="shared" si="1"/>
        <v>2028</v>
      </c>
      <c r="L33" s="38">
        <v>793</v>
      </c>
      <c r="M33" s="38">
        <v>0</v>
      </c>
      <c r="N33" s="78">
        <f t="shared" si="2"/>
        <v>1746784</v>
      </c>
      <c r="O33" s="79">
        <f t="shared" si="3"/>
        <v>723032</v>
      </c>
      <c r="P33" s="79">
        <f t="shared" si="4"/>
        <v>2540921</v>
      </c>
      <c r="Q33" s="80">
        <f t="shared" si="5"/>
        <v>1746784</v>
      </c>
      <c r="R33" s="80">
        <f t="shared" si="5"/>
        <v>723032</v>
      </c>
      <c r="S33" s="80">
        <f t="shared" si="5"/>
        <v>2540921</v>
      </c>
      <c r="T33" s="84">
        <f>N33/'2015'!M33-1</f>
        <v>-0.112886573068944</v>
      </c>
      <c r="U33" s="84">
        <f>O33/'2015'!N33-1</f>
        <v>0.180123230097523</v>
      </c>
      <c r="V33" s="84">
        <f>P33/'2015'!O33-1</f>
        <v>-0.0270582703384074</v>
      </c>
      <c r="W33" s="85">
        <f>Q33/'2015'!P33-1</f>
        <v>-0.112886573068944</v>
      </c>
      <c r="X33" s="85">
        <f>R33/'2015'!Q33-1</f>
        <v>0.180123230097523</v>
      </c>
      <c r="Y33" s="85">
        <f>S33/'2015'!R33-1</f>
        <v>-0.0270582703384074</v>
      </c>
      <c r="Z33" s="54">
        <f>Z$25+0.64*8</f>
        <v>18.17</v>
      </c>
      <c r="AA33" s="101">
        <f t="shared" si="6"/>
        <v>156.5084</v>
      </c>
      <c r="AB33" s="109"/>
      <c r="AC33" s="109"/>
      <c r="AD33" s="9">
        <f t="shared" si="7"/>
        <v>1817889</v>
      </c>
      <c r="AE33" s="38">
        <f t="shared" si="9"/>
        <v>47571</v>
      </c>
      <c r="AF33" s="38">
        <f t="shared" si="9"/>
        <v>22906</v>
      </c>
      <c r="AG33" s="38">
        <f t="shared" si="8"/>
        <v>628</v>
      </c>
    </row>
    <row r="34" ht="15" customHeight="1" spans="1:33">
      <c r="A34" s="106">
        <v>42399</v>
      </c>
      <c r="B34" s="21" t="s">
        <v>38</v>
      </c>
      <c r="C34" s="9">
        <v>36460</v>
      </c>
      <c r="D34" s="38">
        <v>23558</v>
      </c>
      <c r="E34" s="38">
        <v>62671</v>
      </c>
      <c r="F34" s="9">
        <v>3146</v>
      </c>
      <c r="G34" s="38">
        <v>1893</v>
      </c>
      <c r="H34" s="25"/>
      <c r="I34" s="37"/>
      <c r="J34" s="9">
        <f t="shared" si="0"/>
        <v>39113</v>
      </c>
      <c r="K34" s="38">
        <f t="shared" si="1"/>
        <v>1860</v>
      </c>
      <c r="L34" s="38">
        <v>793</v>
      </c>
      <c r="M34" s="38">
        <v>0</v>
      </c>
      <c r="N34" s="78">
        <f t="shared" si="2"/>
        <v>1783244</v>
      </c>
      <c r="O34" s="79">
        <f t="shared" si="3"/>
        <v>746590</v>
      </c>
      <c r="P34" s="79">
        <f t="shared" si="4"/>
        <v>2603592</v>
      </c>
      <c r="Q34" s="80">
        <f t="shared" si="5"/>
        <v>1783244</v>
      </c>
      <c r="R34" s="80">
        <f t="shared" si="5"/>
        <v>746590</v>
      </c>
      <c r="S34" s="80">
        <f t="shared" si="5"/>
        <v>2603592</v>
      </c>
      <c r="T34" s="84">
        <f>N34/'2015'!M34-1</f>
        <v>-0.125945619003646</v>
      </c>
      <c r="U34" s="84">
        <f>O34/'2015'!N34-1</f>
        <v>0.177321203577111</v>
      </c>
      <c r="V34" s="84">
        <f>P34/'2015'!O34-1</f>
        <v>-0.0374947874615159</v>
      </c>
      <c r="W34" s="85">
        <f>Q34/'2015'!P34-1</f>
        <v>-0.125945619003646</v>
      </c>
      <c r="X34" s="85">
        <f>R34/'2015'!Q34-1</f>
        <v>0.177321203577111</v>
      </c>
      <c r="Y34" s="85">
        <f>S34/'2015'!R34-1</f>
        <v>-0.0374947874615159</v>
      </c>
      <c r="Z34" s="54">
        <f>Z$25+0.64*9</f>
        <v>18.81</v>
      </c>
      <c r="AA34" s="101">
        <f t="shared" si="6"/>
        <v>159.5144</v>
      </c>
      <c r="AB34" s="109"/>
      <c r="AC34" s="109"/>
      <c r="AD34" s="9">
        <f t="shared" si="7"/>
        <v>1857002</v>
      </c>
      <c r="AE34" s="38">
        <f t="shared" si="9"/>
        <v>49431</v>
      </c>
      <c r="AF34" s="38">
        <f t="shared" si="9"/>
        <v>23699</v>
      </c>
      <c r="AG34" s="38">
        <f t="shared" si="8"/>
        <v>628</v>
      </c>
    </row>
    <row r="35" s="1" customFormat="1" ht="15" customHeight="1" spans="1:33">
      <c r="A35" s="26">
        <v>42400</v>
      </c>
      <c r="B35" s="26" t="s">
        <v>1</v>
      </c>
      <c r="C35" s="43">
        <v>33747</v>
      </c>
      <c r="D35" s="44">
        <v>23267</v>
      </c>
      <c r="E35" s="44">
        <v>59231</v>
      </c>
      <c r="F35" s="43">
        <v>2952</v>
      </c>
      <c r="G35" s="44">
        <v>1819</v>
      </c>
      <c r="H35" s="31"/>
      <c r="I35" s="31"/>
      <c r="J35" s="43">
        <f t="shared" si="0"/>
        <v>35964</v>
      </c>
      <c r="K35" s="44">
        <f t="shared" si="1"/>
        <v>1424</v>
      </c>
      <c r="L35" s="44">
        <v>793</v>
      </c>
      <c r="M35" s="44">
        <v>0</v>
      </c>
      <c r="N35" s="91">
        <f t="shared" si="2"/>
        <v>1816991</v>
      </c>
      <c r="O35" s="92">
        <f t="shared" si="3"/>
        <v>769857</v>
      </c>
      <c r="P35" s="92">
        <f t="shared" si="4"/>
        <v>2662823</v>
      </c>
      <c r="Q35" s="91">
        <f t="shared" si="5"/>
        <v>1816991</v>
      </c>
      <c r="R35" s="91">
        <f t="shared" si="5"/>
        <v>769857</v>
      </c>
      <c r="S35" s="91">
        <f t="shared" si="5"/>
        <v>2662823</v>
      </c>
      <c r="T35" s="93">
        <f>N35/'2015'!M35-1</f>
        <v>-0.138409078946682</v>
      </c>
      <c r="U35" s="93">
        <f>O35/'2015'!N35-1</f>
        <v>0.176764519309401</v>
      </c>
      <c r="V35" s="93">
        <f>P35/'2015'!O35-1</f>
        <v>-0.0471633602623892</v>
      </c>
      <c r="W35" s="93">
        <f>Q35/'2015'!P35-1</f>
        <v>-0.138409078946682</v>
      </c>
      <c r="X35" s="93">
        <f>R35/'2015'!Q35-1</f>
        <v>0.176764519309401</v>
      </c>
      <c r="Y35" s="93">
        <f>S35/'2015'!R35-1</f>
        <v>-0.0471633602623892</v>
      </c>
      <c r="Z35" s="56">
        <v>19.4515</v>
      </c>
      <c r="AA35" s="56">
        <f t="shared" si="6"/>
        <v>162.2476</v>
      </c>
      <c r="AB35" s="44">
        <v>4230.1</v>
      </c>
      <c r="AC35" s="44">
        <f>AA35*10000/AB35</f>
        <v>383.554998699794</v>
      </c>
      <c r="AD35" s="43">
        <f t="shared" si="7"/>
        <v>1892966</v>
      </c>
      <c r="AE35" s="44">
        <v>50876</v>
      </c>
      <c r="AF35" s="44">
        <v>24472</v>
      </c>
      <c r="AG35" s="44">
        <f t="shared" si="8"/>
        <v>627</v>
      </c>
    </row>
    <row r="36" ht="15" customHeight="1" spans="1:33">
      <c r="A36" s="106">
        <v>42401</v>
      </c>
      <c r="B36" s="21" t="s">
        <v>39</v>
      </c>
      <c r="C36" s="9">
        <v>36404</v>
      </c>
      <c r="D36" s="38">
        <v>21732</v>
      </c>
      <c r="E36" s="38">
        <v>61371</v>
      </c>
      <c r="F36" s="9">
        <v>3077</v>
      </c>
      <c r="G36" s="38">
        <v>1756</v>
      </c>
      <c r="H36" s="25"/>
      <c r="I36" s="37"/>
      <c r="J36" s="9">
        <f t="shared" si="0"/>
        <v>39639</v>
      </c>
      <c r="K36" s="38">
        <f t="shared" si="1"/>
        <v>2214.1</v>
      </c>
      <c r="L36" s="38">
        <v>792</v>
      </c>
      <c r="M36" s="38">
        <f>(AG$45-AG$35)/10</f>
        <v>228.9</v>
      </c>
      <c r="N36" s="78">
        <f>C36</f>
        <v>36404</v>
      </c>
      <c r="O36" s="79">
        <f>D36</f>
        <v>21732</v>
      </c>
      <c r="P36" s="79">
        <f>E36</f>
        <v>61371</v>
      </c>
      <c r="Q36" s="80">
        <f>N36+Q$35</f>
        <v>1853395</v>
      </c>
      <c r="R36" s="80">
        <f>O36+R$35</f>
        <v>791589</v>
      </c>
      <c r="S36" s="80">
        <f>P36+S$35</f>
        <v>2724194</v>
      </c>
      <c r="T36" s="84">
        <f>N36/'2015'!M36-1</f>
        <v>-0.442511485451761</v>
      </c>
      <c r="U36" s="84">
        <f>O36/'2015'!N36-1</f>
        <v>0.0975757575757576</v>
      </c>
      <c r="V36" s="84">
        <f>P36/'2015'!O36-1</f>
        <v>-0.28708006133544</v>
      </c>
      <c r="W36" s="85">
        <f>Q36/'2015'!P36-1</f>
        <v>-0.147542589639583</v>
      </c>
      <c r="X36" s="85">
        <f>R36/'2015'!Q36-1</f>
        <v>0.174438254341521</v>
      </c>
      <c r="Y36" s="85">
        <f>S36/'2015'!R36-1</f>
        <v>-0.0543327671536645</v>
      </c>
      <c r="Z36" s="54">
        <f>Z$35+0.302*1</f>
        <v>19.7535</v>
      </c>
      <c r="AA36" s="101">
        <f t="shared" si="6"/>
        <v>165.586</v>
      </c>
      <c r="AB36" s="109"/>
      <c r="AC36" s="109"/>
      <c r="AD36" s="9">
        <f t="shared" si="7"/>
        <v>1932605</v>
      </c>
      <c r="AE36" s="38">
        <f t="shared" si="9"/>
        <v>53090.1</v>
      </c>
      <c r="AF36" s="38">
        <f t="shared" si="9"/>
        <v>25264</v>
      </c>
      <c r="AG36" s="38">
        <f t="shared" si="8"/>
        <v>855.900000000001</v>
      </c>
    </row>
    <row r="37" ht="15" customHeight="1" spans="1:33">
      <c r="A37" s="106">
        <v>42402</v>
      </c>
      <c r="B37" s="15" t="s">
        <v>34</v>
      </c>
      <c r="C37" s="33">
        <v>30597</v>
      </c>
      <c r="D37" s="34">
        <v>23181</v>
      </c>
      <c r="E37" s="34">
        <v>56414</v>
      </c>
      <c r="F37" s="33">
        <v>2846</v>
      </c>
      <c r="G37" s="34">
        <v>1718</v>
      </c>
      <c r="H37" s="20"/>
      <c r="I37" s="20"/>
      <c r="J37" s="33">
        <f t="shared" si="0"/>
        <v>33233</v>
      </c>
      <c r="K37" s="34">
        <f t="shared" si="1"/>
        <v>1615.1</v>
      </c>
      <c r="L37" s="34">
        <v>792</v>
      </c>
      <c r="M37" s="34">
        <f t="shared" ref="M37:M45" si="11">(AG$45-AG$35)/10</f>
        <v>228.9</v>
      </c>
      <c r="N37" s="81">
        <f t="shared" ref="N37:N54" si="12">N36+C37</f>
        <v>67001</v>
      </c>
      <c r="O37" s="82">
        <f t="shared" ref="O37:O54" si="13">O36+D37</f>
        <v>44913</v>
      </c>
      <c r="P37" s="82">
        <f t="shared" ref="P37:P54" si="14">P36+E37</f>
        <v>117785</v>
      </c>
      <c r="Q37" s="81">
        <f t="shared" ref="Q37:S63" si="15">N37+Q$35</f>
        <v>1883992</v>
      </c>
      <c r="R37" s="81">
        <f t="shared" si="15"/>
        <v>814770</v>
      </c>
      <c r="S37" s="81">
        <f t="shared" si="15"/>
        <v>2780608</v>
      </c>
      <c r="T37" s="86">
        <f>N37/'2015'!M37-1</f>
        <v>-0.491646433990895</v>
      </c>
      <c r="U37" s="86">
        <f>O37/'2015'!N37-1</f>
        <v>0.106231527093596</v>
      </c>
      <c r="V37" s="86">
        <f>P37/'2015'!O37-1</f>
        <v>-0.324944693435426</v>
      </c>
      <c r="W37" s="86">
        <f>Q37/'2015'!P37-1</f>
        <v>-0.159187014293435</v>
      </c>
      <c r="X37" s="86">
        <f>R37/'2015'!Q37-1</f>
        <v>0.172643077653764</v>
      </c>
      <c r="Y37" s="86">
        <f>S37/'2015'!R37-1</f>
        <v>-0.0634873963872663</v>
      </c>
      <c r="Z37" s="53">
        <f>Z$35+0.302*2</f>
        <v>20.0555</v>
      </c>
      <c r="AA37" s="53">
        <f t="shared" si="6"/>
        <v>168.3437</v>
      </c>
      <c r="AB37" s="34">
        <v>4230.1</v>
      </c>
      <c r="AC37" s="34">
        <f>AA37*10000/AB37</f>
        <v>397.966241932815</v>
      </c>
      <c r="AD37" s="33">
        <f t="shared" si="7"/>
        <v>1965838</v>
      </c>
      <c r="AE37" s="34">
        <f t="shared" si="9"/>
        <v>54705.2</v>
      </c>
      <c r="AF37" s="34">
        <f t="shared" si="9"/>
        <v>26056</v>
      </c>
      <c r="AG37" s="34">
        <f t="shared" si="8"/>
        <v>1084.8</v>
      </c>
    </row>
    <row r="38" ht="15" customHeight="1" spans="1:33">
      <c r="A38" s="106">
        <v>42403</v>
      </c>
      <c r="B38" s="21" t="s">
        <v>35</v>
      </c>
      <c r="C38" s="9">
        <v>26002</v>
      </c>
      <c r="D38" s="38">
        <v>23481</v>
      </c>
      <c r="E38" s="38">
        <v>51473</v>
      </c>
      <c r="F38" s="9">
        <v>2613</v>
      </c>
      <c r="G38" s="38">
        <v>1621</v>
      </c>
      <c r="H38" s="25"/>
      <c r="I38" s="37"/>
      <c r="J38" s="9">
        <f t="shared" si="0"/>
        <v>27992</v>
      </c>
      <c r="K38" s="38">
        <f t="shared" si="1"/>
        <v>969.1</v>
      </c>
      <c r="L38" s="38">
        <v>792</v>
      </c>
      <c r="M38" s="38">
        <f t="shared" si="11"/>
        <v>228.9</v>
      </c>
      <c r="N38" s="78">
        <f t="shared" si="12"/>
        <v>93003</v>
      </c>
      <c r="O38" s="79">
        <f t="shared" si="13"/>
        <v>68394</v>
      </c>
      <c r="P38" s="79">
        <f t="shared" si="14"/>
        <v>169258</v>
      </c>
      <c r="Q38" s="80">
        <f t="shared" si="15"/>
        <v>1909994</v>
      </c>
      <c r="R38" s="80">
        <f t="shared" si="15"/>
        <v>838251</v>
      </c>
      <c r="S38" s="80">
        <f t="shared" si="15"/>
        <v>2832081</v>
      </c>
      <c r="T38" s="84">
        <f>N38/'2015'!M38-1</f>
        <v>-0.524524539877301</v>
      </c>
      <c r="U38" s="84">
        <f>O38/'2015'!N38-1</f>
        <v>0.108852140077821</v>
      </c>
      <c r="V38" s="84">
        <f>P38/'2015'!O38-1</f>
        <v>-0.351636059972266</v>
      </c>
      <c r="W38" s="85">
        <f>Q38/'2015'!P38-1</f>
        <v>-0.171181859326989</v>
      </c>
      <c r="X38" s="85">
        <f>R38/'2015'!Q38-1</f>
        <v>0.170913332262413</v>
      </c>
      <c r="Y38" s="85">
        <f>S38/'2015'!R38-1</f>
        <v>-0.0731751776445251</v>
      </c>
      <c r="Z38" s="54">
        <f>Z$35+0.302*3</f>
        <v>20.3575</v>
      </c>
      <c r="AA38" s="101">
        <f t="shared" si="6"/>
        <v>170.6419</v>
      </c>
      <c r="AB38" s="109"/>
      <c r="AC38" s="109"/>
      <c r="AD38" s="9">
        <f t="shared" si="7"/>
        <v>1993830</v>
      </c>
      <c r="AE38" s="38">
        <f t="shared" si="9"/>
        <v>55674.3</v>
      </c>
      <c r="AF38" s="38">
        <f t="shared" si="9"/>
        <v>26848</v>
      </c>
      <c r="AG38" s="38">
        <f t="shared" si="8"/>
        <v>1313.7</v>
      </c>
    </row>
    <row r="39" ht="15" customHeight="1" spans="1:33">
      <c r="A39" s="106">
        <v>42404</v>
      </c>
      <c r="B39" s="21" t="s">
        <v>36</v>
      </c>
      <c r="C39" s="74">
        <v>25012</v>
      </c>
      <c r="D39" s="75">
        <v>22008</v>
      </c>
      <c r="E39" s="75">
        <v>49750</v>
      </c>
      <c r="F39" s="74">
        <v>2506</v>
      </c>
      <c r="G39" s="75">
        <v>1494</v>
      </c>
      <c r="H39" s="25"/>
      <c r="I39" s="25"/>
      <c r="J39" s="74">
        <f t="shared" si="0"/>
        <v>27742</v>
      </c>
      <c r="K39" s="75">
        <f t="shared" si="1"/>
        <v>1709.1</v>
      </c>
      <c r="L39" s="75">
        <v>792</v>
      </c>
      <c r="M39" s="75">
        <f t="shared" si="11"/>
        <v>228.9</v>
      </c>
      <c r="N39" s="78">
        <f t="shared" si="12"/>
        <v>118015</v>
      </c>
      <c r="O39" s="79">
        <f t="shared" si="13"/>
        <v>90402</v>
      </c>
      <c r="P39" s="79">
        <f t="shared" si="14"/>
        <v>219008</v>
      </c>
      <c r="Q39" s="80">
        <f t="shared" si="15"/>
        <v>1935006</v>
      </c>
      <c r="R39" s="80">
        <f t="shared" si="15"/>
        <v>860259</v>
      </c>
      <c r="S39" s="80">
        <f t="shared" si="15"/>
        <v>2881831</v>
      </c>
      <c r="T39" s="84">
        <f>N39/'2015'!M39-1</f>
        <v>-0.540440031152648</v>
      </c>
      <c r="U39" s="84">
        <f>O39/'2015'!N39-1</f>
        <v>0.108546903740037</v>
      </c>
      <c r="V39" s="84">
        <f>P39/'2015'!O39-1</f>
        <v>-0.361615549194616</v>
      </c>
      <c r="W39" s="85">
        <f>Q39/'2015'!P39-1</f>
        <v>-0.182050481066958</v>
      </c>
      <c r="X39" s="85">
        <f>R39/'2015'!Q39-1</f>
        <v>0.169203482090069</v>
      </c>
      <c r="Y39" s="85">
        <f>S39/'2015'!R39-1</f>
        <v>-0.0815446253027304</v>
      </c>
      <c r="Z39" s="101">
        <f>Z$35+0.302*4</f>
        <v>20.6595</v>
      </c>
      <c r="AA39" s="101">
        <f t="shared" si="6"/>
        <v>172.8411</v>
      </c>
      <c r="AB39" s="110">
        <v>4230.1</v>
      </c>
      <c r="AC39" s="109">
        <f>AA39*10000/AB39</f>
        <v>408.598141887899</v>
      </c>
      <c r="AD39" s="74">
        <f t="shared" si="7"/>
        <v>2021572</v>
      </c>
      <c r="AE39" s="75">
        <f t="shared" si="9"/>
        <v>57383.4</v>
      </c>
      <c r="AF39" s="75">
        <f t="shared" si="9"/>
        <v>27640</v>
      </c>
      <c r="AG39" s="75">
        <f t="shared" si="8"/>
        <v>1542.60000000001</v>
      </c>
    </row>
    <row r="40" ht="15" customHeight="1" spans="1:33">
      <c r="A40" s="106">
        <v>42405</v>
      </c>
      <c r="B40" s="21" t="s">
        <v>37</v>
      </c>
      <c r="C40" s="9">
        <v>21810</v>
      </c>
      <c r="D40" s="38">
        <v>19319</v>
      </c>
      <c r="E40" s="38">
        <v>43168</v>
      </c>
      <c r="F40" s="9">
        <v>2501</v>
      </c>
      <c r="G40" s="38">
        <v>1493</v>
      </c>
      <c r="H40" s="25"/>
      <c r="I40" s="37"/>
      <c r="J40" s="9">
        <f t="shared" si="0"/>
        <v>23849</v>
      </c>
      <c r="K40" s="38">
        <f t="shared" si="1"/>
        <v>1330.1</v>
      </c>
      <c r="L40" s="38">
        <v>480</v>
      </c>
      <c r="M40" s="38">
        <f t="shared" si="11"/>
        <v>228.9</v>
      </c>
      <c r="N40" s="78">
        <f t="shared" si="12"/>
        <v>139825</v>
      </c>
      <c r="O40" s="79">
        <f t="shared" si="13"/>
        <v>109721</v>
      </c>
      <c r="P40" s="79">
        <f t="shared" si="14"/>
        <v>262176</v>
      </c>
      <c r="Q40" s="80">
        <f t="shared" si="15"/>
        <v>1956816</v>
      </c>
      <c r="R40" s="80">
        <f t="shared" si="15"/>
        <v>879578</v>
      </c>
      <c r="S40" s="80">
        <f t="shared" si="15"/>
        <v>2924999</v>
      </c>
      <c r="T40" s="84">
        <f>N40/'2015'!M40-1</f>
        <v>-0.556814580031696</v>
      </c>
      <c r="U40" s="84">
        <f>O40/'2015'!N40-1</f>
        <v>0.0825949679329059</v>
      </c>
      <c r="V40" s="84">
        <f>P40/'2015'!O40-1</f>
        <v>-0.380022701475596</v>
      </c>
      <c r="W40" s="85">
        <f>Q40/'2015'!P40-1</f>
        <v>-0.192858872313281</v>
      </c>
      <c r="X40" s="85">
        <f>R40/'2015'!Q40-1</f>
        <v>0.16413280128116</v>
      </c>
      <c r="Y40" s="85">
        <f>S40/'2015'!R40-1</f>
        <v>-0.0909113795245823</v>
      </c>
      <c r="Z40" s="54">
        <f>Z$35+0.302*5</f>
        <v>20.9615</v>
      </c>
      <c r="AA40" s="101">
        <f t="shared" si="6"/>
        <v>174.7201</v>
      </c>
      <c r="AB40" s="109"/>
      <c r="AC40" s="109"/>
      <c r="AD40" s="9">
        <f t="shared" si="7"/>
        <v>2045421</v>
      </c>
      <c r="AE40" s="38">
        <f t="shared" si="9"/>
        <v>58713.5</v>
      </c>
      <c r="AF40" s="38">
        <f t="shared" si="9"/>
        <v>28120</v>
      </c>
      <c r="AG40" s="38">
        <f t="shared" si="8"/>
        <v>1771.50000000001</v>
      </c>
    </row>
    <row r="41" ht="15" customHeight="1" spans="1:33">
      <c r="A41" s="106">
        <v>42406</v>
      </c>
      <c r="B41" s="21" t="s">
        <v>38</v>
      </c>
      <c r="C41" s="9">
        <v>20220</v>
      </c>
      <c r="D41" s="38">
        <v>17091</v>
      </c>
      <c r="E41" s="38">
        <v>40529</v>
      </c>
      <c r="F41" s="9">
        <v>2400</v>
      </c>
      <c r="G41" s="38">
        <v>1300</v>
      </c>
      <c r="H41" s="25"/>
      <c r="I41" s="37"/>
      <c r="J41" s="9">
        <f t="shared" si="0"/>
        <v>23438</v>
      </c>
      <c r="K41" s="38">
        <f t="shared" si="1"/>
        <v>2509.1</v>
      </c>
      <c r="L41" s="38">
        <v>480</v>
      </c>
      <c r="M41" s="38">
        <f t="shared" si="11"/>
        <v>228.9</v>
      </c>
      <c r="N41" s="78">
        <f t="shared" si="12"/>
        <v>160045</v>
      </c>
      <c r="O41" s="79">
        <f t="shared" si="13"/>
        <v>126812</v>
      </c>
      <c r="P41" s="79">
        <f t="shared" si="14"/>
        <v>302705</v>
      </c>
      <c r="Q41" s="80">
        <f t="shared" si="15"/>
        <v>1977036</v>
      </c>
      <c r="R41" s="80">
        <f t="shared" si="15"/>
        <v>896669</v>
      </c>
      <c r="S41" s="80">
        <f t="shared" si="15"/>
        <v>2965528</v>
      </c>
      <c r="T41" s="84">
        <f>N41/'2015'!M41-1</f>
        <v>-0.570325923539519</v>
      </c>
      <c r="U41" s="84">
        <f>O41/'2015'!N41-1</f>
        <v>0.0519452509332228</v>
      </c>
      <c r="V41" s="84">
        <f>P41/'2015'!O41-1</f>
        <v>-0.395049762180743</v>
      </c>
      <c r="W41" s="85">
        <f>Q41/'2015'!P41-1</f>
        <v>-0.203244673584113</v>
      </c>
      <c r="X41" s="85">
        <f>R41/'2015'!Q41-1</f>
        <v>0.157343194387976</v>
      </c>
      <c r="Y41" s="85">
        <f>S41/'2015'!R41-1</f>
        <v>-0.0999934142780273</v>
      </c>
      <c r="Z41" s="54">
        <f>Z$35+0.302*6</f>
        <v>21.2635</v>
      </c>
      <c r="AA41" s="101">
        <f t="shared" si="6"/>
        <v>176.4401</v>
      </c>
      <c r="AB41" s="109"/>
      <c r="AC41" s="109"/>
      <c r="AD41" s="9">
        <f t="shared" si="7"/>
        <v>2068859</v>
      </c>
      <c r="AE41" s="38">
        <f t="shared" si="9"/>
        <v>61222.6</v>
      </c>
      <c r="AF41" s="38">
        <f t="shared" si="9"/>
        <v>28600</v>
      </c>
      <c r="AG41" s="38">
        <f t="shared" si="8"/>
        <v>2000.40000000001</v>
      </c>
    </row>
    <row r="42" ht="15" customHeight="1" spans="1:33">
      <c r="A42" s="14">
        <v>42407</v>
      </c>
      <c r="B42" s="21" t="s">
        <v>1</v>
      </c>
      <c r="C42" s="9">
        <v>23041</v>
      </c>
      <c r="D42" s="38">
        <f>8646+5096</f>
        <v>13742</v>
      </c>
      <c r="E42" s="38">
        <v>39820</v>
      </c>
      <c r="F42" s="9">
        <v>2297.4</v>
      </c>
      <c r="G42" s="38">
        <v>1238.4</v>
      </c>
      <c r="H42" s="25"/>
      <c r="I42" s="37"/>
      <c r="J42" s="9">
        <f t="shared" si="0"/>
        <v>26078</v>
      </c>
      <c r="K42" s="38">
        <f t="shared" si="1"/>
        <v>2328.1</v>
      </c>
      <c r="L42" s="38">
        <v>480</v>
      </c>
      <c r="M42" s="38">
        <f t="shared" si="11"/>
        <v>228.9</v>
      </c>
      <c r="N42" s="78">
        <f t="shared" si="12"/>
        <v>183086</v>
      </c>
      <c r="O42" s="79">
        <f t="shared" si="13"/>
        <v>140554</v>
      </c>
      <c r="P42" s="79">
        <f t="shared" si="14"/>
        <v>342525</v>
      </c>
      <c r="Q42" s="80">
        <f t="shared" si="15"/>
        <v>2000077</v>
      </c>
      <c r="R42" s="80">
        <f t="shared" si="15"/>
        <v>910411</v>
      </c>
      <c r="S42" s="80">
        <f t="shared" si="15"/>
        <v>3005348</v>
      </c>
      <c r="T42" s="84">
        <f>N42/'2015'!M42-1</f>
        <v>-0.574890870251695</v>
      </c>
      <c r="U42" s="84">
        <f>O42/'2015'!N42-1</f>
        <v>0.0139810700063485</v>
      </c>
      <c r="V42" s="84">
        <f>P42/'2015'!O42-1</f>
        <v>-0.407170549344041</v>
      </c>
      <c r="W42" s="85">
        <f>Q42/'2015'!P42-1</f>
        <v>-0.212431370958501</v>
      </c>
      <c r="X42" s="85">
        <f>R42/'2015'!Q42-1</f>
        <v>0.148303989122524</v>
      </c>
      <c r="Y42" s="85">
        <f>S42/'2015'!R42-1</f>
        <v>-0.108841845008624</v>
      </c>
      <c r="Z42" s="54">
        <f>Z$35+0.302*7</f>
        <v>21.5655</v>
      </c>
      <c r="AA42" s="101">
        <f t="shared" si="6"/>
        <v>178.4422</v>
      </c>
      <c r="AB42" s="109"/>
      <c r="AC42" s="109"/>
      <c r="AD42" s="9">
        <f t="shared" si="7"/>
        <v>2094937</v>
      </c>
      <c r="AE42" s="38">
        <f t="shared" si="9"/>
        <v>63550.7</v>
      </c>
      <c r="AF42" s="38">
        <f t="shared" si="9"/>
        <v>29080</v>
      </c>
      <c r="AG42" s="38">
        <f t="shared" si="8"/>
        <v>2229.30000000001</v>
      </c>
    </row>
    <row r="43" ht="15" customHeight="1" spans="1:33">
      <c r="A43" s="14">
        <v>42408</v>
      </c>
      <c r="B43" s="21" t="s">
        <v>39</v>
      </c>
      <c r="C43" s="9">
        <v>19395</v>
      </c>
      <c r="D43" s="38">
        <f>8272+4906</f>
        <v>13178</v>
      </c>
      <c r="E43" s="38">
        <v>35026</v>
      </c>
      <c r="F43" s="9">
        <v>1922.7</v>
      </c>
      <c r="G43" s="38">
        <v>1105.2</v>
      </c>
      <c r="H43" s="25"/>
      <c r="I43" s="37"/>
      <c r="J43" s="9">
        <f t="shared" si="0"/>
        <v>21848</v>
      </c>
      <c r="K43" s="38">
        <f t="shared" si="1"/>
        <v>1744.1</v>
      </c>
      <c r="L43" s="38">
        <v>480</v>
      </c>
      <c r="M43" s="38">
        <f t="shared" si="11"/>
        <v>228.9</v>
      </c>
      <c r="N43" s="78">
        <f t="shared" si="12"/>
        <v>202481</v>
      </c>
      <c r="O43" s="79">
        <f t="shared" si="13"/>
        <v>153732</v>
      </c>
      <c r="P43" s="79">
        <f t="shared" si="14"/>
        <v>377551</v>
      </c>
      <c r="Q43" s="80">
        <f t="shared" si="15"/>
        <v>2019472</v>
      </c>
      <c r="R43" s="80">
        <f t="shared" si="15"/>
        <v>923589</v>
      </c>
      <c r="S43" s="80">
        <f t="shared" si="15"/>
        <v>3040374</v>
      </c>
      <c r="T43" s="84">
        <f>N43/'2015'!M43-1</f>
        <v>-0.573795992253936</v>
      </c>
      <c r="U43" s="84">
        <f>O43/'2015'!N43-1</f>
        <v>-0.0320118879709853</v>
      </c>
      <c r="V43" s="84">
        <f>P43/'2015'!O43-1</f>
        <v>-0.413358090680257</v>
      </c>
      <c r="W43" s="85">
        <f>Q43/'2015'!P43-1</f>
        <v>-0.218458187610562</v>
      </c>
      <c r="X43" s="85">
        <f>R43/'2015'!Q43-1</f>
        <v>0.135982514811858</v>
      </c>
      <c r="Y43" s="85">
        <f>S43/'2015'!R43-1</f>
        <v>-0.115709438087934</v>
      </c>
      <c r="Z43" s="54">
        <f>Z$35+0.302*8</f>
        <v>21.8675</v>
      </c>
      <c r="AA43" s="101">
        <f t="shared" si="6"/>
        <v>180.0797</v>
      </c>
      <c r="AB43" s="109"/>
      <c r="AC43" s="109"/>
      <c r="AD43" s="9">
        <f t="shared" si="7"/>
        <v>2116785</v>
      </c>
      <c r="AE43" s="38">
        <f t="shared" si="9"/>
        <v>65294.8</v>
      </c>
      <c r="AF43" s="38">
        <f t="shared" si="9"/>
        <v>29560</v>
      </c>
      <c r="AG43" s="38">
        <f t="shared" si="8"/>
        <v>2458.20000000001</v>
      </c>
    </row>
    <row r="44" ht="15" customHeight="1" spans="1:33">
      <c r="A44" s="14">
        <v>42409</v>
      </c>
      <c r="B44" s="15" t="s">
        <v>34</v>
      </c>
      <c r="C44" s="33">
        <v>17937</v>
      </c>
      <c r="D44" s="34">
        <f>8349+4896</f>
        <v>13245</v>
      </c>
      <c r="E44" s="34">
        <v>32268</v>
      </c>
      <c r="F44" s="33">
        <v>1742.2</v>
      </c>
      <c r="G44" s="34">
        <v>1077.1</v>
      </c>
      <c r="H44" s="20"/>
      <c r="I44" s="20"/>
      <c r="J44" s="33">
        <f t="shared" si="0"/>
        <v>19023</v>
      </c>
      <c r="K44" s="34">
        <f t="shared" si="1"/>
        <v>377.1</v>
      </c>
      <c r="L44" s="34">
        <v>480</v>
      </c>
      <c r="M44" s="34">
        <f t="shared" si="11"/>
        <v>228.9</v>
      </c>
      <c r="N44" s="81">
        <f t="shared" si="12"/>
        <v>220418</v>
      </c>
      <c r="O44" s="82">
        <f t="shared" si="13"/>
        <v>166977</v>
      </c>
      <c r="P44" s="82">
        <f t="shared" si="14"/>
        <v>409819</v>
      </c>
      <c r="Q44" s="81">
        <f t="shared" si="15"/>
        <v>2037409</v>
      </c>
      <c r="R44" s="81">
        <f t="shared" si="15"/>
        <v>936834</v>
      </c>
      <c r="S44" s="81">
        <f t="shared" si="15"/>
        <v>3072642</v>
      </c>
      <c r="T44" s="86">
        <f>N44/'2015'!M44-1</f>
        <v>-0.575204286154795</v>
      </c>
      <c r="U44" s="86">
        <f>O44/'2015'!N44-1</f>
        <v>-0.0734618457850579</v>
      </c>
      <c r="V44" s="86">
        <f>P44/'2015'!O44-1</f>
        <v>-0.423180103591938</v>
      </c>
      <c r="W44" s="86">
        <f>Q44/'2015'!P44-1</f>
        <v>-0.224659110671869</v>
      </c>
      <c r="X44" s="86">
        <f>R44/'2015'!Q44-1</f>
        <v>0.122721950646608</v>
      </c>
      <c r="Y44" s="86">
        <f>S44/'2015'!R44-1</f>
        <v>-0.123381397486582</v>
      </c>
      <c r="Z44" s="53">
        <f>Z$35+0.302*9</f>
        <v>22.1695</v>
      </c>
      <c r="AA44" s="53">
        <f t="shared" si="6"/>
        <v>181.5714</v>
      </c>
      <c r="AB44" s="34">
        <v>4230.1</v>
      </c>
      <c r="AC44" s="34">
        <f>AA44*10000/AB44</f>
        <v>429.236661071842</v>
      </c>
      <c r="AD44" s="33">
        <f t="shared" si="7"/>
        <v>2135808</v>
      </c>
      <c r="AE44" s="34">
        <f t="shared" si="9"/>
        <v>65671.9</v>
      </c>
      <c r="AF44" s="34">
        <f t="shared" si="9"/>
        <v>30040</v>
      </c>
      <c r="AG44" s="34">
        <f t="shared" si="8"/>
        <v>2687.10000000001</v>
      </c>
    </row>
    <row r="45" ht="15" customHeight="1" spans="1:33">
      <c r="A45" s="14">
        <v>42410</v>
      </c>
      <c r="B45" s="21" t="s">
        <v>35</v>
      </c>
      <c r="C45" s="9">
        <v>16970</v>
      </c>
      <c r="D45" s="38">
        <f>7282+4862</f>
        <v>12144</v>
      </c>
      <c r="E45" s="38">
        <v>30218</v>
      </c>
      <c r="F45" s="9">
        <v>1597.8</v>
      </c>
      <c r="G45" s="38">
        <v>1020</v>
      </c>
      <c r="H45" s="25"/>
      <c r="I45" s="37"/>
      <c r="J45" s="9">
        <f t="shared" si="0"/>
        <v>18074</v>
      </c>
      <c r="K45" s="38">
        <f t="shared" si="1"/>
        <v>395.1</v>
      </c>
      <c r="L45" s="38">
        <v>480</v>
      </c>
      <c r="M45" s="38">
        <f t="shared" si="11"/>
        <v>228.9</v>
      </c>
      <c r="N45" s="78">
        <f t="shared" si="12"/>
        <v>237388</v>
      </c>
      <c r="O45" s="79">
        <f t="shared" si="13"/>
        <v>179121</v>
      </c>
      <c r="P45" s="79">
        <f t="shared" si="14"/>
        <v>440037</v>
      </c>
      <c r="Q45" s="80">
        <f t="shared" si="15"/>
        <v>2054379</v>
      </c>
      <c r="R45" s="80">
        <f t="shared" si="15"/>
        <v>948978</v>
      </c>
      <c r="S45" s="80">
        <f t="shared" si="15"/>
        <v>3102860</v>
      </c>
      <c r="T45" s="84">
        <f>N45/'2015'!M45-1</f>
        <v>-0.575015217157793</v>
      </c>
      <c r="U45" s="84">
        <f>O45/'2015'!N45-1</f>
        <v>-0.111132614779968</v>
      </c>
      <c r="V45" s="84">
        <f>P45/'2015'!O45-1</f>
        <v>-0.430358067522784</v>
      </c>
      <c r="W45" s="85">
        <f>Q45/'2015'!P45-1</f>
        <v>-0.22983670976761</v>
      </c>
      <c r="X45" s="85">
        <f>R45/'2015'!Q45-1</f>
        <v>0.108967654554994</v>
      </c>
      <c r="Y45" s="85">
        <f>S45/'2015'!R45-1</f>
        <v>-0.130146642643464</v>
      </c>
      <c r="Z45" s="54">
        <v>22.4705</v>
      </c>
      <c r="AA45" s="101">
        <f t="shared" si="6"/>
        <v>182.9674</v>
      </c>
      <c r="AB45" s="109">
        <v>4230.1</v>
      </c>
      <c r="AC45" s="109">
        <f>AA45*10000/AB45</f>
        <v>432.536819460533</v>
      </c>
      <c r="AD45" s="9">
        <f t="shared" si="7"/>
        <v>2153882</v>
      </c>
      <c r="AE45" s="38">
        <v>66219</v>
      </c>
      <c r="AF45" s="38">
        <v>30368</v>
      </c>
      <c r="AG45" s="38">
        <f t="shared" si="8"/>
        <v>2916</v>
      </c>
    </row>
    <row r="46" ht="15" customHeight="1" spans="1:33">
      <c r="A46" s="14">
        <v>42411</v>
      </c>
      <c r="B46" s="21" t="s">
        <v>36</v>
      </c>
      <c r="C46" s="74">
        <v>16326</v>
      </c>
      <c r="D46" s="75">
        <f>8162+4843</f>
        <v>13005</v>
      </c>
      <c r="E46" s="75">
        <v>30221</v>
      </c>
      <c r="F46" s="74">
        <v>1580</v>
      </c>
      <c r="G46" s="75">
        <v>1000.5</v>
      </c>
      <c r="H46" s="25"/>
      <c r="I46" s="25"/>
      <c r="J46" s="74">
        <f t="shared" si="0"/>
        <v>17216</v>
      </c>
      <c r="K46" s="75">
        <f t="shared" si="1"/>
        <v>316.727272727273</v>
      </c>
      <c r="L46" s="75">
        <v>480</v>
      </c>
      <c r="M46" s="75">
        <f>(AG$56-AG$45)/11</f>
        <v>93.2727272727273</v>
      </c>
      <c r="N46" s="78">
        <f t="shared" si="12"/>
        <v>253714</v>
      </c>
      <c r="O46" s="79">
        <f t="shared" si="13"/>
        <v>192126</v>
      </c>
      <c r="P46" s="79">
        <f t="shared" si="14"/>
        <v>470258</v>
      </c>
      <c r="Q46" s="80">
        <f t="shared" si="15"/>
        <v>2070705</v>
      </c>
      <c r="R46" s="80">
        <f t="shared" si="15"/>
        <v>961983</v>
      </c>
      <c r="S46" s="80">
        <f t="shared" si="15"/>
        <v>3133081</v>
      </c>
      <c r="T46" s="84">
        <f>N46/'2015'!M46-1</f>
        <v>-0.572137340213835</v>
      </c>
      <c r="U46" s="84">
        <f>O46/'2015'!N46-1</f>
        <v>-0.135797693373396</v>
      </c>
      <c r="V46" s="84">
        <f>P46/'2015'!O46-1</f>
        <v>-0.43279538765861</v>
      </c>
      <c r="W46" s="85">
        <f>Q46/'2015'!P46-1</f>
        <v>-0.233599902881683</v>
      </c>
      <c r="X46" s="85">
        <f>R46/'2015'!Q46-1</f>
        <v>0.0974888509362475</v>
      </c>
      <c r="Y46" s="85">
        <f>S46/'2015'!R46-1</f>
        <v>-0.135393396872319</v>
      </c>
      <c r="Z46" s="101">
        <f>Z$45+0.245*1</f>
        <v>22.7155</v>
      </c>
      <c r="AA46" s="101">
        <f t="shared" si="6"/>
        <v>184.355</v>
      </c>
      <c r="AB46" s="110">
        <v>4230.1</v>
      </c>
      <c r="AC46" s="109">
        <f>AA46*10000/AB46</f>
        <v>435.817120162644</v>
      </c>
      <c r="AD46" s="74">
        <f t="shared" si="7"/>
        <v>2171098</v>
      </c>
      <c r="AE46" s="75">
        <f t="shared" si="9"/>
        <v>66535.7272727273</v>
      </c>
      <c r="AF46" s="75">
        <f t="shared" si="9"/>
        <v>30848</v>
      </c>
      <c r="AG46" s="75">
        <f t="shared" si="8"/>
        <v>3009.27272727272</v>
      </c>
    </row>
    <row r="47" ht="15" customHeight="1" spans="1:33">
      <c r="A47" s="14">
        <v>42412</v>
      </c>
      <c r="B47" s="21" t="s">
        <v>37</v>
      </c>
      <c r="C47" s="9">
        <v>15872</v>
      </c>
      <c r="D47" s="38">
        <f>8082+5325</f>
        <v>13407</v>
      </c>
      <c r="E47" s="38">
        <v>30242</v>
      </c>
      <c r="F47" s="9">
        <v>1569.5</v>
      </c>
      <c r="G47" s="38">
        <v>1010.3</v>
      </c>
      <c r="H47" s="25"/>
      <c r="I47" s="37"/>
      <c r="J47" s="9">
        <f t="shared" si="0"/>
        <v>16835</v>
      </c>
      <c r="K47" s="38">
        <f t="shared" si="1"/>
        <v>389.727272727273</v>
      </c>
      <c r="L47" s="38">
        <v>480</v>
      </c>
      <c r="M47" s="38">
        <f t="shared" ref="M47:M56" si="16">(AG$56-AG$45)/11</f>
        <v>93.2727272727273</v>
      </c>
      <c r="N47" s="78">
        <f t="shared" si="12"/>
        <v>269586</v>
      </c>
      <c r="O47" s="79">
        <f t="shared" si="13"/>
        <v>205533</v>
      </c>
      <c r="P47" s="79">
        <f t="shared" si="14"/>
        <v>500500</v>
      </c>
      <c r="Q47" s="80">
        <f t="shared" si="15"/>
        <v>2086577</v>
      </c>
      <c r="R47" s="80">
        <f t="shared" si="15"/>
        <v>975390</v>
      </c>
      <c r="S47" s="80">
        <f t="shared" si="15"/>
        <v>3163323</v>
      </c>
      <c r="T47" s="84">
        <f>N47/'2015'!M47-1</f>
        <v>-0.566079706412568</v>
      </c>
      <c r="U47" s="84">
        <f>O47/'2015'!N47-1</f>
        <v>-0.155283664041822</v>
      </c>
      <c r="V47" s="84">
        <f>P47/'2015'!O47-1</f>
        <v>-0.430913721744667</v>
      </c>
      <c r="W47" s="85">
        <f>Q47/'2015'!P47-1</f>
        <v>-0.235730592980116</v>
      </c>
      <c r="X47" s="85">
        <f>R47/'2015'!Q47-1</f>
        <v>0.0867479786213512</v>
      </c>
      <c r="Y47" s="85">
        <f>S47/'2015'!R47-1</f>
        <v>-0.13902262508958</v>
      </c>
      <c r="Z47" s="54">
        <f>Z$45+0.245*2</f>
        <v>22.9605</v>
      </c>
      <c r="AA47" s="101">
        <f t="shared" si="6"/>
        <v>185.6972</v>
      </c>
      <c r="AB47" s="109"/>
      <c r="AC47" s="109"/>
      <c r="AD47" s="9">
        <f t="shared" si="7"/>
        <v>2187933</v>
      </c>
      <c r="AE47" s="38">
        <f t="shared" si="9"/>
        <v>66925.4545454546</v>
      </c>
      <c r="AF47" s="38">
        <f t="shared" si="9"/>
        <v>31328</v>
      </c>
      <c r="AG47" s="38">
        <f t="shared" si="8"/>
        <v>3102.54545454544</v>
      </c>
    </row>
    <row r="48" ht="15" customHeight="1" spans="1:33">
      <c r="A48" s="14">
        <v>42413</v>
      </c>
      <c r="B48" s="21" t="s">
        <v>38</v>
      </c>
      <c r="C48" s="9">
        <v>15982</v>
      </c>
      <c r="D48" s="38">
        <f>7791+6072</f>
        <v>13863</v>
      </c>
      <c r="E48" s="38">
        <v>30591</v>
      </c>
      <c r="F48" s="9">
        <v>1561.2</v>
      </c>
      <c r="G48" s="38">
        <v>963.9</v>
      </c>
      <c r="H48" s="25"/>
      <c r="I48" s="37"/>
      <c r="J48" s="9">
        <f t="shared" si="0"/>
        <v>16728</v>
      </c>
      <c r="K48" s="38">
        <f t="shared" si="1"/>
        <v>172.727272727273</v>
      </c>
      <c r="L48" s="38">
        <v>480</v>
      </c>
      <c r="M48" s="38">
        <f t="shared" si="16"/>
        <v>93.2727272727273</v>
      </c>
      <c r="N48" s="78">
        <f t="shared" si="12"/>
        <v>285568</v>
      </c>
      <c r="O48" s="79">
        <f t="shared" si="13"/>
        <v>219396</v>
      </c>
      <c r="P48" s="79">
        <f t="shared" si="14"/>
        <v>531091</v>
      </c>
      <c r="Q48" s="80">
        <f t="shared" si="15"/>
        <v>2102559</v>
      </c>
      <c r="R48" s="80">
        <f t="shared" si="15"/>
        <v>989253</v>
      </c>
      <c r="S48" s="80">
        <f t="shared" si="15"/>
        <v>3193914</v>
      </c>
      <c r="T48" s="84">
        <f>N48/'2015'!M48-1</f>
        <v>-0.557793675864846</v>
      </c>
      <c r="U48" s="84">
        <f>O48/'2015'!N48-1</f>
        <v>-0.168374927980107</v>
      </c>
      <c r="V48" s="84">
        <f>P48/'2015'!O48-1</f>
        <v>-0.426579066704096</v>
      </c>
      <c r="W48" s="85">
        <f>Q48/'2015'!P48-1</f>
        <v>-0.236726215477124</v>
      </c>
      <c r="X48" s="85">
        <f>R48/'2015'!Q48-1</f>
        <v>0.0775812581492346</v>
      </c>
      <c r="Y48" s="85">
        <f>S48/'2015'!R48-1</f>
        <v>-0.141607183602912</v>
      </c>
      <c r="Z48" s="54">
        <f>Z$45+0.245*3</f>
        <v>23.2055</v>
      </c>
      <c r="AA48" s="101">
        <f t="shared" si="6"/>
        <v>187.0504</v>
      </c>
      <c r="AB48" s="109"/>
      <c r="AC48" s="109"/>
      <c r="AD48" s="9">
        <f t="shared" si="7"/>
        <v>2204661</v>
      </c>
      <c r="AE48" s="38">
        <f t="shared" si="9"/>
        <v>67098.1818181818</v>
      </c>
      <c r="AF48" s="38">
        <f t="shared" si="9"/>
        <v>31808</v>
      </c>
      <c r="AG48" s="38">
        <f t="shared" si="8"/>
        <v>3195.81818181816</v>
      </c>
    </row>
    <row r="49" ht="15" customHeight="1" spans="1:33">
      <c r="A49" s="106">
        <v>42414</v>
      </c>
      <c r="B49" s="21" t="s">
        <v>1</v>
      </c>
      <c r="C49" s="9">
        <v>19554</v>
      </c>
      <c r="D49" s="38">
        <v>15582</v>
      </c>
      <c r="E49" s="38">
        <v>37094</v>
      </c>
      <c r="F49" s="9">
        <v>1961.4</v>
      </c>
      <c r="G49" s="38">
        <v>1015.3</v>
      </c>
      <c r="H49" s="25">
        <v>872.1</v>
      </c>
      <c r="I49" s="37">
        <v>424.4</v>
      </c>
      <c r="J49" s="9">
        <f t="shared" si="0"/>
        <v>21512</v>
      </c>
      <c r="K49" s="38">
        <f t="shared" si="1"/>
        <v>1384.72727272727</v>
      </c>
      <c r="L49" s="38">
        <v>480</v>
      </c>
      <c r="M49" s="38">
        <f t="shared" si="16"/>
        <v>93.2727272727273</v>
      </c>
      <c r="N49" s="78">
        <f t="shared" si="12"/>
        <v>305122</v>
      </c>
      <c r="O49" s="79">
        <f t="shared" si="13"/>
        <v>234978</v>
      </c>
      <c r="P49" s="79">
        <f t="shared" si="14"/>
        <v>568185</v>
      </c>
      <c r="Q49" s="80">
        <f t="shared" si="15"/>
        <v>2122113</v>
      </c>
      <c r="R49" s="80">
        <f t="shared" si="15"/>
        <v>1004835</v>
      </c>
      <c r="S49" s="80">
        <f t="shared" si="15"/>
        <v>3231008</v>
      </c>
      <c r="T49" s="84">
        <f>N49/'2015'!M49-1</f>
        <v>-0.543763270432728</v>
      </c>
      <c r="U49" s="84">
        <f>O49/'2015'!N49-1</f>
        <v>-0.159640363927672</v>
      </c>
      <c r="V49" s="84">
        <f>P49/'2015'!O49-1</f>
        <v>-0.411969560704206</v>
      </c>
      <c r="W49" s="85">
        <f>Q49/'2015'!P49-1</f>
        <v>-0.236006651644424</v>
      </c>
      <c r="X49" s="85">
        <f>R49/'2015'!Q49-1</f>
        <v>0.0760351712461891</v>
      </c>
      <c r="Y49" s="85">
        <f>S49/'2015'!R49-1</f>
        <v>-0.140889973032893</v>
      </c>
      <c r="Z49" s="54">
        <f>Z$45+0.245*4</f>
        <v>23.4505</v>
      </c>
      <c r="AA49" s="101">
        <f t="shared" si="6"/>
        <v>188.7608</v>
      </c>
      <c r="AB49" s="109"/>
      <c r="AC49" s="109"/>
      <c r="AD49" s="9">
        <f t="shared" si="7"/>
        <v>2226173</v>
      </c>
      <c r="AE49" s="38">
        <f t="shared" si="9"/>
        <v>68482.9090909091</v>
      </c>
      <c r="AF49" s="38">
        <f t="shared" si="9"/>
        <v>32288</v>
      </c>
      <c r="AG49" s="38">
        <f t="shared" si="8"/>
        <v>3289.09090909088</v>
      </c>
    </row>
    <row r="50" ht="15" customHeight="1" spans="1:33">
      <c r="A50" s="106">
        <v>42415</v>
      </c>
      <c r="B50" s="21" t="s">
        <v>39</v>
      </c>
      <c r="C50" s="9">
        <v>21821</v>
      </c>
      <c r="D50" s="38">
        <v>19484</v>
      </c>
      <c r="E50" s="38">
        <v>42985</v>
      </c>
      <c r="F50" s="9">
        <v>2238</v>
      </c>
      <c r="G50" s="38">
        <v>1233</v>
      </c>
      <c r="H50" s="25"/>
      <c r="I50" s="37"/>
      <c r="J50" s="9">
        <f t="shared" si="0"/>
        <v>23501</v>
      </c>
      <c r="K50" s="38">
        <f t="shared" si="1"/>
        <v>1106.72727272727</v>
      </c>
      <c r="L50" s="38">
        <v>480</v>
      </c>
      <c r="M50" s="38">
        <f t="shared" si="16"/>
        <v>93.2727272727273</v>
      </c>
      <c r="N50" s="78">
        <f t="shared" si="12"/>
        <v>326943</v>
      </c>
      <c r="O50" s="79">
        <f t="shared" si="13"/>
        <v>254462</v>
      </c>
      <c r="P50" s="79">
        <f t="shared" si="14"/>
        <v>611170</v>
      </c>
      <c r="Q50" s="80">
        <f t="shared" si="15"/>
        <v>2143934</v>
      </c>
      <c r="R50" s="80">
        <f t="shared" si="15"/>
        <v>1024319</v>
      </c>
      <c r="S50" s="80">
        <f t="shared" si="15"/>
        <v>3273993</v>
      </c>
      <c r="T50" s="84">
        <f>N50/'2015'!M50-1</f>
        <v>-0.524144074124207</v>
      </c>
      <c r="U50" s="84">
        <f>O50/'2015'!N50-1</f>
        <v>-0.147325317999652</v>
      </c>
      <c r="V50" s="84">
        <f>P50/'2015'!O50-1</f>
        <v>-0.391499491729781</v>
      </c>
      <c r="W50" s="85">
        <f>Q50/'2015'!P50-1</f>
        <v>-0.233197970487228</v>
      </c>
      <c r="X50" s="85">
        <f>R50/'2015'!Q50-1</f>
        <v>0.0752390979621957</v>
      </c>
      <c r="Y50" s="85">
        <f>S50/'2015'!R50-1</f>
        <v>-0.138199280129002</v>
      </c>
      <c r="Z50" s="54">
        <f>Z$45+0.245*5</f>
        <v>23.6955</v>
      </c>
      <c r="AA50" s="101">
        <f t="shared" si="6"/>
        <v>190.6979</v>
      </c>
      <c r="AB50" s="109"/>
      <c r="AC50" s="109"/>
      <c r="AD50" s="9">
        <f t="shared" si="7"/>
        <v>2249674</v>
      </c>
      <c r="AE50" s="38">
        <f t="shared" si="9"/>
        <v>69589.6363636364</v>
      </c>
      <c r="AF50" s="38">
        <f t="shared" si="9"/>
        <v>32768</v>
      </c>
      <c r="AG50" s="38">
        <f t="shared" si="8"/>
        <v>3382.3636363636</v>
      </c>
    </row>
    <row r="51" ht="15" customHeight="1" spans="1:33">
      <c r="A51" s="106">
        <v>42416</v>
      </c>
      <c r="B51" s="15" t="s">
        <v>34</v>
      </c>
      <c r="C51" s="33">
        <v>24634</v>
      </c>
      <c r="D51" s="34">
        <v>21790</v>
      </c>
      <c r="E51" s="34">
        <v>47067</v>
      </c>
      <c r="F51" s="33">
        <v>2356</v>
      </c>
      <c r="G51" s="34">
        <v>1429</v>
      </c>
      <c r="H51" s="20"/>
      <c r="I51" s="20"/>
      <c r="J51" s="33">
        <f t="shared" si="0"/>
        <v>25277</v>
      </c>
      <c r="K51" s="34">
        <f t="shared" si="1"/>
        <v>69.7272727272727</v>
      </c>
      <c r="L51" s="34">
        <v>480</v>
      </c>
      <c r="M51" s="34">
        <f t="shared" si="16"/>
        <v>93.2727272727273</v>
      </c>
      <c r="N51" s="81">
        <f t="shared" si="12"/>
        <v>351577</v>
      </c>
      <c r="O51" s="82">
        <f t="shared" si="13"/>
        <v>276252</v>
      </c>
      <c r="P51" s="82">
        <f t="shared" si="14"/>
        <v>658237</v>
      </c>
      <c r="Q51" s="81">
        <f t="shared" si="15"/>
        <v>2168568</v>
      </c>
      <c r="R51" s="81">
        <f t="shared" si="15"/>
        <v>1046109</v>
      </c>
      <c r="S51" s="81">
        <f t="shared" si="15"/>
        <v>3321060</v>
      </c>
      <c r="T51" s="86">
        <f>N51/'2015'!M51-1</f>
        <v>-0.500329014222226</v>
      </c>
      <c r="U51" s="86">
        <f>O51/'2015'!N51-1</f>
        <v>-0.12558834421658</v>
      </c>
      <c r="V51" s="86">
        <f>P51/'2015'!O51-1</f>
        <v>-0.366639500344951</v>
      </c>
      <c r="W51" s="86">
        <f>Q51/'2015'!P51-1</f>
        <v>-0.228952503399116</v>
      </c>
      <c r="X51" s="86">
        <f>R51/'2015'!Q51-1</f>
        <v>0.07830280865521</v>
      </c>
      <c r="Y51" s="86">
        <f>S51/'2015'!R51-1</f>
        <v>-0.133765477695842</v>
      </c>
      <c r="Z51" s="53">
        <f>Z$45+0.245*6</f>
        <v>23.9405</v>
      </c>
      <c r="AA51" s="53">
        <f t="shared" si="6"/>
        <v>192.9163</v>
      </c>
      <c r="AB51" s="34">
        <v>4230.1</v>
      </c>
      <c r="AC51" s="34">
        <f>AA51*10000/AB51</f>
        <v>456.05612160469</v>
      </c>
      <c r="AD51" s="33">
        <f t="shared" si="7"/>
        <v>2274951</v>
      </c>
      <c r="AE51" s="34">
        <f t="shared" si="9"/>
        <v>69659.3636363637</v>
      </c>
      <c r="AF51" s="34">
        <f t="shared" si="9"/>
        <v>33248</v>
      </c>
      <c r="AG51" s="34">
        <f t="shared" si="8"/>
        <v>3475.63636363632</v>
      </c>
    </row>
    <row r="52" ht="15" customHeight="1" spans="1:33">
      <c r="A52" s="106">
        <v>42417</v>
      </c>
      <c r="B52" s="21" t="s">
        <v>35</v>
      </c>
      <c r="C52" s="9">
        <v>27812</v>
      </c>
      <c r="D52" s="38">
        <v>20674</v>
      </c>
      <c r="E52" s="38">
        <v>50683</v>
      </c>
      <c r="F52" s="9">
        <v>2497</v>
      </c>
      <c r="G52" s="38">
        <v>1522</v>
      </c>
      <c r="H52" s="25"/>
      <c r="I52" s="37"/>
      <c r="J52" s="9">
        <f t="shared" si="0"/>
        <v>30009</v>
      </c>
      <c r="K52" s="38">
        <f t="shared" si="1"/>
        <v>1309.72727272727</v>
      </c>
      <c r="L52" s="38">
        <v>794</v>
      </c>
      <c r="M52" s="38">
        <f t="shared" si="16"/>
        <v>93.2727272727273</v>
      </c>
      <c r="N52" s="78">
        <f t="shared" si="12"/>
        <v>379389</v>
      </c>
      <c r="O52" s="79">
        <f t="shared" si="13"/>
        <v>296926</v>
      </c>
      <c r="P52" s="79">
        <f t="shared" si="14"/>
        <v>708920</v>
      </c>
      <c r="Q52" s="80">
        <f t="shared" si="15"/>
        <v>2196380</v>
      </c>
      <c r="R52" s="80">
        <f t="shared" si="15"/>
        <v>1066783</v>
      </c>
      <c r="S52" s="80">
        <f t="shared" si="15"/>
        <v>3371743</v>
      </c>
      <c r="T52" s="84">
        <f>N52/'2015'!M52-1</f>
        <v>-0.473897253064977</v>
      </c>
      <c r="U52" s="84">
        <f>O52/'2015'!N52-1</f>
        <v>-0.104122666216102</v>
      </c>
      <c r="V52" s="84">
        <f>P52/'2015'!O52-1</f>
        <v>-0.339491322973947</v>
      </c>
      <c r="W52" s="85">
        <f>Q52/'2015'!P52-1</f>
        <v>-0.223896735347225</v>
      </c>
      <c r="X52" s="85">
        <f>R52/'2015'!Q52-1</f>
        <v>0.0823131108272603</v>
      </c>
      <c r="Y52" s="85">
        <f>S52/'2015'!R52-1</f>
        <v>-0.128280282870307</v>
      </c>
      <c r="Z52" s="54">
        <f>Z$45+0.245*7</f>
        <v>24.1855</v>
      </c>
      <c r="AA52" s="101">
        <f t="shared" si="6"/>
        <v>195.4525</v>
      </c>
      <c r="AB52" s="109"/>
      <c r="AC52" s="109"/>
      <c r="AD52" s="9">
        <f t="shared" si="7"/>
        <v>2304960</v>
      </c>
      <c r="AE52" s="38">
        <f t="shared" si="9"/>
        <v>70969.090909091</v>
      </c>
      <c r="AF52" s="38">
        <f t="shared" si="9"/>
        <v>34042</v>
      </c>
      <c r="AG52" s="38">
        <f t="shared" si="8"/>
        <v>3568.90909090904</v>
      </c>
    </row>
    <row r="53" ht="15" customHeight="1" spans="1:33">
      <c r="A53" s="106">
        <v>42418</v>
      </c>
      <c r="B53" s="21" t="s">
        <v>36</v>
      </c>
      <c r="C53" s="74">
        <v>30325</v>
      </c>
      <c r="D53" s="75">
        <v>20819</v>
      </c>
      <c r="E53" s="75">
        <v>52993</v>
      </c>
      <c r="F53" s="74">
        <v>2691</v>
      </c>
      <c r="G53" s="75">
        <v>1610</v>
      </c>
      <c r="H53" s="25"/>
      <c r="I53" s="25"/>
      <c r="J53" s="74">
        <f t="shared" si="0"/>
        <v>32174</v>
      </c>
      <c r="K53" s="75">
        <f t="shared" si="1"/>
        <v>964.727272727273</v>
      </c>
      <c r="L53" s="75">
        <v>791</v>
      </c>
      <c r="M53" s="75">
        <f t="shared" si="16"/>
        <v>93.2727272727273</v>
      </c>
      <c r="N53" s="78">
        <f t="shared" si="12"/>
        <v>409714</v>
      </c>
      <c r="O53" s="79">
        <f t="shared" si="13"/>
        <v>317745</v>
      </c>
      <c r="P53" s="79">
        <f t="shared" si="14"/>
        <v>761913</v>
      </c>
      <c r="Q53" s="80">
        <f t="shared" si="15"/>
        <v>2226705</v>
      </c>
      <c r="R53" s="80">
        <f t="shared" si="15"/>
        <v>1087602</v>
      </c>
      <c r="S53" s="80">
        <f t="shared" si="15"/>
        <v>3424736</v>
      </c>
      <c r="T53" s="84">
        <f>N53/'2015'!M53-1</f>
        <v>-0.447343644196969</v>
      </c>
      <c r="U53" s="84">
        <f>O53/'2015'!N53-1</f>
        <v>-0.0760970702148199</v>
      </c>
      <c r="V53" s="84">
        <f>P53/'2015'!O53-1</f>
        <v>-0.311528959747857</v>
      </c>
      <c r="W53" s="85">
        <f>Q53/'2015'!P53-1</f>
        <v>-0.218763869480144</v>
      </c>
      <c r="X53" s="85">
        <f>R53/'2015'!Q53-1</f>
        <v>0.0896385344208326</v>
      </c>
      <c r="Y53" s="85">
        <f>S53/'2015'!R53-1</f>
        <v>-0.122155404056237</v>
      </c>
      <c r="Z53" s="101">
        <f>Z$45+0.245*8</f>
        <v>24.4305</v>
      </c>
      <c r="AA53" s="101">
        <f t="shared" si="6"/>
        <v>198.24</v>
      </c>
      <c r="AB53" s="110">
        <v>4230.1</v>
      </c>
      <c r="AC53" s="109">
        <f>AA53*10000/AB53</f>
        <v>468.641403276518</v>
      </c>
      <c r="AD53" s="74">
        <f t="shared" si="7"/>
        <v>2337134</v>
      </c>
      <c r="AE53" s="75">
        <f t="shared" si="9"/>
        <v>71933.8181818182</v>
      </c>
      <c r="AF53" s="75">
        <f t="shared" si="9"/>
        <v>34833</v>
      </c>
      <c r="AG53" s="75">
        <f t="shared" si="8"/>
        <v>3662.18181818177</v>
      </c>
    </row>
    <row r="54" ht="15" customHeight="1" spans="1:33">
      <c r="A54" s="106">
        <v>42419</v>
      </c>
      <c r="B54" s="21" t="s">
        <v>37</v>
      </c>
      <c r="C54" s="9">
        <v>34396</v>
      </c>
      <c r="D54" s="38">
        <v>21340</v>
      </c>
      <c r="E54" s="38">
        <v>58461</v>
      </c>
      <c r="F54" s="9">
        <v>3021</v>
      </c>
      <c r="G54" s="38">
        <v>1696</v>
      </c>
      <c r="H54" s="25"/>
      <c r="I54" s="37"/>
      <c r="J54" s="9">
        <f t="shared" si="0"/>
        <v>37121</v>
      </c>
      <c r="K54" s="38">
        <f t="shared" si="1"/>
        <v>1840.72727272727</v>
      </c>
      <c r="L54" s="38">
        <v>791</v>
      </c>
      <c r="M54" s="38">
        <f t="shared" si="16"/>
        <v>93.2727272727273</v>
      </c>
      <c r="N54" s="78">
        <f t="shared" si="12"/>
        <v>444110</v>
      </c>
      <c r="O54" s="79">
        <f t="shared" si="13"/>
        <v>339085</v>
      </c>
      <c r="P54" s="79">
        <f t="shared" si="14"/>
        <v>820374</v>
      </c>
      <c r="Q54" s="80">
        <f t="shared" si="15"/>
        <v>2261101</v>
      </c>
      <c r="R54" s="80">
        <f t="shared" si="15"/>
        <v>1108942</v>
      </c>
      <c r="S54" s="80">
        <f t="shared" si="15"/>
        <v>3483197</v>
      </c>
      <c r="T54" s="84">
        <f>N54/'2015'!M54-1</f>
        <v>-0.41457325183329</v>
      </c>
      <c r="U54" s="84">
        <f>O54/'2015'!N54-1</f>
        <v>-0.049761519103693</v>
      </c>
      <c r="V54" s="84">
        <f>P54/'2015'!O54-1</f>
        <v>-0.278779407110455</v>
      </c>
      <c r="W54" s="85">
        <f>Q54/'2015'!P54-1</f>
        <v>-0.211469760291935</v>
      </c>
      <c r="X54" s="85">
        <f>R54/'2015'!Q54-1</f>
        <v>0.0968145218321024</v>
      </c>
      <c r="Y54" s="85">
        <f>S54/'2015'!R54-1</f>
        <v>-0.114165255421584</v>
      </c>
      <c r="Z54" s="54">
        <f>Z$45+0.245*9</f>
        <v>24.6755</v>
      </c>
      <c r="AA54" s="101">
        <f t="shared" si="6"/>
        <v>201.4346</v>
      </c>
      <c r="AB54" s="109"/>
      <c r="AC54" s="109"/>
      <c r="AD54" s="9">
        <f t="shared" si="7"/>
        <v>2374255</v>
      </c>
      <c r="AE54" s="38">
        <f t="shared" si="9"/>
        <v>73774.5454545455</v>
      </c>
      <c r="AF54" s="38">
        <f t="shared" si="9"/>
        <v>35624</v>
      </c>
      <c r="AG54" s="38">
        <f t="shared" si="8"/>
        <v>3755.45454545449</v>
      </c>
    </row>
    <row r="55" ht="15" customHeight="1" spans="1:33">
      <c r="A55" s="106">
        <v>42420</v>
      </c>
      <c r="B55" s="21" t="s">
        <v>38</v>
      </c>
      <c r="C55" s="9">
        <v>33876</v>
      </c>
      <c r="D55" s="38">
        <v>22539</v>
      </c>
      <c r="E55" s="38">
        <v>59065</v>
      </c>
      <c r="F55" s="9">
        <v>2993</v>
      </c>
      <c r="G55" s="38">
        <v>1991</v>
      </c>
      <c r="H55" s="25"/>
      <c r="I55" s="37"/>
      <c r="J55" s="9">
        <f t="shared" si="0"/>
        <v>36526</v>
      </c>
      <c r="K55" s="38">
        <f t="shared" si="1"/>
        <v>1765.72727272727</v>
      </c>
      <c r="L55" s="38">
        <v>791</v>
      </c>
      <c r="M55" s="38">
        <f t="shared" si="16"/>
        <v>93.2727272727273</v>
      </c>
      <c r="N55" s="78">
        <f t="shared" ref="N55" si="17">N54+C55</f>
        <v>477986</v>
      </c>
      <c r="O55" s="79">
        <f t="shared" ref="O55" si="18">O54+D55</f>
        <v>361624</v>
      </c>
      <c r="P55" s="79">
        <f t="shared" ref="P55" si="19">P54+E55</f>
        <v>879439</v>
      </c>
      <c r="Q55" s="80">
        <f t="shared" si="15"/>
        <v>2294977</v>
      </c>
      <c r="R55" s="80">
        <f t="shared" si="15"/>
        <v>1131481</v>
      </c>
      <c r="S55" s="80">
        <f t="shared" si="15"/>
        <v>3542262</v>
      </c>
      <c r="T55" s="84">
        <f>N55/'2015'!M55-1</f>
        <v>-0.384563684073638</v>
      </c>
      <c r="U55" s="84">
        <f>O55/'2015'!N55-1</f>
        <v>-0.0196331459120657</v>
      </c>
      <c r="V55" s="84">
        <f>P55/'2015'!O55-1</f>
        <v>-0.247449966284789</v>
      </c>
      <c r="W55" s="85">
        <f>Q55/'2015'!P55-1</f>
        <v>-0.20466318101181</v>
      </c>
      <c r="X55" s="85">
        <f>R55/'2015'!Q55-1</f>
        <v>0.105954464993485</v>
      </c>
      <c r="Y55" s="85">
        <f>S55/'2015'!R55-1</f>
        <v>-0.106220442420959</v>
      </c>
      <c r="Z55" s="54">
        <v>24.92</v>
      </c>
      <c r="AA55" s="101">
        <f t="shared" si="6"/>
        <v>204.5777</v>
      </c>
      <c r="AB55" s="109">
        <v>4230.1</v>
      </c>
      <c r="AC55" s="109">
        <f>AA55*10000/AB55</f>
        <v>483.62379139973</v>
      </c>
      <c r="AD55" s="9">
        <f t="shared" si="7"/>
        <v>2410781</v>
      </c>
      <c r="AE55" s="38">
        <f t="shared" si="9"/>
        <v>75540.2727272728</v>
      </c>
      <c r="AF55" s="38">
        <f t="shared" si="9"/>
        <v>36415</v>
      </c>
      <c r="AG55" s="38">
        <f t="shared" si="8"/>
        <v>3848.72727272721</v>
      </c>
    </row>
    <row r="56" ht="15" customHeight="1" spans="1:33">
      <c r="A56" s="106">
        <v>42421</v>
      </c>
      <c r="B56" s="21" t="s">
        <v>1</v>
      </c>
      <c r="C56" s="9">
        <v>36027</v>
      </c>
      <c r="D56" s="38">
        <v>22529</v>
      </c>
      <c r="E56" s="38">
        <v>61228</v>
      </c>
      <c r="F56" s="9">
        <v>3039</v>
      </c>
      <c r="G56" s="38">
        <v>1938</v>
      </c>
      <c r="H56" s="25"/>
      <c r="I56" s="37"/>
      <c r="J56" s="9">
        <f t="shared" si="0"/>
        <v>38699</v>
      </c>
      <c r="K56" s="38">
        <f t="shared" si="1"/>
        <v>1787.72727272727</v>
      </c>
      <c r="L56" s="38">
        <v>791</v>
      </c>
      <c r="M56" s="38">
        <f t="shared" si="16"/>
        <v>93.2727272727273</v>
      </c>
      <c r="N56" s="78">
        <f t="shared" ref="N56:P63" si="20">N55+C56</f>
        <v>514013</v>
      </c>
      <c r="O56" s="79">
        <f t="shared" si="20"/>
        <v>384153</v>
      </c>
      <c r="P56" s="79">
        <f t="shared" si="20"/>
        <v>940667</v>
      </c>
      <c r="Q56" s="80">
        <f t="shared" si="15"/>
        <v>2331004</v>
      </c>
      <c r="R56" s="80">
        <f t="shared" si="15"/>
        <v>1154010</v>
      </c>
      <c r="S56" s="80">
        <f t="shared" si="15"/>
        <v>3603490</v>
      </c>
      <c r="T56" s="84">
        <f>N56/'2015'!M56-1</f>
        <v>-0.353479362803363</v>
      </c>
      <c r="U56" s="84">
        <f>O56/'2015'!N56-1</f>
        <v>0.00767521712785291</v>
      </c>
      <c r="V56" s="84">
        <f>P56/'2015'!O56-1</f>
        <v>-0.216411861776434</v>
      </c>
      <c r="W56" s="85">
        <f>Q56/'2015'!P56-1</f>
        <v>-0.19729166465789</v>
      </c>
      <c r="X56" s="85">
        <f>R56/'2015'!Q56-1</f>
        <v>0.114509552442339</v>
      </c>
      <c r="Y56" s="85">
        <f>S56/'2015'!R56-1</f>
        <v>-0.0980198683983933</v>
      </c>
      <c r="Z56" s="54">
        <f>Z$55+0.35*1</f>
        <v>25.27</v>
      </c>
      <c r="AA56" s="101">
        <f t="shared" si="6"/>
        <v>207.8304</v>
      </c>
      <c r="AB56" s="109"/>
      <c r="AC56" s="109"/>
      <c r="AD56" s="9">
        <f t="shared" si="7"/>
        <v>2449480</v>
      </c>
      <c r="AE56" s="38">
        <v>77440</v>
      </c>
      <c r="AF56" s="38">
        <v>37094</v>
      </c>
      <c r="AG56" s="38">
        <f t="shared" si="8"/>
        <v>3942</v>
      </c>
    </row>
    <row r="57" ht="15" customHeight="1" spans="1:33">
      <c r="A57" s="106">
        <v>42422</v>
      </c>
      <c r="B57" s="21" t="s">
        <v>39</v>
      </c>
      <c r="C57" s="9">
        <v>41119</v>
      </c>
      <c r="D57" s="38">
        <v>22182</v>
      </c>
      <c r="E57" s="38">
        <v>66539</v>
      </c>
      <c r="F57" s="9">
        <v>3541</v>
      </c>
      <c r="G57" s="38">
        <v>1939</v>
      </c>
      <c r="H57" s="25"/>
      <c r="I57" s="37"/>
      <c r="J57" s="9">
        <f t="shared" si="0"/>
        <v>44357</v>
      </c>
      <c r="K57" s="38">
        <f t="shared" si="1"/>
        <v>2250.75</v>
      </c>
      <c r="L57" s="38">
        <v>791</v>
      </c>
      <c r="M57" s="38">
        <f>(AG$64-AG$56)/8</f>
        <v>196.25</v>
      </c>
      <c r="N57" s="78">
        <f t="shared" si="20"/>
        <v>555132</v>
      </c>
      <c r="O57" s="79">
        <f t="shared" si="20"/>
        <v>406335</v>
      </c>
      <c r="P57" s="79">
        <f t="shared" si="20"/>
        <v>1007206</v>
      </c>
      <c r="Q57" s="80">
        <f t="shared" si="15"/>
        <v>2372123</v>
      </c>
      <c r="R57" s="80">
        <f t="shared" si="15"/>
        <v>1176192</v>
      </c>
      <c r="S57" s="80">
        <f t="shared" si="15"/>
        <v>3670029</v>
      </c>
      <c r="T57" s="84">
        <f>N57/'2015'!M57-1</f>
        <v>-0.318236580743965</v>
      </c>
      <c r="U57" s="84">
        <f>O57/'2015'!N57-1</f>
        <v>0.0306400679763097</v>
      </c>
      <c r="V57" s="84">
        <f>P57/'2015'!O57-1</f>
        <v>-0.183379372019884</v>
      </c>
      <c r="W57" s="85">
        <f>Q57/'2015'!P57-1</f>
        <v>-0.188501192896127</v>
      </c>
      <c r="X57" s="85">
        <f>R57/'2015'!Q57-1</f>
        <v>0.121817505508026</v>
      </c>
      <c r="Y57" s="85">
        <f>S57/'2015'!R57-1</f>
        <v>-0.0888729173959349</v>
      </c>
      <c r="Z57" s="54">
        <f>Z$55+0.35*2</f>
        <v>25.62</v>
      </c>
      <c r="AA57" s="101">
        <f t="shared" si="6"/>
        <v>211.5923</v>
      </c>
      <c r="AB57" s="109"/>
      <c r="AC57" s="109"/>
      <c r="AD57" s="9">
        <f t="shared" si="7"/>
        <v>2493837</v>
      </c>
      <c r="AE57" s="38">
        <f t="shared" si="9"/>
        <v>79690.75</v>
      </c>
      <c r="AF57" s="38">
        <f t="shared" si="9"/>
        <v>37885</v>
      </c>
      <c r="AG57" s="38">
        <f t="shared" si="8"/>
        <v>4138.25</v>
      </c>
    </row>
    <row r="58" ht="15" customHeight="1" spans="1:33">
      <c r="A58" s="106">
        <v>42423</v>
      </c>
      <c r="B58" s="15" t="s">
        <v>34</v>
      </c>
      <c r="C58" s="33">
        <v>42603</v>
      </c>
      <c r="D58" s="34">
        <v>26215</v>
      </c>
      <c r="E58" s="34">
        <v>71713</v>
      </c>
      <c r="F58" s="33">
        <v>3771</v>
      </c>
      <c r="G58" s="34">
        <v>2019</v>
      </c>
      <c r="H58" s="20"/>
      <c r="I58" s="20"/>
      <c r="J58" s="33">
        <f t="shared" si="0"/>
        <v>45498</v>
      </c>
      <c r="K58" s="34">
        <f t="shared" si="1"/>
        <v>1907.75</v>
      </c>
      <c r="L58" s="34">
        <v>791</v>
      </c>
      <c r="M58" s="34">
        <f t="shared" ref="M58:M64" si="21">(AG$64-AG$56)/8</f>
        <v>196.25</v>
      </c>
      <c r="N58" s="81">
        <f t="shared" si="20"/>
        <v>597735</v>
      </c>
      <c r="O58" s="82">
        <f t="shared" si="20"/>
        <v>432550</v>
      </c>
      <c r="P58" s="82">
        <f t="shared" si="20"/>
        <v>1078919</v>
      </c>
      <c r="Q58" s="81">
        <f t="shared" si="15"/>
        <v>2414726</v>
      </c>
      <c r="R58" s="81">
        <f t="shared" si="15"/>
        <v>1202407</v>
      </c>
      <c r="S58" s="81">
        <f t="shared" si="15"/>
        <v>3741742</v>
      </c>
      <c r="T58" s="86">
        <f>N58/'2015'!M58-1</f>
        <v>-0.282463705137101</v>
      </c>
      <c r="U58" s="86">
        <f>O58/'2015'!N58-1</f>
        <v>0.0563810249496903</v>
      </c>
      <c r="V58" s="86">
        <f>P58/'2015'!O58-1</f>
        <v>-0.149194670830327</v>
      </c>
      <c r="W58" s="86">
        <f>Q58/'2015'!P58-1</f>
        <v>-0.179199821069051</v>
      </c>
      <c r="X58" s="86">
        <f>R58/'2015'!Q58-1</f>
        <v>0.130422806128541</v>
      </c>
      <c r="Y58" s="86">
        <f>S58/'2015'!R58-1</f>
        <v>-0.079010678010073</v>
      </c>
      <c r="Z58" s="53">
        <f>Z$55+0.35*3</f>
        <v>25.97</v>
      </c>
      <c r="AA58" s="53">
        <f t="shared" si="6"/>
        <v>215.5026</v>
      </c>
      <c r="AB58" s="34">
        <v>4230.1</v>
      </c>
      <c r="AC58" s="34"/>
      <c r="AD58" s="33">
        <f t="shared" si="7"/>
        <v>2539335</v>
      </c>
      <c r="AE58" s="34">
        <f t="shared" si="9"/>
        <v>81598.5</v>
      </c>
      <c r="AF58" s="34">
        <f t="shared" si="9"/>
        <v>38676</v>
      </c>
      <c r="AG58" s="34">
        <f t="shared" si="8"/>
        <v>4334.5</v>
      </c>
    </row>
    <row r="59" ht="15" customHeight="1" spans="1:33">
      <c r="A59" s="106">
        <v>42424</v>
      </c>
      <c r="B59" s="21" t="s">
        <v>35</v>
      </c>
      <c r="C59" s="9">
        <v>44643</v>
      </c>
      <c r="D59" s="38">
        <v>26806</v>
      </c>
      <c r="E59" s="38">
        <v>74589</v>
      </c>
      <c r="F59" s="9">
        <v>3891</v>
      </c>
      <c r="G59" s="38">
        <v>2248</v>
      </c>
      <c r="H59" s="25"/>
      <c r="I59" s="37"/>
      <c r="J59" s="9">
        <f t="shared" si="0"/>
        <v>47783</v>
      </c>
      <c r="K59" s="38">
        <f t="shared" si="1"/>
        <v>2152.75</v>
      </c>
      <c r="L59" s="38">
        <v>791</v>
      </c>
      <c r="M59" s="38">
        <f t="shared" si="21"/>
        <v>196.25</v>
      </c>
      <c r="N59" s="78">
        <f t="shared" si="20"/>
        <v>642378</v>
      </c>
      <c r="O59" s="79">
        <f t="shared" si="20"/>
        <v>459356</v>
      </c>
      <c r="P59" s="79">
        <f t="shared" si="20"/>
        <v>1153508</v>
      </c>
      <c r="Q59" s="80">
        <f t="shared" si="15"/>
        <v>2459369</v>
      </c>
      <c r="R59" s="80">
        <f t="shared" si="15"/>
        <v>1229213</v>
      </c>
      <c r="S59" s="80">
        <f t="shared" si="15"/>
        <v>3816331</v>
      </c>
      <c r="T59" s="84">
        <f>N59/'2015'!M59-1</f>
        <v>-0.24494960477212</v>
      </c>
      <c r="U59" s="84">
        <f>O59/'2015'!N59-1</f>
        <v>0.076112878514569</v>
      </c>
      <c r="V59" s="84">
        <f>P59/'2015'!O59-1</f>
        <v>-0.11528720945037</v>
      </c>
      <c r="W59" s="85">
        <f>Q59/'2015'!P59-1</f>
        <v>-0.169034961519151</v>
      </c>
      <c r="X59" s="85">
        <f>R59/'2015'!Q59-1</f>
        <v>0.137022110276658</v>
      </c>
      <c r="Y59" s="85">
        <f>S59/'2015'!R59-1</f>
        <v>-0.0688353081860967</v>
      </c>
      <c r="Z59" s="54">
        <f>Z$55+0.35*4</f>
        <v>26.32</v>
      </c>
      <c r="AA59" s="101">
        <f t="shared" si="6"/>
        <v>219.6169</v>
      </c>
      <c r="AB59" s="109"/>
      <c r="AC59" s="109"/>
      <c r="AD59" s="9">
        <f t="shared" si="7"/>
        <v>2587118</v>
      </c>
      <c r="AE59" s="38">
        <f t="shared" si="9"/>
        <v>83751.25</v>
      </c>
      <c r="AF59" s="38">
        <f t="shared" si="9"/>
        <v>39467</v>
      </c>
      <c r="AG59" s="38">
        <f t="shared" si="8"/>
        <v>4530.75</v>
      </c>
    </row>
    <row r="60" ht="15" customHeight="1" spans="1:33">
      <c r="A60" s="106">
        <v>42425</v>
      </c>
      <c r="B60" s="21" t="s">
        <v>36</v>
      </c>
      <c r="C60" s="74">
        <v>47130</v>
      </c>
      <c r="D60" s="75">
        <v>26449</v>
      </c>
      <c r="E60" s="75">
        <v>76810</v>
      </c>
      <c r="F60" s="74">
        <v>3948</v>
      </c>
      <c r="G60" s="75">
        <v>2365</v>
      </c>
      <c r="H60" s="25"/>
      <c r="I60" s="25"/>
      <c r="J60" s="74">
        <f t="shared" si="0"/>
        <v>50361</v>
      </c>
      <c r="K60" s="75">
        <f t="shared" si="1"/>
        <v>2243.75</v>
      </c>
      <c r="L60" s="75">
        <v>791</v>
      </c>
      <c r="M60" s="75">
        <f t="shared" si="21"/>
        <v>196.25</v>
      </c>
      <c r="N60" s="78">
        <f t="shared" si="20"/>
        <v>689508</v>
      </c>
      <c r="O60" s="79">
        <f t="shared" si="20"/>
        <v>485805</v>
      </c>
      <c r="P60" s="79">
        <f t="shared" si="20"/>
        <v>1230318</v>
      </c>
      <c r="Q60" s="80">
        <f t="shared" si="15"/>
        <v>2506499</v>
      </c>
      <c r="R60" s="80">
        <f t="shared" si="15"/>
        <v>1255662</v>
      </c>
      <c r="S60" s="80">
        <f t="shared" si="15"/>
        <v>3893141</v>
      </c>
      <c r="T60" s="84">
        <f>N60/'2015'!M60-1</f>
        <v>-0.207748008190147</v>
      </c>
      <c r="U60" s="84">
        <f>O60/'2015'!N60-1</f>
        <v>0.091466072335282</v>
      </c>
      <c r="V60" s="84">
        <f>P60/'2015'!O60-1</f>
        <v>-0.0833961007467273</v>
      </c>
      <c r="W60" s="85">
        <f>Q60/'2015'!P60-1</f>
        <v>-0.158665115016046</v>
      </c>
      <c r="X60" s="85">
        <f>R60/'2015'!Q60-1</f>
        <v>0.142228436226757</v>
      </c>
      <c r="Y60" s="85">
        <f>S60/'2015'!R60-1</f>
        <v>-0.058919466922447</v>
      </c>
      <c r="Z60" s="101">
        <f>Z$55+0.35*5</f>
        <v>26.67</v>
      </c>
      <c r="AA60" s="101">
        <f t="shared" si="6"/>
        <v>223.9799</v>
      </c>
      <c r="AB60" s="110">
        <v>4230.1</v>
      </c>
      <c r="AC60" s="109">
        <f>AA60*10000/AB60</f>
        <v>529.490792179854</v>
      </c>
      <c r="AD60" s="74">
        <f t="shared" si="7"/>
        <v>2637479</v>
      </c>
      <c r="AE60" s="75">
        <f t="shared" si="9"/>
        <v>85995</v>
      </c>
      <c r="AF60" s="75">
        <f t="shared" si="9"/>
        <v>40258</v>
      </c>
      <c r="AG60" s="75">
        <f t="shared" si="8"/>
        <v>4727</v>
      </c>
    </row>
    <row r="61" ht="15" customHeight="1" spans="1:33">
      <c r="A61" s="106">
        <v>42426</v>
      </c>
      <c r="B61" s="21" t="s">
        <v>37</v>
      </c>
      <c r="C61" s="9">
        <v>48752</v>
      </c>
      <c r="D61" s="38">
        <v>26388</v>
      </c>
      <c r="E61" s="38">
        <v>78271</v>
      </c>
      <c r="F61" s="9">
        <v>4068.8</v>
      </c>
      <c r="G61" s="38">
        <v>2430</v>
      </c>
      <c r="H61" s="25"/>
      <c r="I61" s="37"/>
      <c r="J61" s="9">
        <f t="shared" si="0"/>
        <v>51883</v>
      </c>
      <c r="K61" s="38">
        <f t="shared" si="1"/>
        <v>2143.75</v>
      </c>
      <c r="L61" s="38">
        <v>791</v>
      </c>
      <c r="M61" s="38">
        <f t="shared" si="21"/>
        <v>196.25</v>
      </c>
      <c r="N61" s="78">
        <f t="shared" si="20"/>
        <v>738260</v>
      </c>
      <c r="O61" s="79">
        <f t="shared" si="20"/>
        <v>512193</v>
      </c>
      <c r="P61" s="79">
        <f t="shared" si="20"/>
        <v>1308589</v>
      </c>
      <c r="Q61" s="80">
        <f t="shared" si="15"/>
        <v>2555251</v>
      </c>
      <c r="R61" s="80">
        <f t="shared" si="15"/>
        <v>1282050</v>
      </c>
      <c r="S61" s="80">
        <f t="shared" si="15"/>
        <v>3971412</v>
      </c>
      <c r="T61" s="84">
        <f>N61/'2015'!M61-1</f>
        <v>-0.170174572897195</v>
      </c>
      <c r="U61" s="84">
        <f>O61/'2015'!N61-1</f>
        <v>0.0987658558456128</v>
      </c>
      <c r="V61" s="84">
        <f>P61/'2015'!O61-1</f>
        <v>-0.0540113048262022</v>
      </c>
      <c r="W61" s="85">
        <f>Q61/'2015'!P61-1</f>
        <v>-0.147833809565735</v>
      </c>
      <c r="X61" s="85">
        <f>R61/'2015'!Q61-1</f>
        <v>0.144311511931794</v>
      </c>
      <c r="Y61" s="85">
        <f>S61/'2015'!R61-1</f>
        <v>-0.0494306989346399</v>
      </c>
      <c r="Z61" s="54">
        <f>Z$55+0.35*6</f>
        <v>27.02</v>
      </c>
      <c r="AA61" s="101">
        <f t="shared" si="6"/>
        <v>228.5051</v>
      </c>
      <c r="AB61" s="109"/>
      <c r="AC61" s="109"/>
      <c r="AD61" s="9">
        <f t="shared" si="7"/>
        <v>2689362</v>
      </c>
      <c r="AE61" s="38">
        <f t="shared" si="9"/>
        <v>88138.75</v>
      </c>
      <c r="AF61" s="38">
        <f t="shared" si="9"/>
        <v>41049</v>
      </c>
      <c r="AG61" s="38">
        <f t="shared" si="8"/>
        <v>4923.25</v>
      </c>
    </row>
    <row r="62" ht="15" customHeight="1" spans="1:33">
      <c r="A62" s="106">
        <v>42427</v>
      </c>
      <c r="B62" s="21" t="s">
        <v>38</v>
      </c>
      <c r="C62" s="9">
        <v>46990</v>
      </c>
      <c r="D62" s="38">
        <v>27035</v>
      </c>
      <c r="E62" s="38">
        <v>76248</v>
      </c>
      <c r="F62" s="9">
        <v>3913</v>
      </c>
      <c r="G62" s="38">
        <v>2445.6</v>
      </c>
      <c r="H62" s="25"/>
      <c r="I62" s="37"/>
      <c r="J62" s="9">
        <f t="shared" si="0"/>
        <v>49213</v>
      </c>
      <c r="K62" s="38">
        <f t="shared" si="1"/>
        <v>1235.75</v>
      </c>
      <c r="L62" s="38">
        <v>791</v>
      </c>
      <c r="M62" s="38">
        <f t="shared" si="21"/>
        <v>196.25</v>
      </c>
      <c r="N62" s="78">
        <f t="shared" si="20"/>
        <v>785250</v>
      </c>
      <c r="O62" s="79">
        <f t="shared" si="20"/>
        <v>539228</v>
      </c>
      <c r="P62" s="79">
        <f t="shared" si="20"/>
        <v>1384837</v>
      </c>
      <c r="Q62" s="80">
        <f t="shared" si="15"/>
        <v>2602241</v>
      </c>
      <c r="R62" s="80">
        <f t="shared" si="15"/>
        <v>1309085</v>
      </c>
      <c r="S62" s="80">
        <f t="shared" si="15"/>
        <v>4047660</v>
      </c>
      <c r="T62" s="84">
        <f>N62/'2015'!M62-1</f>
        <v>-0.1405352158923</v>
      </c>
      <c r="U62" s="84">
        <f>O62/'2015'!N62-1</f>
        <v>0.104280708652549</v>
      </c>
      <c r="V62" s="84">
        <f>P62/'2015'!O62-1</f>
        <v>-0.0315506873302829</v>
      </c>
      <c r="W62" s="85">
        <f>Q62/'2015'!P62-1</f>
        <v>-0.139051767576093</v>
      </c>
      <c r="X62" s="85">
        <f>R62/'2015'!Q62-1</f>
        <v>0.145785376561677</v>
      </c>
      <c r="Y62" s="85">
        <f>S62/'2015'!R62-1</f>
        <v>-0.0418787193046409</v>
      </c>
      <c r="Z62" s="54">
        <f>Z$55+0.35*7</f>
        <v>27.37</v>
      </c>
      <c r="AA62" s="101">
        <f t="shared" si="6"/>
        <v>232.8541</v>
      </c>
      <c r="AB62" s="109"/>
      <c r="AC62" s="109"/>
      <c r="AD62" s="9">
        <f t="shared" si="7"/>
        <v>2738575</v>
      </c>
      <c r="AE62" s="38">
        <f t="shared" si="9"/>
        <v>89374.5</v>
      </c>
      <c r="AF62" s="38">
        <f t="shared" si="9"/>
        <v>41840</v>
      </c>
      <c r="AG62" s="38">
        <f t="shared" si="8"/>
        <v>5119.5</v>
      </c>
    </row>
    <row r="63" ht="15" customHeight="1" spans="1:33">
      <c r="A63" s="106">
        <v>42428</v>
      </c>
      <c r="B63" s="21" t="s">
        <v>1</v>
      </c>
      <c r="C63" s="9">
        <v>44749</v>
      </c>
      <c r="D63" s="38">
        <v>26769</v>
      </c>
      <c r="E63" s="38">
        <v>73315</v>
      </c>
      <c r="F63" s="9">
        <v>3694.8</v>
      </c>
      <c r="G63" s="38">
        <v>2462.2</v>
      </c>
      <c r="H63" s="25"/>
      <c r="I63" s="37"/>
      <c r="J63" s="9">
        <f t="shared" si="0"/>
        <v>46546</v>
      </c>
      <c r="K63" s="38">
        <f t="shared" si="1"/>
        <v>809.75</v>
      </c>
      <c r="L63" s="38">
        <v>791</v>
      </c>
      <c r="M63" s="38">
        <f t="shared" si="21"/>
        <v>196.25</v>
      </c>
      <c r="N63" s="78">
        <f t="shared" si="20"/>
        <v>829999</v>
      </c>
      <c r="O63" s="79">
        <f t="shared" si="20"/>
        <v>565997</v>
      </c>
      <c r="P63" s="79">
        <f t="shared" si="20"/>
        <v>1458152</v>
      </c>
      <c r="Q63" s="80">
        <f t="shared" si="15"/>
        <v>2646990</v>
      </c>
      <c r="R63" s="80">
        <f t="shared" si="15"/>
        <v>1335854</v>
      </c>
      <c r="S63" s="80">
        <f t="shared" si="15"/>
        <v>4120975</v>
      </c>
      <c r="T63" s="84">
        <f>N63/'2015'!M63-1</f>
        <v>-0.11750301963186</v>
      </c>
      <c r="U63" s="84">
        <f>O63/'2015'!N63-1</f>
        <v>0.10746801337578</v>
      </c>
      <c r="V63" s="84">
        <f>P63/'2015'!O63-1</f>
        <v>-0.015268500453483</v>
      </c>
      <c r="W63" s="85">
        <f>Q63/'2015'!P63-1</f>
        <v>-0.131961103053036</v>
      </c>
      <c r="X63" s="85">
        <f>R63/'2015'!Q63-1</f>
        <v>0.146372398926274</v>
      </c>
      <c r="Y63" s="85">
        <f>S63/'2015'!R63-1</f>
        <v>-0.0361167220378595</v>
      </c>
      <c r="Z63" s="54">
        <f>Z$55+0.35*8</f>
        <v>27.72</v>
      </c>
      <c r="AA63" s="101">
        <f t="shared" si="6"/>
        <v>236.979</v>
      </c>
      <c r="AB63" s="109">
        <v>4230.1</v>
      </c>
      <c r="AC63" s="109">
        <f>AA63*10000/AB63</f>
        <v>560.220798562682</v>
      </c>
      <c r="AD63" s="9">
        <f t="shared" si="7"/>
        <v>2785121</v>
      </c>
      <c r="AE63" s="38">
        <f t="shared" si="9"/>
        <v>90184.25</v>
      </c>
      <c r="AF63" s="38">
        <f t="shared" si="9"/>
        <v>42631</v>
      </c>
      <c r="AG63" s="38">
        <f t="shared" si="8"/>
        <v>5315.75</v>
      </c>
    </row>
    <row r="64" s="1" customFormat="1" ht="15" customHeight="1" spans="1:33">
      <c r="A64" s="26">
        <v>42429</v>
      </c>
      <c r="B64" s="26" t="s">
        <v>39</v>
      </c>
      <c r="C64" s="27">
        <v>48888</v>
      </c>
      <c r="D64" s="28">
        <v>27164</v>
      </c>
      <c r="E64" s="28">
        <v>78707</v>
      </c>
      <c r="F64" s="29">
        <v>4109</v>
      </c>
      <c r="G64" s="30">
        <v>2379</v>
      </c>
      <c r="H64" s="31"/>
      <c r="I64" s="31"/>
      <c r="J64" s="43">
        <f t="shared" si="0"/>
        <v>51543</v>
      </c>
      <c r="K64" s="44">
        <f t="shared" si="1"/>
        <v>1667.75</v>
      </c>
      <c r="L64" s="44">
        <v>791</v>
      </c>
      <c r="M64" s="44">
        <f t="shared" si="21"/>
        <v>196.25</v>
      </c>
      <c r="N64" s="91">
        <f t="shared" ref="N64" si="22">N63+C64</f>
        <v>878887</v>
      </c>
      <c r="O64" s="92">
        <f t="shared" ref="O64" si="23">O63+D64</f>
        <v>593161</v>
      </c>
      <c r="P64" s="92">
        <f t="shared" ref="P64" si="24">P63+E64</f>
        <v>1536859</v>
      </c>
      <c r="Q64" s="91">
        <v>2695234</v>
      </c>
      <c r="R64" s="91">
        <f t="shared" ref="R64" si="25">O64+R$35</f>
        <v>1363018</v>
      </c>
      <c r="S64" s="91">
        <f t="shared" ref="S64" si="26">P64+S$35</f>
        <v>4199682</v>
      </c>
      <c r="T64" s="93">
        <f>N64/'2015'!M63-1</f>
        <v>-0.0655228216120581</v>
      </c>
      <c r="U64" s="93">
        <f>O64/'2015'!N63-1</f>
        <v>0.160618933107403</v>
      </c>
      <c r="V64" s="93">
        <f>P64/'2015'!O63-1</f>
        <v>0.0378845742155554</v>
      </c>
      <c r="W64" s="93">
        <f>Q64/'2015'!P63-1</f>
        <v>-0.116140239149391</v>
      </c>
      <c r="X64" s="93">
        <f>R64/'2015'!Q63-1</f>
        <v>0.169683374410446</v>
      </c>
      <c r="Y64" s="93">
        <f>S64/'2015'!R63-1</f>
        <v>-0.0177073987203032</v>
      </c>
      <c r="Z64" s="56">
        <v>28.07</v>
      </c>
      <c r="AA64" s="56">
        <f t="shared" si="6"/>
        <v>241.4534</v>
      </c>
      <c r="AB64" s="102">
        <v>4230.1</v>
      </c>
      <c r="AC64" s="44">
        <f>AA64*10000/AB64</f>
        <v>570.798326280703</v>
      </c>
      <c r="AD64" s="43">
        <f t="shared" si="7"/>
        <v>2836664</v>
      </c>
      <c r="AE64" s="44">
        <v>92533</v>
      </c>
      <c r="AF64" s="44">
        <v>43385</v>
      </c>
      <c r="AG64" s="44">
        <f t="shared" si="8"/>
        <v>5512</v>
      </c>
    </row>
    <row r="65" ht="15" customHeight="1" spans="1:33">
      <c r="A65" s="106">
        <v>42430</v>
      </c>
      <c r="B65" s="21" t="s">
        <v>34</v>
      </c>
      <c r="C65" s="9">
        <v>54095</v>
      </c>
      <c r="D65" s="38">
        <v>26356</v>
      </c>
      <c r="E65" s="38">
        <v>82661</v>
      </c>
      <c r="F65" s="9">
        <v>4242</v>
      </c>
      <c r="G65" s="38">
        <v>2635</v>
      </c>
      <c r="H65" s="25"/>
      <c r="I65" s="37"/>
      <c r="J65" s="9">
        <f t="shared" ref="J65:J128" si="27">E65-D65</f>
        <v>56305</v>
      </c>
      <c r="K65" s="38">
        <f t="shared" si="1"/>
        <v>1395.3</v>
      </c>
      <c r="L65" s="38">
        <v>791</v>
      </c>
      <c r="M65" s="38">
        <f>(AG$74-AG$64)/10</f>
        <v>23.7</v>
      </c>
      <c r="N65" s="78">
        <f>C65</f>
        <v>54095</v>
      </c>
      <c r="O65" s="79">
        <f>D65</f>
        <v>26356</v>
      </c>
      <c r="P65" s="79">
        <f>E65</f>
        <v>82661</v>
      </c>
      <c r="Q65" s="80">
        <f>Q$64+N65</f>
        <v>2749329</v>
      </c>
      <c r="R65" s="80">
        <f>R$64+O65</f>
        <v>1389374</v>
      </c>
      <c r="S65" s="80">
        <f>S$64+P65</f>
        <v>4282343</v>
      </c>
      <c r="T65" s="84">
        <f>N65/'2015'!M65-1</f>
        <v>0.947544642857143</v>
      </c>
      <c r="U65" s="84">
        <f>O65/'2015'!N65-1</f>
        <v>0.191608644542906</v>
      </c>
      <c r="V65" s="84">
        <f>P65/'2015'!O65-1</f>
        <v>0.627056924651602</v>
      </c>
      <c r="W65" s="85">
        <f>Q65/'2015'!P65-1</f>
        <v>-0.106538904128375</v>
      </c>
      <c r="X65" s="85">
        <f>R65/'2015'!Q65-1</f>
        <v>0.170091779896682</v>
      </c>
      <c r="Y65" s="85">
        <f>S65/'2015'!R65-1</f>
        <v>-0.010135703639598</v>
      </c>
      <c r="Z65" s="54">
        <f>Z$64+0.478*1</f>
        <v>28.548</v>
      </c>
      <c r="AA65" s="101">
        <f t="shared" si="6"/>
        <v>246.3849</v>
      </c>
      <c r="AB65" s="109"/>
      <c r="AC65" s="109"/>
      <c r="AD65" s="9">
        <f t="shared" si="7"/>
        <v>2892969</v>
      </c>
      <c r="AE65" s="38">
        <f t="shared" si="9"/>
        <v>93928.3</v>
      </c>
      <c r="AF65" s="38">
        <f t="shared" si="9"/>
        <v>44176</v>
      </c>
      <c r="AG65" s="38">
        <f t="shared" si="8"/>
        <v>5535.7</v>
      </c>
    </row>
    <row r="66" ht="15" customHeight="1" spans="1:33">
      <c r="A66" s="106">
        <v>42431</v>
      </c>
      <c r="B66" s="15" t="s">
        <v>35</v>
      </c>
      <c r="C66" s="33">
        <v>55810</v>
      </c>
      <c r="D66" s="34">
        <v>24732</v>
      </c>
      <c r="E66" s="34">
        <v>83527</v>
      </c>
      <c r="F66" s="33">
        <v>4304</v>
      </c>
      <c r="G66" s="34">
        <v>2700</v>
      </c>
      <c r="H66" s="20"/>
      <c r="I66" s="20"/>
      <c r="J66" s="33">
        <f t="shared" si="27"/>
        <v>58795</v>
      </c>
      <c r="K66" s="34">
        <f t="shared" si="1"/>
        <v>2170.3</v>
      </c>
      <c r="L66" s="34">
        <v>791</v>
      </c>
      <c r="M66" s="34">
        <f t="shared" ref="M66:M74" si="28">(AG$74-AG$64)/10</f>
        <v>23.7</v>
      </c>
      <c r="N66" s="81">
        <f t="shared" ref="N66:N95" si="29">N65+C66</f>
        <v>109905</v>
      </c>
      <c r="O66" s="82">
        <f t="shared" ref="O66:O95" si="30">D66+O65</f>
        <v>51088</v>
      </c>
      <c r="P66" s="82">
        <f t="shared" ref="P66:P95" si="31">P65+E66</f>
        <v>166188</v>
      </c>
      <c r="Q66" s="81">
        <f t="shared" ref="Q66:Q95" si="32">Q$64+N66</f>
        <v>2805139</v>
      </c>
      <c r="R66" s="81">
        <f t="shared" ref="R66:R94" si="33">R$64+O66</f>
        <v>1414106</v>
      </c>
      <c r="S66" s="81">
        <f t="shared" ref="S66:S94" si="34">S$64+P66</f>
        <v>4365870</v>
      </c>
      <c r="T66" s="86">
        <f>N66/'2015'!M66-1</f>
        <v>0.872476360848454</v>
      </c>
      <c r="U66" s="86">
        <f>O66/'2015'!N66-1</f>
        <v>0.119197318553246</v>
      </c>
      <c r="V66" s="86">
        <f>P66/'2015'!O66-1</f>
        <v>0.565153512902618</v>
      </c>
      <c r="W66" s="86">
        <f>Q66/'2015'!P66-1</f>
        <v>-0.0974705976604251</v>
      </c>
      <c r="X66" s="86">
        <f>R66/'2015'!Q66-1</f>
        <v>0.167780268965717</v>
      </c>
      <c r="Y66" s="86">
        <f>S66/'2015'!R66-1</f>
        <v>-0.00358273567818646</v>
      </c>
      <c r="Z66" s="53">
        <f>Z$64+0.478*2</f>
        <v>29.026</v>
      </c>
      <c r="AA66" s="53">
        <f t="shared" si="6"/>
        <v>251.4879</v>
      </c>
      <c r="AB66" s="34">
        <v>4230.1</v>
      </c>
      <c r="AC66" s="34">
        <f>AA66*10000/AB66</f>
        <v>594.519987707146</v>
      </c>
      <c r="AD66" s="33">
        <f t="shared" si="7"/>
        <v>2951764</v>
      </c>
      <c r="AE66" s="34">
        <f t="shared" si="9"/>
        <v>96098.6</v>
      </c>
      <c r="AF66" s="34">
        <f t="shared" si="9"/>
        <v>44967</v>
      </c>
      <c r="AG66" s="34">
        <f t="shared" si="8"/>
        <v>5559.39999999999</v>
      </c>
    </row>
    <row r="67" ht="15" customHeight="1" spans="1:33">
      <c r="A67" s="106">
        <v>42432</v>
      </c>
      <c r="B67" s="21" t="s">
        <v>36</v>
      </c>
      <c r="C67" s="9">
        <v>55293</v>
      </c>
      <c r="D67" s="38">
        <v>25058</v>
      </c>
      <c r="E67" s="38">
        <v>83130</v>
      </c>
      <c r="F67" s="9">
        <v>4257</v>
      </c>
      <c r="G67" s="38">
        <v>2684</v>
      </c>
      <c r="H67" s="25"/>
      <c r="I67" s="37"/>
      <c r="J67" s="9">
        <f t="shared" si="27"/>
        <v>58072</v>
      </c>
      <c r="K67" s="38">
        <f t="shared" si="1"/>
        <v>1964.3</v>
      </c>
      <c r="L67" s="38">
        <v>791</v>
      </c>
      <c r="M67" s="38">
        <f t="shared" si="28"/>
        <v>23.7</v>
      </c>
      <c r="N67" s="78">
        <f t="shared" si="29"/>
        <v>165198</v>
      </c>
      <c r="O67" s="79">
        <f t="shared" si="30"/>
        <v>76146</v>
      </c>
      <c r="P67" s="79">
        <f t="shared" si="31"/>
        <v>249318</v>
      </c>
      <c r="Q67" s="80">
        <f t="shared" si="32"/>
        <v>2860432</v>
      </c>
      <c r="R67" s="80">
        <f t="shared" si="33"/>
        <v>1439164</v>
      </c>
      <c r="S67" s="80">
        <f t="shared" si="34"/>
        <v>4449000</v>
      </c>
      <c r="T67" s="84">
        <f>N67/'2015'!M67-1</f>
        <v>0.759390808882262</v>
      </c>
      <c r="U67" s="84">
        <f>O67/'2015'!N67-1</f>
        <v>0.104477611940299</v>
      </c>
      <c r="V67" s="84">
        <f>P67/'2015'!O67-1</f>
        <v>0.50628934617383</v>
      </c>
      <c r="W67" s="85">
        <f>Q67/'2015'!P67-1</f>
        <v>-0.0899867209029023</v>
      </c>
      <c r="X67" s="85">
        <f>R67/'2015'!Q67-1</f>
        <v>0.166041040939662</v>
      </c>
      <c r="Y67" s="85">
        <f>S67/'2015'!R67-1</f>
        <v>0.00182260106383692</v>
      </c>
      <c r="Z67" s="54">
        <f>Z$64+0.478*3</f>
        <v>29.504</v>
      </c>
      <c r="AA67" s="101">
        <f t="shared" si="6"/>
        <v>256.5392</v>
      </c>
      <c r="AB67" s="109">
        <v>4230.1</v>
      </c>
      <c r="AC67" s="109">
        <f t="shared" ref="AC67" si="35">AA67*10000/AB67</f>
        <v>606.461312971324</v>
      </c>
      <c r="AD67" s="9">
        <f t="shared" si="7"/>
        <v>3009836</v>
      </c>
      <c r="AE67" s="38">
        <f t="shared" si="9"/>
        <v>98062.9</v>
      </c>
      <c r="AF67" s="38">
        <f t="shared" si="9"/>
        <v>45758</v>
      </c>
      <c r="AG67" s="38">
        <f t="shared" si="8"/>
        <v>5583.09999999999</v>
      </c>
    </row>
    <row r="68" ht="15" customHeight="1" spans="1:33">
      <c r="A68" s="106">
        <v>42433</v>
      </c>
      <c r="B68" s="21" t="s">
        <v>37</v>
      </c>
      <c r="C68" s="74">
        <v>56943</v>
      </c>
      <c r="D68" s="75">
        <v>23503</v>
      </c>
      <c r="E68" s="75">
        <v>82869</v>
      </c>
      <c r="F68" s="74">
        <v>4257.5</v>
      </c>
      <c r="G68" s="75">
        <v>2683.2</v>
      </c>
      <c r="H68" s="25"/>
      <c r="I68" s="25"/>
      <c r="J68" s="74">
        <f t="shared" si="27"/>
        <v>59366</v>
      </c>
      <c r="K68" s="75">
        <f t="shared" si="1"/>
        <v>1609.3</v>
      </c>
      <c r="L68" s="75">
        <v>790</v>
      </c>
      <c r="M68" s="75">
        <f t="shared" si="28"/>
        <v>23.7</v>
      </c>
      <c r="N68" s="78">
        <f t="shared" si="29"/>
        <v>222141</v>
      </c>
      <c r="O68" s="79">
        <f t="shared" si="30"/>
        <v>99649</v>
      </c>
      <c r="P68" s="79">
        <f t="shared" si="31"/>
        <v>332187</v>
      </c>
      <c r="Q68" s="80">
        <f t="shared" si="32"/>
        <v>2917375</v>
      </c>
      <c r="R68" s="80">
        <f t="shared" si="33"/>
        <v>1462667</v>
      </c>
      <c r="S68" s="80">
        <f t="shared" si="34"/>
        <v>4531869</v>
      </c>
      <c r="T68" s="84">
        <f>N68/'2015'!M68-1</f>
        <v>0.649214892906195</v>
      </c>
      <c r="U68" s="84">
        <f>O68/'2015'!N68-1</f>
        <v>0.0689429533801034</v>
      </c>
      <c r="V68" s="84">
        <f>P68/'2015'!O68-1</f>
        <v>0.434629387300312</v>
      </c>
      <c r="W68" s="85">
        <f>Q68/'2015'!P68-1</f>
        <v>-0.0837637551247046</v>
      </c>
      <c r="X68" s="85">
        <f>R68/'2015'!Q68-1</f>
        <v>0.162221198083448</v>
      </c>
      <c r="Y68" s="85">
        <f>S68/'2015'!R68-1</f>
        <v>0.00553191668754183</v>
      </c>
      <c r="Z68" s="101">
        <f>Z$64+0.478*4</f>
        <v>29.982</v>
      </c>
      <c r="AA68" s="101">
        <f t="shared" si="6"/>
        <v>261.7555</v>
      </c>
      <c r="AB68" s="110"/>
      <c r="AC68" s="109"/>
      <c r="AD68" s="74">
        <f t="shared" si="7"/>
        <v>3069202</v>
      </c>
      <c r="AE68" s="75">
        <f t="shared" si="9"/>
        <v>99672.2</v>
      </c>
      <c r="AF68" s="75">
        <f t="shared" si="9"/>
        <v>46548</v>
      </c>
      <c r="AG68" s="75">
        <f t="shared" si="8"/>
        <v>5606.79999999999</v>
      </c>
    </row>
    <row r="69" ht="15" customHeight="1" spans="1:33">
      <c r="A69" s="106">
        <v>42434</v>
      </c>
      <c r="B69" s="21" t="s">
        <v>38</v>
      </c>
      <c r="C69" s="9">
        <v>57539</v>
      </c>
      <c r="D69" s="38">
        <v>22981</v>
      </c>
      <c r="E69" s="38">
        <v>82990</v>
      </c>
      <c r="F69" s="9">
        <v>4230</v>
      </c>
      <c r="G69" s="38">
        <v>2721.9</v>
      </c>
      <c r="H69" s="25"/>
      <c r="I69" s="37"/>
      <c r="J69" s="9">
        <f t="shared" si="27"/>
        <v>60009</v>
      </c>
      <c r="K69" s="38">
        <f t="shared" si="1"/>
        <v>1655.3</v>
      </c>
      <c r="L69" s="38">
        <v>791</v>
      </c>
      <c r="M69" s="38">
        <f t="shared" si="28"/>
        <v>23.7</v>
      </c>
      <c r="N69" s="78">
        <f t="shared" si="29"/>
        <v>279680</v>
      </c>
      <c r="O69" s="79">
        <f t="shared" si="30"/>
        <v>122630</v>
      </c>
      <c r="P69" s="79">
        <f t="shared" si="31"/>
        <v>415177</v>
      </c>
      <c r="Q69" s="80">
        <f t="shared" si="32"/>
        <v>2974914</v>
      </c>
      <c r="R69" s="80">
        <f t="shared" si="33"/>
        <v>1485648</v>
      </c>
      <c r="S69" s="80">
        <f t="shared" si="34"/>
        <v>4614859</v>
      </c>
      <c r="T69" s="84">
        <f>N69/'2015'!M69-1</f>
        <v>0.554684677172795</v>
      </c>
      <c r="U69" s="84">
        <f>O69/'2015'!N69-1</f>
        <v>0.0442372376208116</v>
      </c>
      <c r="V69" s="84">
        <f>P69/'2015'!O69-1</f>
        <v>0.375332092197407</v>
      </c>
      <c r="W69" s="85">
        <f>Q69/'2015'!P69-1</f>
        <v>-0.0787703535704177</v>
      </c>
      <c r="X69" s="85">
        <f>R69/'2015'!Q69-1</f>
        <v>0.158198613418486</v>
      </c>
      <c r="Y69" s="85">
        <f>S69/'2015'!R69-1</f>
        <v>0.00821386234827726</v>
      </c>
      <c r="Z69" s="54">
        <f>Z$64+0.478*5</f>
        <v>30.46</v>
      </c>
      <c r="AA69" s="101">
        <f t="shared" si="6"/>
        <v>267.0314</v>
      </c>
      <c r="AB69" s="109"/>
      <c r="AC69" s="109"/>
      <c r="AD69" s="9">
        <f t="shared" si="7"/>
        <v>3129211</v>
      </c>
      <c r="AE69" s="38">
        <f t="shared" si="9"/>
        <v>101327.5</v>
      </c>
      <c r="AF69" s="38">
        <f t="shared" si="9"/>
        <v>47339</v>
      </c>
      <c r="AG69" s="38">
        <f t="shared" si="8"/>
        <v>5630.49999999999</v>
      </c>
    </row>
    <row r="70" ht="15" customHeight="1" spans="1:33">
      <c r="A70" s="106">
        <v>42435</v>
      </c>
      <c r="B70" s="21" t="s">
        <v>1</v>
      </c>
      <c r="C70" s="9">
        <v>54988</v>
      </c>
      <c r="D70" s="38">
        <v>22728</v>
      </c>
      <c r="E70" s="38">
        <v>80593</v>
      </c>
      <c r="F70" s="9">
        <v>4058.6</v>
      </c>
      <c r="G70" s="38">
        <v>2709.1</v>
      </c>
      <c r="H70" s="25"/>
      <c r="I70" s="37"/>
      <c r="J70" s="9">
        <f t="shared" si="27"/>
        <v>57865</v>
      </c>
      <c r="K70" s="38">
        <f t="shared" ref="K70:K133" si="36">J70-C70-M70-L70</f>
        <v>2060.3</v>
      </c>
      <c r="L70" s="38">
        <v>793</v>
      </c>
      <c r="M70" s="38">
        <f t="shared" si="28"/>
        <v>23.7</v>
      </c>
      <c r="N70" s="78">
        <f t="shared" si="29"/>
        <v>334668</v>
      </c>
      <c r="O70" s="79">
        <f t="shared" si="30"/>
        <v>145358</v>
      </c>
      <c r="P70" s="79">
        <f t="shared" si="31"/>
        <v>495770</v>
      </c>
      <c r="Q70" s="80">
        <f t="shared" si="32"/>
        <v>3029902</v>
      </c>
      <c r="R70" s="80">
        <f t="shared" si="33"/>
        <v>1508376</v>
      </c>
      <c r="S70" s="80">
        <f t="shared" si="34"/>
        <v>4695452</v>
      </c>
      <c r="T70" s="84">
        <f>N70/'2015'!M70-1</f>
        <v>0.473691626852198</v>
      </c>
      <c r="U70" s="84">
        <f>O70/'2015'!N70-1</f>
        <v>0.0309516717023419</v>
      </c>
      <c r="V70" s="84">
        <f>P70/'2015'!O70-1</f>
        <v>0.326293937148376</v>
      </c>
      <c r="W70" s="85">
        <f>Q70/'2015'!P70-1</f>
        <v>-0.0752586765211266</v>
      </c>
      <c r="X70" s="85">
        <f>R70/'2015'!Q70-1</f>
        <v>0.154709320039624</v>
      </c>
      <c r="Y70" s="85">
        <f>S70/'2015'!R70-1</f>
        <v>0.00995076775755943</v>
      </c>
      <c r="Z70" s="54">
        <f>Z$64+0.478*6</f>
        <v>30.938</v>
      </c>
      <c r="AA70" s="101">
        <f t="shared" ref="AA70:AA133" si="37">Q70/10000-Z70</f>
        <v>272.0522</v>
      </c>
      <c r="AB70" s="109"/>
      <c r="AC70" s="109"/>
      <c r="AD70" s="9">
        <f t="shared" ref="AD70:AD133" si="38">S70-R70</f>
        <v>3187076</v>
      </c>
      <c r="AE70" s="38">
        <f t="shared" si="9"/>
        <v>103387.8</v>
      </c>
      <c r="AF70" s="38">
        <f t="shared" si="9"/>
        <v>48132</v>
      </c>
      <c r="AG70" s="38">
        <f t="shared" ref="AG70:AG133" si="39">AD70-Q70-AE70-AF70</f>
        <v>5654.19999999998</v>
      </c>
    </row>
    <row r="71" ht="15" customHeight="1" spans="1:33">
      <c r="A71" s="106">
        <v>42436</v>
      </c>
      <c r="B71" s="21" t="s">
        <v>39</v>
      </c>
      <c r="C71" s="9">
        <v>60945</v>
      </c>
      <c r="D71" s="38">
        <v>21990</v>
      </c>
      <c r="E71" s="38">
        <v>85259</v>
      </c>
      <c r="F71" s="9">
        <v>4425</v>
      </c>
      <c r="G71" s="38">
        <v>2676.3</v>
      </c>
      <c r="H71" s="25"/>
      <c r="I71" s="37"/>
      <c r="J71" s="9">
        <f t="shared" si="27"/>
        <v>63269</v>
      </c>
      <c r="K71" s="38">
        <f t="shared" si="36"/>
        <v>1507.3</v>
      </c>
      <c r="L71" s="38">
        <v>793</v>
      </c>
      <c r="M71" s="38">
        <f t="shared" si="28"/>
        <v>23.7</v>
      </c>
      <c r="N71" s="78">
        <f t="shared" si="29"/>
        <v>395613</v>
      </c>
      <c r="O71" s="79">
        <f t="shared" si="30"/>
        <v>167348</v>
      </c>
      <c r="P71" s="79">
        <f t="shared" si="31"/>
        <v>581029</v>
      </c>
      <c r="Q71" s="80">
        <f t="shared" si="32"/>
        <v>3090847</v>
      </c>
      <c r="R71" s="80">
        <f t="shared" si="33"/>
        <v>1530366</v>
      </c>
      <c r="S71" s="80">
        <f t="shared" si="34"/>
        <v>4780711</v>
      </c>
      <c r="T71" s="84">
        <f>N71/'2015'!M71-1</f>
        <v>0.417896593002502</v>
      </c>
      <c r="U71" s="84">
        <f>O71/'2015'!N71-1</f>
        <v>0.0497500266596411</v>
      </c>
      <c r="V71" s="84">
        <f>P71/'2015'!O71-1</f>
        <v>0.304727323354127</v>
      </c>
      <c r="W71" s="85">
        <f>Q71/'2015'!P71-1</f>
        <v>-0.0713729248694195</v>
      </c>
      <c r="X71" s="85">
        <f>R71/'2015'!Q71-1</f>
        <v>0.155250414243171</v>
      </c>
      <c r="Y71" s="85">
        <f>S71/'2015'!R71-1</f>
        <v>0.0127093062617223</v>
      </c>
      <c r="Z71" s="54">
        <f>Z$64+0.478*7</f>
        <v>31.416</v>
      </c>
      <c r="AA71" s="101">
        <f t="shared" si="37"/>
        <v>277.6687</v>
      </c>
      <c r="AB71" s="109"/>
      <c r="AC71" s="109"/>
      <c r="AD71" s="9">
        <f t="shared" si="38"/>
        <v>3250345</v>
      </c>
      <c r="AE71" s="38">
        <f t="shared" ref="AE71:AF134" si="40">AE70+K71</f>
        <v>104895.1</v>
      </c>
      <c r="AF71" s="38">
        <f t="shared" si="40"/>
        <v>48925</v>
      </c>
      <c r="AG71" s="38">
        <f t="shared" si="39"/>
        <v>5677.89999999998</v>
      </c>
    </row>
    <row r="72" ht="15" customHeight="1" spans="1:33">
      <c r="A72" s="106">
        <v>42437</v>
      </c>
      <c r="B72" s="21" t="s">
        <v>34</v>
      </c>
      <c r="C72" s="9">
        <v>62540</v>
      </c>
      <c r="D72" s="38">
        <v>21985</v>
      </c>
      <c r="E72" s="38">
        <v>87391</v>
      </c>
      <c r="F72" s="9">
        <v>4473.4</v>
      </c>
      <c r="G72" s="38">
        <v>2821.6</v>
      </c>
      <c r="H72" s="25"/>
      <c r="I72" s="37"/>
      <c r="J72" s="9">
        <f t="shared" si="27"/>
        <v>65406</v>
      </c>
      <c r="K72" s="38">
        <f t="shared" si="36"/>
        <v>2051.3</v>
      </c>
      <c r="L72" s="38">
        <v>791</v>
      </c>
      <c r="M72" s="38">
        <f t="shared" si="28"/>
        <v>23.7</v>
      </c>
      <c r="N72" s="78">
        <f t="shared" si="29"/>
        <v>458153</v>
      </c>
      <c r="O72" s="79">
        <f t="shared" si="30"/>
        <v>189333</v>
      </c>
      <c r="P72" s="79">
        <f t="shared" si="31"/>
        <v>668420</v>
      </c>
      <c r="Q72" s="80">
        <f t="shared" si="32"/>
        <v>3153387</v>
      </c>
      <c r="R72" s="80">
        <f t="shared" si="33"/>
        <v>1552351</v>
      </c>
      <c r="S72" s="80">
        <f t="shared" si="34"/>
        <v>4868102</v>
      </c>
      <c r="T72" s="84">
        <f>N72/'2015'!M72-1</f>
        <v>0.388586478835674</v>
      </c>
      <c r="U72" s="84">
        <f>O72/'2015'!N72-1</f>
        <v>0.061765712010498</v>
      </c>
      <c r="V72" s="84">
        <f>P72/'2015'!O72-1</f>
        <v>0.294750258593638</v>
      </c>
      <c r="W72" s="85">
        <f>Q72/'2015'!P72-1</f>
        <v>-0.0668611231861436</v>
      </c>
      <c r="X72" s="85">
        <f>R72/'2015'!Q72-1</f>
        <v>0.155360905383791</v>
      </c>
      <c r="Y72" s="85">
        <f>S72/'2015'!R72-1</f>
        <v>0.0159569517088296</v>
      </c>
      <c r="Z72" s="54">
        <f>Z$64+0.478*8</f>
        <v>31.894</v>
      </c>
      <c r="AA72" s="101">
        <f t="shared" si="37"/>
        <v>283.4447</v>
      </c>
      <c r="AB72" s="109"/>
      <c r="AC72" s="109"/>
      <c r="AD72" s="9">
        <f t="shared" si="38"/>
        <v>3315751</v>
      </c>
      <c r="AE72" s="38">
        <f t="shared" si="40"/>
        <v>106946.4</v>
      </c>
      <c r="AF72" s="38">
        <f t="shared" si="40"/>
        <v>49716</v>
      </c>
      <c r="AG72" s="38">
        <f t="shared" si="39"/>
        <v>5701.59999999998</v>
      </c>
    </row>
    <row r="73" ht="15" customHeight="1" spans="1:33">
      <c r="A73" s="106">
        <v>42438</v>
      </c>
      <c r="B73" s="15" t="s">
        <v>35</v>
      </c>
      <c r="C73" s="33">
        <v>65431</v>
      </c>
      <c r="D73" s="34">
        <v>21563</v>
      </c>
      <c r="E73" s="34">
        <v>90460</v>
      </c>
      <c r="F73" s="33">
        <v>4673.4</v>
      </c>
      <c r="G73" s="34">
        <v>2817</v>
      </c>
      <c r="H73" s="20"/>
      <c r="I73" s="20"/>
      <c r="J73" s="33">
        <f t="shared" si="27"/>
        <v>68897</v>
      </c>
      <c r="K73" s="34">
        <f t="shared" si="36"/>
        <v>2652.3</v>
      </c>
      <c r="L73" s="34">
        <v>790</v>
      </c>
      <c r="M73" s="34">
        <f t="shared" si="28"/>
        <v>23.7</v>
      </c>
      <c r="N73" s="81">
        <f t="shared" si="29"/>
        <v>523584</v>
      </c>
      <c r="O73" s="82">
        <f t="shared" si="30"/>
        <v>210896</v>
      </c>
      <c r="P73" s="82">
        <f t="shared" si="31"/>
        <v>758880</v>
      </c>
      <c r="Q73" s="81">
        <f t="shared" si="32"/>
        <v>3218818</v>
      </c>
      <c r="R73" s="81">
        <f t="shared" si="33"/>
        <v>1573914</v>
      </c>
      <c r="S73" s="81">
        <f t="shared" si="34"/>
        <v>4958562</v>
      </c>
      <c r="T73" s="86">
        <f>N73/'2015'!M73-1</f>
        <v>0.366803107509815</v>
      </c>
      <c r="U73" s="86">
        <f>O73/'2015'!N73-1</f>
        <v>0.0737757502316629</v>
      </c>
      <c r="V73" s="86">
        <f>P73/'2015'!O73-1</f>
        <v>0.287620935038669</v>
      </c>
      <c r="W73" s="86">
        <f>Q73/'2015'!P73-1</f>
        <v>-0.0622424771949471</v>
      </c>
      <c r="X73" s="86">
        <f>R73/'2015'!Q73-1</f>
        <v>0.155849992729644</v>
      </c>
      <c r="Y73" s="86">
        <f>S73/'2015'!R73-1</f>
        <v>0.0192831949981438</v>
      </c>
      <c r="Z73" s="53">
        <f>Z$64+0.478*9</f>
        <v>32.372</v>
      </c>
      <c r="AA73" s="53">
        <f t="shared" si="37"/>
        <v>289.5098</v>
      </c>
      <c r="AB73" s="34">
        <v>4230.1</v>
      </c>
      <c r="AC73" s="34">
        <f t="shared" ref="AC73:AC136" si="41">AA73*10000/AB73</f>
        <v>684.404151202099</v>
      </c>
      <c r="AD73" s="33">
        <f t="shared" si="38"/>
        <v>3384648</v>
      </c>
      <c r="AE73" s="34">
        <f t="shared" si="40"/>
        <v>109598.7</v>
      </c>
      <c r="AF73" s="34">
        <f t="shared" si="40"/>
        <v>50506</v>
      </c>
      <c r="AG73" s="34">
        <f t="shared" si="39"/>
        <v>5725.29999999997</v>
      </c>
    </row>
    <row r="74" ht="15" customHeight="1" spans="1:33">
      <c r="A74" s="106">
        <v>42439</v>
      </c>
      <c r="B74" s="21" t="s">
        <v>36</v>
      </c>
      <c r="C74" s="9">
        <v>70475</v>
      </c>
      <c r="D74" s="38">
        <v>21675</v>
      </c>
      <c r="E74" s="38">
        <v>95082</v>
      </c>
      <c r="F74" s="9">
        <v>4946</v>
      </c>
      <c r="G74" s="38">
        <v>2938.8</v>
      </c>
      <c r="H74" s="25"/>
      <c r="I74" s="37"/>
      <c r="J74" s="9">
        <f t="shared" si="27"/>
        <v>73407</v>
      </c>
      <c r="K74" s="38">
        <f t="shared" si="36"/>
        <v>2117.3</v>
      </c>
      <c r="L74" s="38">
        <v>791</v>
      </c>
      <c r="M74" s="38">
        <f t="shared" si="28"/>
        <v>23.7</v>
      </c>
      <c r="N74" s="78">
        <f t="shared" si="29"/>
        <v>594059</v>
      </c>
      <c r="O74" s="79">
        <f t="shared" si="30"/>
        <v>232571</v>
      </c>
      <c r="P74" s="79">
        <f t="shared" si="31"/>
        <v>853962</v>
      </c>
      <c r="Q74" s="80">
        <f t="shared" si="32"/>
        <v>3289293</v>
      </c>
      <c r="R74" s="80">
        <f t="shared" si="33"/>
        <v>1595589</v>
      </c>
      <c r="S74" s="80">
        <f t="shared" si="34"/>
        <v>5053644</v>
      </c>
      <c r="T74" s="84">
        <f>N74/'2015'!M74-1</f>
        <v>0.351193549487667</v>
      </c>
      <c r="U74" s="84">
        <f>O74/'2015'!N74-1</f>
        <v>0.0751944005251819</v>
      </c>
      <c r="V74" s="84">
        <f>P74/'2015'!O74-1</f>
        <v>0.279012330886527</v>
      </c>
      <c r="W74" s="85">
        <f>Q74/'2015'!P74-1</f>
        <v>-0.0572514664467021</v>
      </c>
      <c r="X74" s="85">
        <f>R74/'2015'!Q74-1</f>
        <v>0.154889931484937</v>
      </c>
      <c r="Y74" s="85">
        <f>S74/'2015'!R74-1</f>
        <v>0.0223713605800131</v>
      </c>
      <c r="Z74" s="54">
        <v>32.8525</v>
      </c>
      <c r="AA74" s="101">
        <f t="shared" si="37"/>
        <v>296.0768</v>
      </c>
      <c r="AB74" s="109">
        <v>4230.1</v>
      </c>
      <c r="AC74" s="109">
        <f t="shared" si="41"/>
        <v>699.928606888726</v>
      </c>
      <c r="AD74" s="9">
        <f t="shared" si="38"/>
        <v>3458055</v>
      </c>
      <c r="AE74" s="38">
        <v>111716</v>
      </c>
      <c r="AF74" s="38">
        <f t="shared" si="40"/>
        <v>51297</v>
      </c>
      <c r="AG74" s="38">
        <f t="shared" si="39"/>
        <v>5749</v>
      </c>
    </row>
    <row r="75" ht="15" customHeight="1" spans="1:33">
      <c r="A75" s="106">
        <v>42440</v>
      </c>
      <c r="B75" s="21" t="s">
        <v>37</v>
      </c>
      <c r="C75" s="74">
        <v>69987</v>
      </c>
      <c r="D75" s="75">
        <v>21779</v>
      </c>
      <c r="E75" s="75">
        <v>94042</v>
      </c>
      <c r="F75" s="74">
        <v>4783.6</v>
      </c>
      <c r="G75" s="75">
        <v>3077.3</v>
      </c>
      <c r="H75" s="25"/>
      <c r="I75" s="25"/>
      <c r="J75" s="74">
        <f t="shared" si="27"/>
        <v>72263</v>
      </c>
      <c r="K75" s="75">
        <f t="shared" si="36"/>
        <v>1203.8</v>
      </c>
      <c r="L75" s="75">
        <v>793</v>
      </c>
      <c r="M75" s="75">
        <f>(AG$84-AG$74)/10</f>
        <v>279.2</v>
      </c>
      <c r="N75" s="78">
        <f t="shared" si="29"/>
        <v>664046</v>
      </c>
      <c r="O75" s="79">
        <f t="shared" si="30"/>
        <v>254350</v>
      </c>
      <c r="P75" s="79">
        <f t="shared" si="31"/>
        <v>948004</v>
      </c>
      <c r="Q75" s="80">
        <f t="shared" si="32"/>
        <v>3359280</v>
      </c>
      <c r="R75" s="80">
        <f t="shared" si="33"/>
        <v>1617368</v>
      </c>
      <c r="S75" s="80">
        <f t="shared" si="34"/>
        <v>5147686</v>
      </c>
      <c r="T75" s="84">
        <f>N75/'2015'!M75-1</f>
        <v>0.329349564688195</v>
      </c>
      <c r="U75" s="84">
        <f>O75/'2015'!N75-1</f>
        <v>0.0766593294954283</v>
      </c>
      <c r="V75" s="84">
        <f>P75/'2015'!O75-1</f>
        <v>0.265863621129151</v>
      </c>
      <c r="W75" s="85">
        <f>Q75/'2015'!P75-1</f>
        <v>-0.053435441450042</v>
      </c>
      <c r="X75" s="85">
        <f>R75/'2015'!Q75-1</f>
        <v>0.154003344920687</v>
      </c>
      <c r="Y75" s="85">
        <f>S75/'2015'!R75-1</f>
        <v>0.0245604998281348</v>
      </c>
      <c r="Z75" s="101">
        <f>Z$74+0.669*1</f>
        <v>33.5215</v>
      </c>
      <c r="AA75" s="101">
        <f t="shared" si="37"/>
        <v>302.4065</v>
      </c>
      <c r="AB75" s="110"/>
      <c r="AC75" s="109"/>
      <c r="AD75" s="74">
        <f t="shared" si="38"/>
        <v>3530318</v>
      </c>
      <c r="AE75" s="75">
        <f t="shared" si="40"/>
        <v>112919.8</v>
      </c>
      <c r="AF75" s="75">
        <f t="shared" si="40"/>
        <v>52090</v>
      </c>
      <c r="AG75" s="75">
        <f t="shared" si="39"/>
        <v>6028.2</v>
      </c>
    </row>
    <row r="76" ht="15" customHeight="1" spans="1:33">
      <c r="A76" s="106">
        <v>42441</v>
      </c>
      <c r="B76" s="21" t="s">
        <v>38</v>
      </c>
      <c r="C76" s="9">
        <v>67983</v>
      </c>
      <c r="D76" s="38">
        <v>21675</v>
      </c>
      <c r="E76" s="38">
        <v>91760</v>
      </c>
      <c r="F76" s="9">
        <v>4601.2</v>
      </c>
      <c r="G76" s="38">
        <v>3078.2</v>
      </c>
      <c r="H76" s="25"/>
      <c r="I76" s="37"/>
      <c r="J76" s="9">
        <f t="shared" si="27"/>
        <v>70085</v>
      </c>
      <c r="K76" s="38">
        <f t="shared" si="36"/>
        <v>1031.8</v>
      </c>
      <c r="L76" s="38">
        <v>791</v>
      </c>
      <c r="M76" s="38">
        <f t="shared" ref="M76:M84" si="42">(AG$84-AG$74)/10</f>
        <v>279.2</v>
      </c>
      <c r="N76" s="78">
        <f t="shared" si="29"/>
        <v>732029</v>
      </c>
      <c r="O76" s="79">
        <f t="shared" si="30"/>
        <v>276025</v>
      </c>
      <c r="P76" s="79">
        <f t="shared" si="31"/>
        <v>1039764</v>
      </c>
      <c r="Q76" s="80">
        <f t="shared" si="32"/>
        <v>3427263</v>
      </c>
      <c r="R76" s="80">
        <f t="shared" si="33"/>
        <v>1639043</v>
      </c>
      <c r="S76" s="80">
        <f t="shared" si="34"/>
        <v>5239446</v>
      </c>
      <c r="T76" s="84">
        <f>N76/'2015'!M76-1</f>
        <v>0.311346459415256</v>
      </c>
      <c r="U76" s="84">
        <f>O76/'2015'!N76-1</f>
        <v>0.0749474258119791</v>
      </c>
      <c r="V76" s="84">
        <f>P76/'2015'!O76-1</f>
        <v>0.25380628637165</v>
      </c>
      <c r="W76" s="85">
        <f>Q76/'2015'!P76-1</f>
        <v>-0.0499928207476512</v>
      </c>
      <c r="X76" s="85">
        <f>R76/'2015'!Q76-1</f>
        <v>0.152577091953409</v>
      </c>
      <c r="Y76" s="85">
        <f>S76/'2015'!R76-1</f>
        <v>0.0264016859842569</v>
      </c>
      <c r="Z76" s="54">
        <f>Z$74+0.669*2</f>
        <v>34.1905</v>
      </c>
      <c r="AA76" s="101">
        <f t="shared" si="37"/>
        <v>308.5358</v>
      </c>
      <c r="AB76" s="109"/>
      <c r="AC76" s="109"/>
      <c r="AD76" s="9">
        <f t="shared" si="38"/>
        <v>3600403</v>
      </c>
      <c r="AE76" s="38">
        <f t="shared" si="40"/>
        <v>113951.6</v>
      </c>
      <c r="AF76" s="38">
        <f t="shared" si="40"/>
        <v>52881</v>
      </c>
      <c r="AG76" s="38">
        <f t="shared" si="39"/>
        <v>6307.39999999999</v>
      </c>
    </row>
    <row r="77" ht="15" customHeight="1" spans="1:33">
      <c r="A77" s="106">
        <v>42442</v>
      </c>
      <c r="B77" s="21" t="s">
        <v>1</v>
      </c>
      <c r="C77" s="9">
        <v>65623</v>
      </c>
      <c r="D77" s="38">
        <v>20525</v>
      </c>
      <c r="E77" s="38">
        <v>88095</v>
      </c>
      <c r="F77" s="9">
        <v>4461.5</v>
      </c>
      <c r="G77" s="38">
        <v>2964.1</v>
      </c>
      <c r="H77" s="25"/>
      <c r="I77" s="37"/>
      <c r="J77" s="9">
        <f t="shared" si="27"/>
        <v>67570</v>
      </c>
      <c r="K77" s="38">
        <f t="shared" si="36"/>
        <v>877.8</v>
      </c>
      <c r="L77" s="38">
        <v>790</v>
      </c>
      <c r="M77" s="38">
        <f t="shared" si="42"/>
        <v>279.2</v>
      </c>
      <c r="N77" s="78">
        <f t="shared" si="29"/>
        <v>797652</v>
      </c>
      <c r="O77" s="79">
        <f t="shared" si="30"/>
        <v>296550</v>
      </c>
      <c r="P77" s="79">
        <f t="shared" si="31"/>
        <v>1127859</v>
      </c>
      <c r="Q77" s="80">
        <f t="shared" si="32"/>
        <v>3492886</v>
      </c>
      <c r="R77" s="80">
        <f t="shared" si="33"/>
        <v>1659568</v>
      </c>
      <c r="S77" s="80">
        <f t="shared" si="34"/>
        <v>5327541</v>
      </c>
      <c r="T77" s="84">
        <f>N77/'2015'!M77-1</f>
        <v>0.294129099457786</v>
      </c>
      <c r="U77" s="84">
        <f>O77/'2015'!N77-1</f>
        <v>0.0722963884348919</v>
      </c>
      <c r="V77" s="84">
        <f>P77/'2015'!O77-1</f>
        <v>0.240579273356439</v>
      </c>
      <c r="W77" s="85">
        <f>Q77/'2015'!P77-1</f>
        <v>-0.0471572961953519</v>
      </c>
      <c r="X77" s="85">
        <f>R77/'2015'!Q77-1</f>
        <v>0.151003853398842</v>
      </c>
      <c r="Y77" s="85">
        <f>S77/'2015'!R77-1</f>
        <v>0.0275847729214256</v>
      </c>
      <c r="Z77" s="54">
        <f>Z$74+0.669*3</f>
        <v>34.8595</v>
      </c>
      <c r="AA77" s="101">
        <f t="shared" si="37"/>
        <v>314.4291</v>
      </c>
      <c r="AB77" s="109"/>
      <c r="AC77" s="109"/>
      <c r="AD77" s="9">
        <f t="shared" si="38"/>
        <v>3667973</v>
      </c>
      <c r="AE77" s="38">
        <f t="shared" si="40"/>
        <v>114829.4</v>
      </c>
      <c r="AF77" s="38">
        <f t="shared" si="40"/>
        <v>53671</v>
      </c>
      <c r="AG77" s="38">
        <f t="shared" si="39"/>
        <v>6586.59999999999</v>
      </c>
    </row>
    <row r="78" ht="15" customHeight="1" spans="1:33">
      <c r="A78" s="106">
        <v>42443</v>
      </c>
      <c r="B78" s="21" t="s">
        <v>39</v>
      </c>
      <c r="C78" s="9">
        <v>66541</v>
      </c>
      <c r="D78" s="38">
        <v>21495</v>
      </c>
      <c r="E78" s="38">
        <v>89796</v>
      </c>
      <c r="F78" s="9">
        <v>4599.4</v>
      </c>
      <c r="G78" s="38">
        <v>2808.5</v>
      </c>
      <c r="H78" s="25"/>
      <c r="I78" s="37"/>
      <c r="J78" s="9">
        <f t="shared" si="27"/>
        <v>68301</v>
      </c>
      <c r="K78" s="38">
        <f t="shared" si="36"/>
        <v>688.8</v>
      </c>
      <c r="L78" s="38">
        <v>792</v>
      </c>
      <c r="M78" s="38">
        <f t="shared" si="42"/>
        <v>279.2</v>
      </c>
      <c r="N78" s="78">
        <f t="shared" si="29"/>
        <v>864193</v>
      </c>
      <c r="O78" s="79">
        <f t="shared" si="30"/>
        <v>318045</v>
      </c>
      <c r="P78" s="79">
        <f t="shared" si="31"/>
        <v>1217655</v>
      </c>
      <c r="Q78" s="80">
        <f t="shared" si="32"/>
        <v>3559427</v>
      </c>
      <c r="R78" s="80">
        <f t="shared" si="33"/>
        <v>1681063</v>
      </c>
      <c r="S78" s="80">
        <f t="shared" si="34"/>
        <v>5417337</v>
      </c>
      <c r="T78" s="84">
        <f>N78/'2015'!M78-1</f>
        <v>0.279372359293068</v>
      </c>
      <c r="U78" s="84">
        <f>O78/'2015'!N78-1</f>
        <v>0.0729358185038373</v>
      </c>
      <c r="V78" s="84">
        <f>P78/'2015'!O78-1</f>
        <v>0.22985888976312</v>
      </c>
      <c r="W78" s="85">
        <f>Q78/'2015'!P78-1</f>
        <v>-0.0444165478930423</v>
      </c>
      <c r="X78" s="85">
        <f>R78/'2015'!Q78-1</f>
        <v>0.150063658187346</v>
      </c>
      <c r="Y78" s="85">
        <f>S78/'2015'!R78-1</f>
        <v>0.0288430366548824</v>
      </c>
      <c r="Z78" s="54">
        <f>Z$74+0.669*4</f>
        <v>35.5285</v>
      </c>
      <c r="AA78" s="101">
        <f t="shared" si="37"/>
        <v>320.4142</v>
      </c>
      <c r="AB78" s="109"/>
      <c r="AC78" s="109"/>
      <c r="AD78" s="9">
        <f t="shared" si="38"/>
        <v>3736274</v>
      </c>
      <c r="AE78" s="38">
        <f t="shared" si="40"/>
        <v>115518.2</v>
      </c>
      <c r="AF78" s="38">
        <f t="shared" si="40"/>
        <v>54463</v>
      </c>
      <c r="AG78" s="38">
        <f t="shared" si="39"/>
        <v>6865.79999999999</v>
      </c>
    </row>
    <row r="79" ht="15" customHeight="1" spans="1:33">
      <c r="A79" s="106">
        <v>42444</v>
      </c>
      <c r="B79" s="21" t="s">
        <v>34</v>
      </c>
      <c r="C79" s="9">
        <v>66607</v>
      </c>
      <c r="D79" s="38">
        <v>22695</v>
      </c>
      <c r="E79" s="38">
        <v>91396</v>
      </c>
      <c r="F79" s="9">
        <v>4606.8</v>
      </c>
      <c r="G79" s="38">
        <v>3108.5</v>
      </c>
      <c r="H79" s="25"/>
      <c r="I79" s="37"/>
      <c r="J79" s="9">
        <f t="shared" si="27"/>
        <v>68701</v>
      </c>
      <c r="K79" s="38">
        <f t="shared" si="36"/>
        <v>1021.8</v>
      </c>
      <c r="L79" s="38">
        <v>793</v>
      </c>
      <c r="M79" s="38">
        <f t="shared" si="42"/>
        <v>279.2</v>
      </c>
      <c r="N79" s="78">
        <f t="shared" si="29"/>
        <v>930800</v>
      </c>
      <c r="O79" s="79">
        <f t="shared" si="30"/>
        <v>340740</v>
      </c>
      <c r="P79" s="79">
        <f t="shared" si="31"/>
        <v>1309051</v>
      </c>
      <c r="Q79" s="80">
        <f t="shared" si="32"/>
        <v>3626034</v>
      </c>
      <c r="R79" s="80">
        <f t="shared" si="33"/>
        <v>1703758</v>
      </c>
      <c r="S79" s="80">
        <f t="shared" si="34"/>
        <v>5508733</v>
      </c>
      <c r="T79" s="84">
        <f>N79/'2015'!M79-1</f>
        <v>0.271235630653331</v>
      </c>
      <c r="U79" s="84">
        <f>O79/'2015'!N79-1</f>
        <v>0.0774012603514187</v>
      </c>
      <c r="V79" s="84">
        <f>P79/'2015'!O79-1</f>
        <v>0.225764012633586</v>
      </c>
      <c r="W79" s="85">
        <f>Q79/'2015'!P79-1</f>
        <v>-0.041135585224424</v>
      </c>
      <c r="X79" s="85">
        <f>R79/'2015'!Q79-1</f>
        <v>0.149984239468286</v>
      </c>
      <c r="Y79" s="85">
        <f>S79/'2015'!R79-1</f>
        <v>0.0309540764335383</v>
      </c>
      <c r="Z79" s="54">
        <f>Z$74+0.669*5</f>
        <v>36.1975</v>
      </c>
      <c r="AA79" s="101">
        <f t="shared" si="37"/>
        <v>326.4059</v>
      </c>
      <c r="AB79" s="109"/>
      <c r="AC79" s="109"/>
      <c r="AD79" s="9">
        <f t="shared" si="38"/>
        <v>3804975</v>
      </c>
      <c r="AE79" s="38">
        <f t="shared" si="40"/>
        <v>116540</v>
      </c>
      <c r="AF79" s="38">
        <f t="shared" si="40"/>
        <v>55256</v>
      </c>
      <c r="AG79" s="38">
        <f t="shared" si="39"/>
        <v>7144.99999999999</v>
      </c>
    </row>
    <row r="80" ht="15" customHeight="1" spans="1:33">
      <c r="A80" s="106">
        <v>42445</v>
      </c>
      <c r="B80" s="15" t="s">
        <v>35</v>
      </c>
      <c r="C80" s="33">
        <v>63839</v>
      </c>
      <c r="D80" s="34">
        <v>23804</v>
      </c>
      <c r="E80" s="34">
        <v>89828</v>
      </c>
      <c r="F80" s="33">
        <v>4547.9</v>
      </c>
      <c r="G80" s="34">
        <v>2979.5</v>
      </c>
      <c r="H80" s="20"/>
      <c r="I80" s="20"/>
      <c r="J80" s="33">
        <f t="shared" si="27"/>
        <v>66024</v>
      </c>
      <c r="K80" s="34">
        <f t="shared" si="36"/>
        <v>1113.8</v>
      </c>
      <c r="L80" s="34">
        <v>792</v>
      </c>
      <c r="M80" s="34">
        <f t="shared" si="42"/>
        <v>279.2</v>
      </c>
      <c r="N80" s="81">
        <f t="shared" si="29"/>
        <v>994639</v>
      </c>
      <c r="O80" s="82">
        <f t="shared" si="30"/>
        <v>364544</v>
      </c>
      <c r="P80" s="82">
        <f t="shared" si="31"/>
        <v>1398879</v>
      </c>
      <c r="Q80" s="81">
        <f t="shared" si="32"/>
        <v>3689873</v>
      </c>
      <c r="R80" s="81">
        <f t="shared" si="33"/>
        <v>1727562</v>
      </c>
      <c r="S80" s="81">
        <f t="shared" si="34"/>
        <v>5598561</v>
      </c>
      <c r="T80" s="86">
        <f>N80/'2015'!M80-1</f>
        <v>0.256460170283722</v>
      </c>
      <c r="U80" s="86">
        <f>O80/'2015'!N80-1</f>
        <v>0.0855145224014817</v>
      </c>
      <c r="V80" s="86">
        <f>P80/'2015'!O80-1</f>
        <v>0.217487911100899</v>
      </c>
      <c r="W80" s="86">
        <f>Q80/'2015'!P80-1</f>
        <v>-0.0393484944458633</v>
      </c>
      <c r="X80" s="86">
        <f>R80/'2015'!Q80-1</f>
        <v>0.150853299616152</v>
      </c>
      <c r="Y80" s="86">
        <f>S80/'2015'!R80-1</f>
        <v>0.0321115276669612</v>
      </c>
      <c r="Z80" s="53">
        <f>Z$74+0.669*6</f>
        <v>36.8665</v>
      </c>
      <c r="AA80" s="53">
        <f t="shared" si="37"/>
        <v>332.1208</v>
      </c>
      <c r="AB80" s="34">
        <v>4230.1</v>
      </c>
      <c r="AC80" s="34">
        <f t="shared" si="41"/>
        <v>785.136994397296</v>
      </c>
      <c r="AD80" s="33">
        <f t="shared" si="38"/>
        <v>3870999</v>
      </c>
      <c r="AE80" s="34">
        <f t="shared" si="40"/>
        <v>117653.8</v>
      </c>
      <c r="AF80" s="34">
        <f t="shared" si="40"/>
        <v>56048</v>
      </c>
      <c r="AG80" s="34">
        <f t="shared" si="39"/>
        <v>7424.19999999998</v>
      </c>
    </row>
    <row r="81" ht="15" customHeight="1" spans="1:33">
      <c r="A81" s="106">
        <v>42446</v>
      </c>
      <c r="B81" s="21" t="s">
        <v>36</v>
      </c>
      <c r="C81" s="9">
        <v>64530</v>
      </c>
      <c r="D81" s="38">
        <v>23771</v>
      </c>
      <c r="E81" s="38">
        <v>90163</v>
      </c>
      <c r="F81" s="9">
        <v>4566</v>
      </c>
      <c r="G81" s="38">
        <v>2973</v>
      </c>
      <c r="H81" s="25"/>
      <c r="I81" s="37"/>
      <c r="J81" s="9">
        <f t="shared" si="27"/>
        <v>66392</v>
      </c>
      <c r="K81" s="38">
        <f t="shared" si="36"/>
        <v>789.8</v>
      </c>
      <c r="L81" s="38">
        <v>793</v>
      </c>
      <c r="M81" s="38">
        <f t="shared" si="42"/>
        <v>279.2</v>
      </c>
      <c r="N81" s="78">
        <f t="shared" si="29"/>
        <v>1059169</v>
      </c>
      <c r="O81" s="79">
        <f t="shared" si="30"/>
        <v>388315</v>
      </c>
      <c r="P81" s="79">
        <f t="shared" si="31"/>
        <v>1489042</v>
      </c>
      <c r="Q81" s="80">
        <f t="shared" si="32"/>
        <v>3754403</v>
      </c>
      <c r="R81" s="80">
        <f t="shared" si="33"/>
        <v>1751333</v>
      </c>
      <c r="S81" s="80">
        <f t="shared" si="34"/>
        <v>5688724</v>
      </c>
      <c r="T81" s="84">
        <f>N81/'2015'!M81-1</f>
        <v>0.245139265238179</v>
      </c>
      <c r="U81" s="84">
        <f>O81/'2015'!N81-1</f>
        <v>0.0910452332184171</v>
      </c>
      <c r="V81" s="84">
        <f>P81/'2015'!O81-1</f>
        <v>0.21043595600608</v>
      </c>
      <c r="W81" s="85">
        <f>Q81/'2015'!P81-1</f>
        <v>-0.0373409565147381</v>
      </c>
      <c r="X81" s="85">
        <f>R81/'2015'!Q81-1</f>
        <v>0.151284611678025</v>
      </c>
      <c r="Y81" s="85">
        <f>S81/'2015'!R81-1</f>
        <v>0.0332692889621724</v>
      </c>
      <c r="Z81" s="54">
        <f>Z$74+0.669*7</f>
        <v>37.5355</v>
      </c>
      <c r="AA81" s="101">
        <f t="shared" si="37"/>
        <v>337.9048</v>
      </c>
      <c r="AB81" s="109">
        <v>4230.1</v>
      </c>
      <c r="AC81" s="109">
        <f t="shared" si="41"/>
        <v>798.810430013475</v>
      </c>
      <c r="AD81" s="9">
        <f t="shared" si="38"/>
        <v>3937391</v>
      </c>
      <c r="AE81" s="38">
        <f t="shared" si="40"/>
        <v>118443.6</v>
      </c>
      <c r="AF81" s="38">
        <f t="shared" si="40"/>
        <v>56841</v>
      </c>
      <c r="AG81" s="38">
        <f t="shared" si="39"/>
        <v>7703.39999999998</v>
      </c>
    </row>
    <row r="82" ht="15" customHeight="1" spans="1:33">
      <c r="A82" s="106">
        <v>42447</v>
      </c>
      <c r="B82" s="21" t="s">
        <v>37</v>
      </c>
      <c r="C82" s="74">
        <v>65084</v>
      </c>
      <c r="D82" s="75">
        <v>23200</v>
      </c>
      <c r="E82" s="75">
        <v>90145</v>
      </c>
      <c r="F82" s="74">
        <v>4564.9</v>
      </c>
      <c r="G82" s="75">
        <v>2949.4</v>
      </c>
      <c r="H82" s="25"/>
      <c r="I82" s="25"/>
      <c r="J82" s="74">
        <f t="shared" si="27"/>
        <v>66945</v>
      </c>
      <c r="K82" s="75">
        <f t="shared" si="36"/>
        <v>792.8</v>
      </c>
      <c r="L82" s="75">
        <v>789</v>
      </c>
      <c r="M82" s="75">
        <f t="shared" si="42"/>
        <v>279.2</v>
      </c>
      <c r="N82" s="78">
        <f t="shared" si="29"/>
        <v>1124253</v>
      </c>
      <c r="O82" s="79">
        <f t="shared" si="30"/>
        <v>411515</v>
      </c>
      <c r="P82" s="79">
        <f t="shared" si="31"/>
        <v>1579187</v>
      </c>
      <c r="Q82" s="80">
        <f t="shared" si="32"/>
        <v>3819487</v>
      </c>
      <c r="R82" s="80">
        <f t="shared" si="33"/>
        <v>1774533</v>
      </c>
      <c r="S82" s="80">
        <f t="shared" si="34"/>
        <v>5778869</v>
      </c>
      <c r="T82" s="84">
        <f>N82/'2015'!M82-1</f>
        <v>0.235729383406482</v>
      </c>
      <c r="U82" s="84">
        <f>O82/'2015'!N82-1</f>
        <v>0.0944518764577753</v>
      </c>
      <c r="V82" s="84">
        <f>P82/'2015'!O82-1</f>
        <v>0.203958794262546</v>
      </c>
      <c r="W82" s="85">
        <f>Q82/'2015'!P82-1</f>
        <v>-0.0352833162422522</v>
      </c>
      <c r="X82" s="85">
        <f>R82/'2015'!Q82-1</f>
        <v>0.151330477282327</v>
      </c>
      <c r="Y82" s="85">
        <f>S82/'2015'!R82-1</f>
        <v>0.0343327874280703</v>
      </c>
      <c r="Z82" s="101">
        <f>Z$74+0.669*8</f>
        <v>38.2045</v>
      </c>
      <c r="AA82" s="101">
        <f t="shared" si="37"/>
        <v>343.7442</v>
      </c>
      <c r="AB82" s="110"/>
      <c r="AC82" s="109"/>
      <c r="AD82" s="74">
        <f t="shared" si="38"/>
        <v>4004336</v>
      </c>
      <c r="AE82" s="75">
        <f t="shared" si="40"/>
        <v>119236.4</v>
      </c>
      <c r="AF82" s="75">
        <f t="shared" si="40"/>
        <v>57630</v>
      </c>
      <c r="AG82" s="75">
        <f t="shared" si="39"/>
        <v>7982.59999999998</v>
      </c>
    </row>
    <row r="83" ht="15" customHeight="1" spans="1:33">
      <c r="A83" s="106">
        <v>42448</v>
      </c>
      <c r="B83" s="21" t="s">
        <v>38</v>
      </c>
      <c r="C83" s="9">
        <v>64475</v>
      </c>
      <c r="D83" s="38">
        <v>22877</v>
      </c>
      <c r="E83" s="38">
        <v>88821</v>
      </c>
      <c r="F83" s="9">
        <v>4557.3</v>
      </c>
      <c r="G83" s="38">
        <v>2957.5</v>
      </c>
      <c r="H83" s="25"/>
      <c r="I83" s="37"/>
      <c r="J83" s="9">
        <f t="shared" si="27"/>
        <v>65944</v>
      </c>
      <c r="K83" s="38">
        <f t="shared" si="36"/>
        <v>398.8</v>
      </c>
      <c r="L83" s="38">
        <v>791</v>
      </c>
      <c r="M83" s="38">
        <f t="shared" si="42"/>
        <v>279.2</v>
      </c>
      <c r="N83" s="78">
        <f t="shared" si="29"/>
        <v>1188728</v>
      </c>
      <c r="O83" s="79">
        <f t="shared" si="30"/>
        <v>434392</v>
      </c>
      <c r="P83" s="79">
        <f t="shared" si="31"/>
        <v>1668008</v>
      </c>
      <c r="Q83" s="80">
        <f t="shared" si="32"/>
        <v>3883962</v>
      </c>
      <c r="R83" s="80">
        <f t="shared" si="33"/>
        <v>1797410</v>
      </c>
      <c r="S83" s="80">
        <f t="shared" si="34"/>
        <v>5867690</v>
      </c>
      <c r="T83" s="84">
        <f>N83/'2015'!M83-1</f>
        <v>0.228673400937892</v>
      </c>
      <c r="U83" s="84">
        <f>O83/'2015'!N83-1</f>
        <v>0.0874861683431554</v>
      </c>
      <c r="V83" s="84">
        <f>P83/'2015'!O83-1</f>
        <v>0.196770171005296</v>
      </c>
      <c r="W83" s="85">
        <f>Q83/'2015'!P83-1</f>
        <v>-0.0330898607874769</v>
      </c>
      <c r="X83" s="85">
        <f>R83/'2015'!Q83-1</f>
        <v>0.148700034638475</v>
      </c>
      <c r="Y83" s="85">
        <f>S83/'2015'!R83-1</f>
        <v>0.0350218533796802</v>
      </c>
      <c r="Z83" s="54">
        <f>Z$74+0.669*9</f>
        <v>38.8735</v>
      </c>
      <c r="AA83" s="101">
        <f t="shared" si="37"/>
        <v>349.5227</v>
      </c>
      <c r="AB83" s="109"/>
      <c r="AC83" s="109"/>
      <c r="AD83" s="9">
        <f t="shared" si="38"/>
        <v>4070280</v>
      </c>
      <c r="AE83" s="38">
        <f t="shared" si="40"/>
        <v>119635.2</v>
      </c>
      <c r="AF83" s="38">
        <f t="shared" si="40"/>
        <v>58421</v>
      </c>
      <c r="AG83" s="38">
        <f t="shared" si="39"/>
        <v>8261.79999999997</v>
      </c>
    </row>
    <row r="84" ht="15" customHeight="1" spans="1:33">
      <c r="A84" s="106">
        <v>42449</v>
      </c>
      <c r="B84" s="21" t="s">
        <v>1</v>
      </c>
      <c r="C84" s="9">
        <v>56412</v>
      </c>
      <c r="D84" s="38">
        <v>25390</v>
      </c>
      <c r="E84" s="38">
        <v>83894</v>
      </c>
      <c r="F84" s="9">
        <v>4110.1</v>
      </c>
      <c r="G84" s="38">
        <v>2917.1</v>
      </c>
      <c r="H84" s="25"/>
      <c r="I84" s="37"/>
      <c r="J84" s="9">
        <f t="shared" si="27"/>
        <v>58504</v>
      </c>
      <c r="K84" s="38">
        <f t="shared" si="36"/>
        <v>1021.8</v>
      </c>
      <c r="L84" s="38">
        <v>791</v>
      </c>
      <c r="M84" s="38">
        <f t="shared" si="42"/>
        <v>279.2</v>
      </c>
      <c r="N84" s="78">
        <f t="shared" si="29"/>
        <v>1245140</v>
      </c>
      <c r="O84" s="79">
        <f t="shared" si="30"/>
        <v>459782</v>
      </c>
      <c r="P84" s="79">
        <f t="shared" si="31"/>
        <v>1751902</v>
      </c>
      <c r="Q84" s="80">
        <f t="shared" si="32"/>
        <v>3940374</v>
      </c>
      <c r="R84" s="80">
        <f t="shared" si="33"/>
        <v>1822800</v>
      </c>
      <c r="S84" s="80">
        <f t="shared" si="34"/>
        <v>5951584</v>
      </c>
      <c r="T84" s="84">
        <f>N84/'2015'!M84-1</f>
        <v>0.214520718174112</v>
      </c>
      <c r="U84" s="84">
        <f>O84/'2015'!N84-1</f>
        <v>0.0857743352382752</v>
      </c>
      <c r="V84" s="84">
        <f>P84/'2015'!O84-1</f>
        <v>0.185275243478761</v>
      </c>
      <c r="W84" s="85">
        <f>Q84/'2015'!P84-1</f>
        <v>-0.0329426039647553</v>
      </c>
      <c r="X84" s="85">
        <f>R84/'2015'!Q84-1</f>
        <v>0.147318517474137</v>
      </c>
      <c r="Y84" s="85">
        <f>S84/'2015'!R84-1</f>
        <v>0.0344386830633414</v>
      </c>
      <c r="Z84" s="54">
        <v>39.5351</v>
      </c>
      <c r="AA84" s="101">
        <f t="shared" si="37"/>
        <v>354.5023</v>
      </c>
      <c r="AB84" s="109">
        <v>4230.1</v>
      </c>
      <c r="AC84" s="109">
        <f t="shared" si="41"/>
        <v>838.047091085317</v>
      </c>
      <c r="AD84" s="9">
        <f t="shared" si="38"/>
        <v>4128784</v>
      </c>
      <c r="AE84" s="38">
        <v>120658</v>
      </c>
      <c r="AF84" s="38">
        <v>59211</v>
      </c>
      <c r="AG84" s="38">
        <f t="shared" si="39"/>
        <v>8541</v>
      </c>
    </row>
    <row r="85" ht="15" customHeight="1" spans="1:33">
      <c r="A85" s="106">
        <v>42450</v>
      </c>
      <c r="B85" s="21" t="s">
        <v>39</v>
      </c>
      <c r="C85" s="9">
        <v>62808</v>
      </c>
      <c r="D85" s="38">
        <v>25425</v>
      </c>
      <c r="E85" s="38">
        <v>89472</v>
      </c>
      <c r="F85" s="9">
        <v>4584.2</v>
      </c>
      <c r="G85" s="38">
        <v>2807</v>
      </c>
      <c r="H85" s="25"/>
      <c r="I85" s="37"/>
      <c r="J85" s="9">
        <f t="shared" si="27"/>
        <v>64047</v>
      </c>
      <c r="K85" s="38">
        <f t="shared" si="36"/>
        <v>368.272727272727</v>
      </c>
      <c r="L85" s="38">
        <v>791</v>
      </c>
      <c r="M85" s="38">
        <f>(AG$95-AG$84)/11</f>
        <v>79.7272727272727</v>
      </c>
      <c r="N85" s="78">
        <f t="shared" si="29"/>
        <v>1307948</v>
      </c>
      <c r="O85" s="79">
        <f t="shared" si="30"/>
        <v>485207</v>
      </c>
      <c r="P85" s="79">
        <f t="shared" si="31"/>
        <v>1841374</v>
      </c>
      <c r="Q85" s="80">
        <f t="shared" si="32"/>
        <v>4003182</v>
      </c>
      <c r="R85" s="80">
        <f t="shared" si="33"/>
        <v>1848225</v>
      </c>
      <c r="S85" s="80">
        <f t="shared" si="34"/>
        <v>6041056</v>
      </c>
      <c r="T85" s="84">
        <f>N85/'2015'!M85-1</f>
        <v>0.209598005378671</v>
      </c>
      <c r="U85" s="84">
        <f>O85/'2015'!N85-1</f>
        <v>0.0823917568089088</v>
      </c>
      <c r="V85" s="84">
        <f>P85/'2015'!O85-1</f>
        <v>0.179304306948797</v>
      </c>
      <c r="W85" s="85">
        <f>Q85/'2015'!P85-1</f>
        <v>-0.0308705621009907</v>
      </c>
      <c r="X85" s="85">
        <f>R85/'2015'!Q85-1</f>
        <v>0.14543236977096</v>
      </c>
      <c r="Y85" s="85">
        <f>S85/'2015'!R85-1</f>
        <v>0.0349954041558767</v>
      </c>
      <c r="Z85" s="54">
        <f>Z$84+0.717*1</f>
        <v>40.2521</v>
      </c>
      <c r="AA85" s="101">
        <f t="shared" si="37"/>
        <v>360.0661</v>
      </c>
      <c r="AB85" s="109"/>
      <c r="AC85" s="109"/>
      <c r="AD85" s="9">
        <f t="shared" si="38"/>
        <v>4192831</v>
      </c>
      <c r="AE85" s="38">
        <f t="shared" si="40"/>
        <v>121026.272727273</v>
      </c>
      <c r="AF85" s="38">
        <f t="shared" si="40"/>
        <v>60002</v>
      </c>
      <c r="AG85" s="38">
        <f t="shared" si="39"/>
        <v>8620.72727272728</v>
      </c>
    </row>
    <row r="86" ht="15" customHeight="1" spans="1:33">
      <c r="A86" s="106">
        <v>42451</v>
      </c>
      <c r="B86" s="21" t="s">
        <v>34</v>
      </c>
      <c r="C86" s="9">
        <v>65071</v>
      </c>
      <c r="D86" s="38">
        <v>26127</v>
      </c>
      <c r="E86" s="38">
        <v>92147</v>
      </c>
      <c r="F86" s="9">
        <v>4708.1</v>
      </c>
      <c r="G86" s="38">
        <v>2993.9</v>
      </c>
      <c r="H86" s="25"/>
      <c r="I86" s="37"/>
      <c r="J86" s="9">
        <f t="shared" si="27"/>
        <v>66020</v>
      </c>
      <c r="K86" s="38">
        <f t="shared" si="36"/>
        <v>77.2727272727273</v>
      </c>
      <c r="L86" s="38">
        <v>792</v>
      </c>
      <c r="M86" s="38">
        <f t="shared" ref="M86:M95" si="43">(AG$95-AG$84)/11</f>
        <v>79.7272727272727</v>
      </c>
      <c r="N86" s="78">
        <f t="shared" si="29"/>
        <v>1373019</v>
      </c>
      <c r="O86" s="79">
        <f t="shared" si="30"/>
        <v>511334</v>
      </c>
      <c r="P86" s="79">
        <f t="shared" si="31"/>
        <v>1933521</v>
      </c>
      <c r="Q86" s="80">
        <f t="shared" si="32"/>
        <v>4068253</v>
      </c>
      <c r="R86" s="80">
        <f t="shared" si="33"/>
        <v>1874352</v>
      </c>
      <c r="S86" s="80">
        <f t="shared" si="34"/>
        <v>6133203</v>
      </c>
      <c r="T86" s="84">
        <f>N86/'2015'!M86-1</f>
        <v>0.210763387656733</v>
      </c>
      <c r="U86" s="84">
        <f>O86/'2015'!N86-1</f>
        <v>0.0810901095183729</v>
      </c>
      <c r="V86" s="84">
        <f>P86/'2015'!O86-1</f>
        <v>0.1783776898685</v>
      </c>
      <c r="W86" s="85">
        <f>Q86/'2015'!P86-1</f>
        <v>-0.0275252055623629</v>
      </c>
      <c r="X86" s="85">
        <f>R86/'2015'!Q86-1</f>
        <v>0.144105848371573</v>
      </c>
      <c r="Y86" s="85">
        <f>S86/'2015'!R86-1</f>
        <v>0.0366757766486412</v>
      </c>
      <c r="Z86" s="54">
        <f>Z$84+0.717*2</f>
        <v>40.9691</v>
      </c>
      <c r="AA86" s="101">
        <f t="shared" si="37"/>
        <v>365.8562</v>
      </c>
      <c r="AB86" s="109"/>
      <c r="AC86" s="109"/>
      <c r="AD86" s="9">
        <f t="shared" si="38"/>
        <v>4258851</v>
      </c>
      <c r="AE86" s="38">
        <f t="shared" si="40"/>
        <v>121103.545454545</v>
      </c>
      <c r="AF86" s="38">
        <f t="shared" si="40"/>
        <v>60794</v>
      </c>
      <c r="AG86" s="38">
        <f t="shared" si="39"/>
        <v>8700.45454545456</v>
      </c>
    </row>
    <row r="87" ht="15" customHeight="1" spans="1:33">
      <c r="A87" s="106">
        <v>42452</v>
      </c>
      <c r="B87" s="15" t="s">
        <v>35</v>
      </c>
      <c r="C87" s="33">
        <v>64394</v>
      </c>
      <c r="D87" s="34">
        <v>26695</v>
      </c>
      <c r="E87" s="34">
        <v>92336</v>
      </c>
      <c r="F87" s="33">
        <v>4750.9</v>
      </c>
      <c r="G87" s="34">
        <v>3003.6</v>
      </c>
      <c r="H87" s="20"/>
      <c r="I87" s="20"/>
      <c r="J87" s="33">
        <f t="shared" si="27"/>
        <v>65641</v>
      </c>
      <c r="K87" s="34">
        <f t="shared" si="36"/>
        <v>376.272727272727</v>
      </c>
      <c r="L87" s="34">
        <v>791</v>
      </c>
      <c r="M87" s="34">
        <f t="shared" si="43"/>
        <v>79.7272727272727</v>
      </c>
      <c r="N87" s="81">
        <f t="shared" si="29"/>
        <v>1437413</v>
      </c>
      <c r="O87" s="82">
        <f t="shared" si="30"/>
        <v>538029</v>
      </c>
      <c r="P87" s="82">
        <f t="shared" si="31"/>
        <v>2025857</v>
      </c>
      <c r="Q87" s="81">
        <f t="shared" si="32"/>
        <v>4132647</v>
      </c>
      <c r="R87" s="81">
        <f t="shared" si="33"/>
        <v>1901047</v>
      </c>
      <c r="S87" s="81">
        <f t="shared" si="34"/>
        <v>6225539</v>
      </c>
      <c r="T87" s="86">
        <f>N87/'2015'!M87-1</f>
        <v>0.206127245525312</v>
      </c>
      <c r="U87" s="86">
        <f>O87/'2015'!N87-1</f>
        <v>0.0813175284584218</v>
      </c>
      <c r="V87" s="86">
        <f>P87/'2015'!O87-1</f>
        <v>0.174245120394704</v>
      </c>
      <c r="W87" s="86">
        <f>Q87/'2015'!P87-1</f>
        <v>-0.0255833912971718</v>
      </c>
      <c r="X87" s="86">
        <f>R87/'2015'!Q87-1</f>
        <v>0.143242108757463</v>
      </c>
      <c r="Y87" s="86">
        <f>S87/'2015'!R87-1</f>
        <v>0.0374808978390602</v>
      </c>
      <c r="Z87" s="53">
        <f>Z$84+0.717*3</f>
        <v>41.6861</v>
      </c>
      <c r="AA87" s="53">
        <f t="shared" si="37"/>
        <v>371.5786</v>
      </c>
      <c r="AB87" s="34">
        <v>4230.1</v>
      </c>
      <c r="AC87" s="34">
        <f t="shared" si="41"/>
        <v>878.415640292192</v>
      </c>
      <c r="AD87" s="33">
        <f t="shared" si="38"/>
        <v>4324492</v>
      </c>
      <c r="AE87" s="34">
        <f t="shared" si="40"/>
        <v>121479.818181818</v>
      </c>
      <c r="AF87" s="34">
        <f t="shared" si="40"/>
        <v>61585</v>
      </c>
      <c r="AG87" s="34">
        <f t="shared" si="39"/>
        <v>8780.18181818184</v>
      </c>
    </row>
    <row r="88" ht="15" customHeight="1" spans="1:33">
      <c r="A88" s="106">
        <v>42453</v>
      </c>
      <c r="B88" s="21" t="s">
        <v>36</v>
      </c>
      <c r="C88" s="9">
        <v>64248</v>
      </c>
      <c r="D88" s="38">
        <v>27622</v>
      </c>
      <c r="E88" s="38">
        <v>93323</v>
      </c>
      <c r="F88" s="9">
        <v>4763</v>
      </c>
      <c r="G88" s="38">
        <v>2966</v>
      </c>
      <c r="H88" s="25">
        <v>1420</v>
      </c>
      <c r="I88" s="37">
        <v>850</v>
      </c>
      <c r="J88" s="9">
        <f t="shared" si="27"/>
        <v>65701</v>
      </c>
      <c r="K88" s="38">
        <f t="shared" si="36"/>
        <v>580.272727272727</v>
      </c>
      <c r="L88" s="38">
        <v>793</v>
      </c>
      <c r="M88" s="38">
        <f t="shared" si="43"/>
        <v>79.7272727272727</v>
      </c>
      <c r="N88" s="78">
        <f t="shared" si="29"/>
        <v>1501661</v>
      </c>
      <c r="O88" s="79">
        <f t="shared" si="30"/>
        <v>565651</v>
      </c>
      <c r="P88" s="79">
        <f t="shared" si="31"/>
        <v>2119180</v>
      </c>
      <c r="Q88" s="80">
        <f t="shared" si="32"/>
        <v>4196895</v>
      </c>
      <c r="R88" s="80">
        <f t="shared" si="33"/>
        <v>1928669</v>
      </c>
      <c r="S88" s="80">
        <f t="shared" si="34"/>
        <v>6318862</v>
      </c>
      <c r="T88" s="84">
        <f>N88/'2015'!M88-1</f>
        <v>0.199976186842191</v>
      </c>
      <c r="U88" s="84">
        <f>O88/'2015'!N88-1</f>
        <v>0.0820099545122404</v>
      </c>
      <c r="V88" s="84">
        <f>P88/'2015'!O88-1</f>
        <v>0.169581541718615</v>
      </c>
      <c r="W88" s="85">
        <f>Q88/'2015'!P88-1</f>
        <v>-0.0241594587053572</v>
      </c>
      <c r="X88" s="85">
        <f>R88/'2015'!Q88-1</f>
        <v>0.142531749351033</v>
      </c>
      <c r="Y88" s="85">
        <f>S88/'2015'!R88-1</f>
        <v>0.0380400114927781</v>
      </c>
      <c r="Z88" s="54">
        <f>Z$84+0.717*4</f>
        <v>42.4031</v>
      </c>
      <c r="AA88" s="101">
        <f t="shared" si="37"/>
        <v>377.2864</v>
      </c>
      <c r="AB88" s="109">
        <v>4230.1</v>
      </c>
      <c r="AC88" s="109">
        <f t="shared" si="41"/>
        <v>891.908938322971</v>
      </c>
      <c r="AD88" s="9">
        <f t="shared" si="38"/>
        <v>4390193</v>
      </c>
      <c r="AE88" s="38">
        <f t="shared" si="40"/>
        <v>122060.090909091</v>
      </c>
      <c r="AF88" s="38">
        <f t="shared" si="40"/>
        <v>62378</v>
      </c>
      <c r="AG88" s="38">
        <f t="shared" si="39"/>
        <v>8859.90909090912</v>
      </c>
    </row>
    <row r="89" ht="15" customHeight="1" spans="1:33">
      <c r="A89" s="106">
        <v>42454</v>
      </c>
      <c r="B89" s="21" t="s">
        <v>37</v>
      </c>
      <c r="C89" s="74">
        <v>61958</v>
      </c>
      <c r="D89" s="75">
        <v>28820</v>
      </c>
      <c r="E89" s="75">
        <v>92188</v>
      </c>
      <c r="F89" s="74">
        <v>4636</v>
      </c>
      <c r="G89" s="75">
        <v>3054</v>
      </c>
      <c r="H89" s="25"/>
      <c r="I89" s="25"/>
      <c r="J89" s="74">
        <f t="shared" si="27"/>
        <v>63368</v>
      </c>
      <c r="K89" s="75">
        <f t="shared" si="36"/>
        <v>539.272727272727</v>
      </c>
      <c r="L89" s="75">
        <v>791</v>
      </c>
      <c r="M89" s="75">
        <f t="shared" si="43"/>
        <v>79.7272727272727</v>
      </c>
      <c r="N89" s="78">
        <f t="shared" si="29"/>
        <v>1563619</v>
      </c>
      <c r="O89" s="79">
        <f t="shared" si="30"/>
        <v>594471</v>
      </c>
      <c r="P89" s="79">
        <f t="shared" si="31"/>
        <v>2211368</v>
      </c>
      <c r="Q89" s="80">
        <f t="shared" si="32"/>
        <v>4258853</v>
      </c>
      <c r="R89" s="80">
        <f t="shared" si="33"/>
        <v>1957489</v>
      </c>
      <c r="S89" s="80">
        <f t="shared" si="34"/>
        <v>6411050</v>
      </c>
      <c r="T89" s="84">
        <f>N89/'2015'!M89-1</f>
        <v>0.192682740787637</v>
      </c>
      <c r="U89" s="84">
        <f>O89/'2015'!N89-1</f>
        <v>0.0843835676409266</v>
      </c>
      <c r="V89" s="84">
        <f>P89/'2015'!O89-1</f>
        <v>0.164232066386511</v>
      </c>
      <c r="W89" s="85">
        <f>Q89/'2015'!P89-1</f>
        <v>-0.0232886837701395</v>
      </c>
      <c r="X89" s="85">
        <f>R89/'2015'!Q89-1</f>
        <v>0.14239284645045</v>
      </c>
      <c r="Y89" s="85">
        <f>S89/'2015'!R89-1</f>
        <v>0.0382586670682985</v>
      </c>
      <c r="Z89" s="101">
        <f>Z$84+0.717*5</f>
        <v>43.1201</v>
      </c>
      <c r="AA89" s="101">
        <f t="shared" si="37"/>
        <v>382.7652</v>
      </c>
      <c r="AB89" s="110"/>
      <c r="AC89" s="109"/>
      <c r="AD89" s="74">
        <f t="shared" si="38"/>
        <v>4453561</v>
      </c>
      <c r="AE89" s="75">
        <f t="shared" si="40"/>
        <v>122599.363636364</v>
      </c>
      <c r="AF89" s="75">
        <f t="shared" si="40"/>
        <v>63169</v>
      </c>
      <c r="AG89" s="75">
        <f t="shared" si="39"/>
        <v>8939.6363636364</v>
      </c>
    </row>
    <row r="90" ht="15" customHeight="1" spans="1:33">
      <c r="A90" s="106">
        <v>42455</v>
      </c>
      <c r="B90" s="21" t="s">
        <v>38</v>
      </c>
      <c r="C90" s="9">
        <v>59928</v>
      </c>
      <c r="D90" s="38">
        <v>29264</v>
      </c>
      <c r="E90" s="38">
        <v>90569</v>
      </c>
      <c r="F90" s="9">
        <v>4535</v>
      </c>
      <c r="G90" s="38">
        <v>3066</v>
      </c>
      <c r="H90" s="25"/>
      <c r="I90" s="37"/>
      <c r="J90" s="9">
        <f t="shared" si="27"/>
        <v>61305</v>
      </c>
      <c r="K90" s="38">
        <f t="shared" si="36"/>
        <v>504.272727272727</v>
      </c>
      <c r="L90" s="38">
        <v>793</v>
      </c>
      <c r="M90" s="38">
        <f t="shared" si="43"/>
        <v>79.7272727272727</v>
      </c>
      <c r="N90" s="78">
        <f t="shared" si="29"/>
        <v>1623547</v>
      </c>
      <c r="O90" s="79">
        <f t="shared" si="30"/>
        <v>623735</v>
      </c>
      <c r="P90" s="79">
        <f t="shared" si="31"/>
        <v>2301937</v>
      </c>
      <c r="Q90" s="80">
        <f t="shared" si="32"/>
        <v>4318781</v>
      </c>
      <c r="R90" s="80">
        <f t="shared" si="33"/>
        <v>1986753</v>
      </c>
      <c r="S90" s="80">
        <f t="shared" si="34"/>
        <v>6501619</v>
      </c>
      <c r="T90" s="84">
        <f>N90/'2015'!M90-1</f>
        <v>0.182764843141583</v>
      </c>
      <c r="U90" s="84">
        <f>O90/'2015'!N90-1</f>
        <v>0.0852963387006407</v>
      </c>
      <c r="V90" s="84">
        <f>P90/'2015'!O90-1</f>
        <v>0.157063912692062</v>
      </c>
      <c r="W90" s="85">
        <f>Q90/'2015'!P90-1</f>
        <v>-0.0233558462093023</v>
      </c>
      <c r="X90" s="85">
        <f>R90/'2015'!Q90-1</f>
        <v>0.14181075653936</v>
      </c>
      <c r="Y90" s="85">
        <f>S90/'2015'!R90-1</f>
        <v>0.0377929119474809</v>
      </c>
      <c r="Z90" s="54">
        <f>Z$84+0.717*6</f>
        <v>43.8371</v>
      </c>
      <c r="AA90" s="101">
        <f t="shared" si="37"/>
        <v>388.041</v>
      </c>
      <c r="AB90" s="109"/>
      <c r="AC90" s="109"/>
      <c r="AD90" s="9">
        <f t="shared" si="38"/>
        <v>4514866</v>
      </c>
      <c r="AE90" s="38">
        <f t="shared" si="40"/>
        <v>123103.636363636</v>
      </c>
      <c r="AF90" s="38">
        <f t="shared" si="40"/>
        <v>63962</v>
      </c>
      <c r="AG90" s="38">
        <f t="shared" si="39"/>
        <v>9019.36363636368</v>
      </c>
    </row>
    <row r="91" ht="15" customHeight="1" spans="1:33">
      <c r="A91" s="106">
        <v>42456</v>
      </c>
      <c r="B91" s="21" t="s">
        <v>1</v>
      </c>
      <c r="C91" s="9">
        <v>55320</v>
      </c>
      <c r="D91" s="38">
        <v>29100</v>
      </c>
      <c r="E91" s="38">
        <v>85782</v>
      </c>
      <c r="F91" s="9">
        <v>4208</v>
      </c>
      <c r="G91" s="38">
        <v>2957</v>
      </c>
      <c r="H91" s="25"/>
      <c r="I91" s="37"/>
      <c r="J91" s="9">
        <f t="shared" si="27"/>
        <v>56682</v>
      </c>
      <c r="K91" s="38">
        <f t="shared" si="36"/>
        <v>491.272727272727</v>
      </c>
      <c r="L91" s="38">
        <v>791</v>
      </c>
      <c r="M91" s="38">
        <f t="shared" si="43"/>
        <v>79.7272727272727</v>
      </c>
      <c r="N91" s="78">
        <f t="shared" si="29"/>
        <v>1678867</v>
      </c>
      <c r="O91" s="79">
        <f t="shared" si="30"/>
        <v>652835</v>
      </c>
      <c r="P91" s="79">
        <f t="shared" si="31"/>
        <v>2387719</v>
      </c>
      <c r="Q91" s="80">
        <f t="shared" si="32"/>
        <v>4374101</v>
      </c>
      <c r="R91" s="80">
        <f t="shared" si="33"/>
        <v>2015853</v>
      </c>
      <c r="S91" s="80">
        <f t="shared" si="34"/>
        <v>6587401</v>
      </c>
      <c r="T91" s="84">
        <f>N91/'2015'!M91-1</f>
        <v>0.170555580345937</v>
      </c>
      <c r="U91" s="84">
        <f>O91/'2015'!N91-1</f>
        <v>0.0867433738509737</v>
      </c>
      <c r="V91" s="84">
        <f>P91/'2015'!O91-1</f>
        <v>0.148510008076111</v>
      </c>
      <c r="W91" s="85">
        <f>Q91/'2015'!P91-1</f>
        <v>-0.0244306020176914</v>
      </c>
      <c r="X91" s="85">
        <f>R91/'2015'!Q91-1</f>
        <v>0.141470565918503</v>
      </c>
      <c r="Y91" s="85">
        <f>S91/'2015'!R91-1</f>
        <v>0.0366743522045261</v>
      </c>
      <c r="Z91" s="54">
        <f>Z$84+0.717*7</f>
        <v>44.5541</v>
      </c>
      <c r="AA91" s="101">
        <f t="shared" si="37"/>
        <v>392.856</v>
      </c>
      <c r="AB91" s="109"/>
      <c r="AC91" s="109"/>
      <c r="AD91" s="9">
        <f t="shared" si="38"/>
        <v>4571548</v>
      </c>
      <c r="AE91" s="38">
        <f t="shared" si="40"/>
        <v>123594.909090909</v>
      </c>
      <c r="AF91" s="38">
        <f t="shared" si="40"/>
        <v>64753</v>
      </c>
      <c r="AG91" s="38">
        <f t="shared" si="39"/>
        <v>9099.09090909096</v>
      </c>
    </row>
    <row r="92" ht="15" customHeight="1" spans="1:33">
      <c r="A92" s="106">
        <v>42457</v>
      </c>
      <c r="B92" s="21" t="s">
        <v>39</v>
      </c>
      <c r="C92" s="9">
        <v>58730</v>
      </c>
      <c r="D92" s="38">
        <v>29545</v>
      </c>
      <c r="E92" s="38">
        <v>89432</v>
      </c>
      <c r="F92" s="9">
        <v>4576</v>
      </c>
      <c r="G92" s="38">
        <v>2889</v>
      </c>
      <c r="H92" s="25"/>
      <c r="I92" s="37"/>
      <c r="J92" s="9">
        <f t="shared" si="27"/>
        <v>59887</v>
      </c>
      <c r="K92" s="38">
        <f t="shared" si="36"/>
        <v>287.272727272727</v>
      </c>
      <c r="L92" s="38">
        <v>790</v>
      </c>
      <c r="M92" s="38">
        <f t="shared" si="43"/>
        <v>79.7272727272727</v>
      </c>
      <c r="N92" s="78">
        <f t="shared" si="29"/>
        <v>1737597</v>
      </c>
      <c r="O92" s="79">
        <f t="shared" si="30"/>
        <v>682380</v>
      </c>
      <c r="P92" s="79">
        <f t="shared" si="31"/>
        <v>2477151</v>
      </c>
      <c r="Q92" s="80">
        <f t="shared" si="32"/>
        <v>4432831</v>
      </c>
      <c r="R92" s="80">
        <f t="shared" si="33"/>
        <v>2045398</v>
      </c>
      <c r="S92" s="80">
        <f t="shared" si="34"/>
        <v>6676833</v>
      </c>
      <c r="T92" s="84">
        <f>N92/'2015'!M92-1</f>
        <v>0.164507784174301</v>
      </c>
      <c r="U92" s="84">
        <f>O92/'2015'!N92-1</f>
        <v>0.0894617352070581</v>
      </c>
      <c r="V92" s="84">
        <f>P92/'2015'!O92-1</f>
        <v>0.14351403477511</v>
      </c>
      <c r="W92" s="85">
        <f>Q92/'2015'!P92-1</f>
        <v>-0.0239325107161236</v>
      </c>
      <c r="X92" s="85">
        <f>R92/'2015'!Q92-1</f>
        <v>0.141638303358833</v>
      </c>
      <c r="Y92" s="85">
        <f>S92/'2015'!R92-1</f>
        <v>0.0365097451739849</v>
      </c>
      <c r="Z92" s="54">
        <f>Z$84+0.717*8</f>
        <v>45.2711</v>
      </c>
      <c r="AA92" s="101">
        <f t="shared" si="37"/>
        <v>398.012</v>
      </c>
      <c r="AB92" s="109"/>
      <c r="AC92" s="109"/>
      <c r="AD92" s="9">
        <f t="shared" si="38"/>
        <v>4631435</v>
      </c>
      <c r="AE92" s="38">
        <f t="shared" si="40"/>
        <v>123882.181818182</v>
      </c>
      <c r="AF92" s="38">
        <f t="shared" si="40"/>
        <v>65543</v>
      </c>
      <c r="AG92" s="38">
        <f t="shared" si="39"/>
        <v>9178.81818181823</v>
      </c>
    </row>
    <row r="93" ht="15" customHeight="1" spans="1:33">
      <c r="A93" s="106">
        <v>42458</v>
      </c>
      <c r="B93" s="21" t="s">
        <v>34</v>
      </c>
      <c r="C93" s="9">
        <v>60523</v>
      </c>
      <c r="D93" s="38">
        <v>28401</v>
      </c>
      <c r="E93" s="38">
        <v>91275</v>
      </c>
      <c r="F93" s="9">
        <v>4520</v>
      </c>
      <c r="G93" s="38">
        <v>2954</v>
      </c>
      <c r="H93" s="25"/>
      <c r="I93" s="37"/>
      <c r="J93" s="9">
        <f t="shared" si="27"/>
        <v>62874</v>
      </c>
      <c r="K93" s="38">
        <f t="shared" si="36"/>
        <v>1480.27272727273</v>
      </c>
      <c r="L93" s="38">
        <v>791</v>
      </c>
      <c r="M93" s="38">
        <f t="shared" si="43"/>
        <v>79.7272727272727</v>
      </c>
      <c r="N93" s="78">
        <f t="shared" si="29"/>
        <v>1798120</v>
      </c>
      <c r="O93" s="79">
        <f t="shared" si="30"/>
        <v>710781</v>
      </c>
      <c r="P93" s="79">
        <f t="shared" si="31"/>
        <v>2568426</v>
      </c>
      <c r="Q93" s="80">
        <f t="shared" si="32"/>
        <v>4493354</v>
      </c>
      <c r="R93" s="80">
        <f t="shared" si="33"/>
        <v>2073799</v>
      </c>
      <c r="S93" s="80">
        <f t="shared" si="34"/>
        <v>6768108</v>
      </c>
      <c r="T93" s="84">
        <f>N93/'2015'!M93-1</f>
        <v>0.163084179553206</v>
      </c>
      <c r="U93" s="84">
        <f>O93/'2015'!N93-1</f>
        <v>0.0881555056812788</v>
      </c>
      <c r="V93" s="84">
        <f>P93/'2015'!O93-1</f>
        <v>0.142191737204282</v>
      </c>
      <c r="W93" s="85">
        <f>Q93/'2015'!P93-1</f>
        <v>-0.0222027147241667</v>
      </c>
      <c r="X93" s="85">
        <f>R93/'2015'!Q93-1</f>
        <v>0.140398661303964</v>
      </c>
      <c r="Y93" s="85">
        <f>S93/'2015'!R93-1</f>
        <v>0.0374057911702357</v>
      </c>
      <c r="Z93" s="54">
        <f>Z$84+0.717*9</f>
        <v>45.9881</v>
      </c>
      <c r="AA93" s="101">
        <f t="shared" si="37"/>
        <v>403.3473</v>
      </c>
      <c r="AB93" s="109"/>
      <c r="AC93" s="109"/>
      <c r="AD93" s="9">
        <f t="shared" si="38"/>
        <v>4694309</v>
      </c>
      <c r="AE93" s="38">
        <f t="shared" si="40"/>
        <v>125362.454545454</v>
      </c>
      <c r="AF93" s="38">
        <f t="shared" si="40"/>
        <v>66334</v>
      </c>
      <c r="AG93" s="38">
        <f t="shared" si="39"/>
        <v>9258.54545454551</v>
      </c>
    </row>
    <row r="94" ht="15" customHeight="1" spans="1:33">
      <c r="A94" s="106">
        <v>42459</v>
      </c>
      <c r="B94" s="15" t="s">
        <v>35</v>
      </c>
      <c r="C94" s="33">
        <v>61093</v>
      </c>
      <c r="D94" s="34">
        <v>27989</v>
      </c>
      <c r="E94" s="34">
        <v>91731</v>
      </c>
      <c r="F94" s="33">
        <v>4658</v>
      </c>
      <c r="G94" s="34">
        <v>2977</v>
      </c>
      <c r="H94" s="20"/>
      <c r="I94" s="20"/>
      <c r="J94" s="33">
        <f t="shared" si="27"/>
        <v>63742</v>
      </c>
      <c r="K94" s="34">
        <f t="shared" si="36"/>
        <v>1777.27272727273</v>
      </c>
      <c r="L94" s="34">
        <v>792</v>
      </c>
      <c r="M94" s="34">
        <f t="shared" si="43"/>
        <v>79.7272727272727</v>
      </c>
      <c r="N94" s="81">
        <f t="shared" si="29"/>
        <v>1859213</v>
      </c>
      <c r="O94" s="82">
        <f t="shared" si="30"/>
        <v>738770</v>
      </c>
      <c r="P94" s="82">
        <f t="shared" si="31"/>
        <v>2660157</v>
      </c>
      <c r="Q94" s="81">
        <f t="shared" si="32"/>
        <v>4554447</v>
      </c>
      <c r="R94" s="81">
        <f t="shared" si="33"/>
        <v>2101788</v>
      </c>
      <c r="S94" s="81">
        <f t="shared" si="34"/>
        <v>6859839</v>
      </c>
      <c r="T94" s="86">
        <f>N94/'2015'!M94-1</f>
        <v>0.161029957261008</v>
      </c>
      <c r="U94" s="86">
        <f>O94/'2015'!N94-1</f>
        <v>0.087855080274537</v>
      </c>
      <c r="V94" s="86">
        <f>P94/'2015'!O94-1</f>
        <v>0.139723577646798</v>
      </c>
      <c r="W94" s="86">
        <f>Q94/'2015'!P94-1</f>
        <v>-0.0207046665056887</v>
      </c>
      <c r="X94" s="86">
        <f>R94/'2015'!Q94-1</f>
        <v>0.139554162747134</v>
      </c>
      <c r="Y94" s="86">
        <f>S94/'2015'!R94-1</f>
        <v>0.0378874107808167</v>
      </c>
      <c r="Z94" s="53">
        <f>Z$84+0.717*10</f>
        <v>46.7051</v>
      </c>
      <c r="AA94" s="53">
        <f t="shared" si="37"/>
        <v>408.7396</v>
      </c>
      <c r="AB94" s="34">
        <v>4230.1</v>
      </c>
      <c r="AC94" s="34">
        <f t="shared" si="41"/>
        <v>966.264627313775</v>
      </c>
      <c r="AD94" s="33">
        <f t="shared" si="38"/>
        <v>4758051</v>
      </c>
      <c r="AE94" s="34">
        <f t="shared" si="40"/>
        <v>127139.727272727</v>
      </c>
      <c r="AF94" s="34">
        <f t="shared" si="40"/>
        <v>67126</v>
      </c>
      <c r="AG94" s="34">
        <f t="shared" si="39"/>
        <v>9338.27272727279</v>
      </c>
    </row>
    <row r="95" s="1" customFormat="1" ht="15" customHeight="1" spans="1:33">
      <c r="A95" s="26">
        <v>42460</v>
      </c>
      <c r="B95" s="26" t="s">
        <v>36</v>
      </c>
      <c r="C95" s="43">
        <v>60360</v>
      </c>
      <c r="D95" s="44">
        <v>27037</v>
      </c>
      <c r="E95" s="44">
        <v>89796</v>
      </c>
      <c r="F95" s="43">
        <v>4583</v>
      </c>
      <c r="G95" s="44">
        <v>2973</v>
      </c>
      <c r="H95" s="31"/>
      <c r="I95" s="31"/>
      <c r="J95" s="43">
        <f t="shared" si="27"/>
        <v>62759</v>
      </c>
      <c r="K95" s="44">
        <f t="shared" si="36"/>
        <v>1527.27272727273</v>
      </c>
      <c r="L95" s="44">
        <v>792</v>
      </c>
      <c r="M95" s="44">
        <f t="shared" si="43"/>
        <v>79.7272727272727</v>
      </c>
      <c r="N95" s="91">
        <f t="shared" si="29"/>
        <v>1919573</v>
      </c>
      <c r="O95" s="92">
        <f t="shared" si="30"/>
        <v>765807</v>
      </c>
      <c r="P95" s="92">
        <f t="shared" si="31"/>
        <v>2749953</v>
      </c>
      <c r="Q95" s="91">
        <f t="shared" si="32"/>
        <v>4614807</v>
      </c>
      <c r="R95" s="91">
        <v>2128927</v>
      </c>
      <c r="S95" s="91">
        <v>6949159</v>
      </c>
      <c r="T95" s="93">
        <f>N95/'2015'!M95-1</f>
        <v>0.158015612557612</v>
      </c>
      <c r="U95" s="93">
        <f>O95/'2015'!N95-1</f>
        <v>0.0841642398956901</v>
      </c>
      <c r="V95" s="93">
        <f>P95/'2015'!O95-1</f>
        <v>0.136501540502508</v>
      </c>
      <c r="W95" s="93">
        <f>Q95/'2015'!P95-1</f>
        <v>-0.0195928176381247</v>
      </c>
      <c r="X95" s="93">
        <f>R95/'2015'!Q95-1</f>
        <v>0.137463033855245</v>
      </c>
      <c r="Y95" s="93">
        <f>S95/'2015'!R95-1</f>
        <v>0.0379542925201637</v>
      </c>
      <c r="Z95" s="56">
        <v>47.4257</v>
      </c>
      <c r="AA95" s="56">
        <f t="shared" si="37"/>
        <v>414.055</v>
      </c>
      <c r="AB95" s="44">
        <v>4230.1</v>
      </c>
      <c r="AC95" s="44">
        <f t="shared" si="41"/>
        <v>978.830287700054</v>
      </c>
      <c r="AD95" s="43">
        <f t="shared" si="38"/>
        <v>4820232</v>
      </c>
      <c r="AE95" s="44">
        <v>128091</v>
      </c>
      <c r="AF95" s="44">
        <v>67916</v>
      </c>
      <c r="AG95" s="44">
        <f t="shared" si="39"/>
        <v>9418</v>
      </c>
    </row>
    <row r="96" ht="15" customHeight="1" spans="1:33">
      <c r="A96" s="106">
        <v>42461</v>
      </c>
      <c r="B96" s="21" t="s">
        <v>37</v>
      </c>
      <c r="C96" s="74">
        <v>58528</v>
      </c>
      <c r="D96" s="75">
        <v>27589</v>
      </c>
      <c r="E96" s="75">
        <v>88149</v>
      </c>
      <c r="F96" s="74">
        <v>4412.7</v>
      </c>
      <c r="G96" s="75">
        <v>2974.7</v>
      </c>
      <c r="H96" s="25"/>
      <c r="I96" s="25"/>
      <c r="J96" s="74">
        <f t="shared" si="27"/>
        <v>60560</v>
      </c>
      <c r="K96" s="75">
        <f t="shared" si="36"/>
        <v>1135.9</v>
      </c>
      <c r="L96" s="75">
        <v>791</v>
      </c>
      <c r="M96" s="75">
        <f>(AG$105-AG$95)/10</f>
        <v>105.1</v>
      </c>
      <c r="N96" s="78">
        <f>C96</f>
        <v>58528</v>
      </c>
      <c r="O96" s="79">
        <f>D96</f>
        <v>27589</v>
      </c>
      <c r="P96" s="79">
        <f>E96</f>
        <v>88149</v>
      </c>
      <c r="Q96" s="80">
        <f>N96+Q$95</f>
        <v>4673335</v>
      </c>
      <c r="R96" s="80">
        <f>O96+R$95</f>
        <v>2156516</v>
      </c>
      <c r="S96" s="80">
        <f>P96+S$95</f>
        <v>7037308</v>
      </c>
      <c r="T96" s="84">
        <f>N96/'2015'!M96-1</f>
        <v>0.0331691645042278</v>
      </c>
      <c r="U96" s="84">
        <f>O96/'2015'!N96-1</f>
        <v>0.0148984696880519</v>
      </c>
      <c r="V96" s="84">
        <f>P96/'2015'!O96-1</f>
        <v>0.0290687493433264</v>
      </c>
      <c r="W96" s="85">
        <f>Q96/'2015'!P96-1</f>
        <v>-0.0189653797064454</v>
      </c>
      <c r="X96" s="85">
        <f>R96/'2015'!Q96-1</f>
        <v>0.135708376057033</v>
      </c>
      <c r="Y96" s="85">
        <f>S96/'2015'!R96-1</f>
        <v>0.0378420437263816</v>
      </c>
      <c r="Z96" s="101">
        <f>Z$95+0.532*1</f>
        <v>47.9577</v>
      </c>
      <c r="AA96" s="101">
        <f t="shared" si="37"/>
        <v>419.3758</v>
      </c>
      <c r="AB96" s="110"/>
      <c r="AC96" s="109"/>
      <c r="AD96" s="74">
        <f t="shared" si="38"/>
        <v>4880792</v>
      </c>
      <c r="AE96" s="75">
        <f t="shared" si="40"/>
        <v>129226.9</v>
      </c>
      <c r="AF96" s="75">
        <f t="shared" si="40"/>
        <v>68707</v>
      </c>
      <c r="AG96" s="75">
        <f t="shared" si="39"/>
        <v>9523.10000000001</v>
      </c>
    </row>
    <row r="97" ht="15" customHeight="1" spans="1:33">
      <c r="A97" s="14">
        <v>42462</v>
      </c>
      <c r="B97" s="21" t="s">
        <v>38</v>
      </c>
      <c r="C97" s="9">
        <v>60328</v>
      </c>
      <c r="D97" s="38">
        <v>24654</v>
      </c>
      <c r="E97" s="38">
        <v>86905</v>
      </c>
      <c r="F97" s="9">
        <v>4384.4</v>
      </c>
      <c r="G97" s="38">
        <v>2899.7</v>
      </c>
      <c r="H97" s="25"/>
      <c r="I97" s="37"/>
      <c r="J97" s="9">
        <f t="shared" si="27"/>
        <v>62251</v>
      </c>
      <c r="K97" s="38">
        <f t="shared" si="36"/>
        <v>1026.9</v>
      </c>
      <c r="L97" s="38">
        <v>791</v>
      </c>
      <c r="M97" s="38">
        <f t="shared" ref="M97:M105" si="44">(AG$105-AG$95)/10</f>
        <v>105.1</v>
      </c>
      <c r="N97" s="78">
        <f t="shared" ref="N97:N125" si="45">N96+C97</f>
        <v>118856</v>
      </c>
      <c r="O97" s="79">
        <f t="shared" ref="O97:O125" si="46">O96+D97</f>
        <v>52243</v>
      </c>
      <c r="P97" s="79">
        <f t="shared" ref="P97:P125" si="47">P96+E97</f>
        <v>175054</v>
      </c>
      <c r="Q97" s="80">
        <f t="shared" ref="Q97:S125" si="48">N97+Q$95</f>
        <v>4733663</v>
      </c>
      <c r="R97" s="80">
        <f t="shared" si="48"/>
        <v>2181170</v>
      </c>
      <c r="S97" s="80">
        <f t="shared" si="48"/>
        <v>7124213</v>
      </c>
      <c r="T97" s="84">
        <f>N97/'2015'!M97-1</f>
        <v>0.011781530918006</v>
      </c>
      <c r="U97" s="84">
        <f>O97/'2015'!N97-1</f>
        <v>-0.00354765492380171</v>
      </c>
      <c r="V97" s="84">
        <f>P97/'2015'!O97-1</f>
        <v>0.0104243627632066</v>
      </c>
      <c r="W97" s="85">
        <f>Q97/'2015'!P97-1</f>
        <v>-0.0188288824776355</v>
      </c>
      <c r="X97" s="85">
        <f>R97/'2015'!Q97-1</f>
        <v>0.133620640370381</v>
      </c>
      <c r="Y97" s="85">
        <f>S97/'2015'!R97-1</f>
        <v>0.0372598696533539</v>
      </c>
      <c r="Z97" s="54">
        <f>Z$95+0.532*2</f>
        <v>48.4897</v>
      </c>
      <c r="AA97" s="101">
        <f t="shared" si="37"/>
        <v>424.8766</v>
      </c>
      <c r="AB97" s="109"/>
      <c r="AC97" s="109"/>
      <c r="AD97" s="9">
        <f t="shared" si="38"/>
        <v>4943043</v>
      </c>
      <c r="AE97" s="38">
        <f t="shared" si="40"/>
        <v>130253.8</v>
      </c>
      <c r="AF97" s="38">
        <f t="shared" si="40"/>
        <v>69498</v>
      </c>
      <c r="AG97" s="38">
        <f t="shared" si="39"/>
        <v>9628.20000000001</v>
      </c>
    </row>
    <row r="98" ht="15" customHeight="1" spans="1:33">
      <c r="A98" s="14">
        <v>42463</v>
      </c>
      <c r="B98" s="21" t="s">
        <v>1</v>
      </c>
      <c r="C98" s="9">
        <v>55573</v>
      </c>
      <c r="D98" s="38">
        <v>22266</v>
      </c>
      <c r="E98" s="38">
        <v>79777</v>
      </c>
      <c r="F98" s="9">
        <v>3965.5</v>
      </c>
      <c r="G98" s="38">
        <v>2856.1</v>
      </c>
      <c r="H98" s="25"/>
      <c r="I98" s="37"/>
      <c r="J98" s="9">
        <f t="shared" si="27"/>
        <v>57511</v>
      </c>
      <c r="K98" s="38">
        <f t="shared" si="36"/>
        <v>1039.9</v>
      </c>
      <c r="L98" s="38">
        <v>793</v>
      </c>
      <c r="M98" s="38">
        <f t="shared" si="44"/>
        <v>105.1</v>
      </c>
      <c r="N98" s="78">
        <f t="shared" si="45"/>
        <v>174429</v>
      </c>
      <c r="O98" s="79">
        <f t="shared" si="46"/>
        <v>74509</v>
      </c>
      <c r="P98" s="79">
        <f t="shared" si="47"/>
        <v>254831</v>
      </c>
      <c r="Q98" s="80">
        <f t="shared" si="48"/>
        <v>4789236</v>
      </c>
      <c r="R98" s="80">
        <f t="shared" si="48"/>
        <v>2203436</v>
      </c>
      <c r="S98" s="80">
        <f t="shared" si="48"/>
        <v>7203990</v>
      </c>
      <c r="T98" s="84">
        <f>N98/'2015'!M98-1</f>
        <v>-0.0154932439296962</v>
      </c>
      <c r="U98" s="84">
        <f>O98/'2015'!N98-1</f>
        <v>-0.0466752818045728</v>
      </c>
      <c r="V98" s="84">
        <f>P98/'2015'!O98-1</f>
        <v>-0.0213562628652186</v>
      </c>
      <c r="W98" s="85">
        <f>Q98/'2015'!P98-1</f>
        <v>-0.0194441060520596</v>
      </c>
      <c r="X98" s="85">
        <f>R98/'2015'!Q98-1</f>
        <v>0.130081926267385</v>
      </c>
      <c r="Y98" s="85">
        <f>S98/'2015'!R98-1</f>
        <v>0.035733874683791</v>
      </c>
      <c r="Z98" s="54">
        <f>Z$95+0.532*3</f>
        <v>49.0217</v>
      </c>
      <c r="AA98" s="101">
        <f t="shared" si="37"/>
        <v>429.9019</v>
      </c>
      <c r="AB98" s="109"/>
      <c r="AC98" s="109"/>
      <c r="AD98" s="9">
        <f t="shared" si="38"/>
        <v>5000554</v>
      </c>
      <c r="AE98" s="38">
        <f t="shared" si="40"/>
        <v>131293.7</v>
      </c>
      <c r="AF98" s="38">
        <f t="shared" si="40"/>
        <v>70291</v>
      </c>
      <c r="AG98" s="38">
        <f t="shared" si="39"/>
        <v>9733.30000000002</v>
      </c>
    </row>
    <row r="99" ht="15" customHeight="1" spans="1:33">
      <c r="A99" s="14">
        <v>42464</v>
      </c>
      <c r="B99" s="21" t="s">
        <v>39</v>
      </c>
      <c r="C99" s="9">
        <v>43339</v>
      </c>
      <c r="D99" s="38">
        <v>22172</v>
      </c>
      <c r="E99" s="38">
        <v>67505</v>
      </c>
      <c r="F99" s="9">
        <v>3042</v>
      </c>
      <c r="G99" s="38">
        <v>2522</v>
      </c>
      <c r="H99" s="25"/>
      <c r="I99" s="37"/>
      <c r="J99" s="9">
        <f t="shared" si="27"/>
        <v>45333</v>
      </c>
      <c r="K99" s="38">
        <f t="shared" si="36"/>
        <v>1099.9</v>
      </c>
      <c r="L99" s="38">
        <v>789</v>
      </c>
      <c r="M99" s="38">
        <f t="shared" si="44"/>
        <v>105.1</v>
      </c>
      <c r="N99" s="78">
        <f t="shared" si="45"/>
        <v>217768</v>
      </c>
      <c r="O99" s="79">
        <f t="shared" si="46"/>
        <v>96681</v>
      </c>
      <c r="P99" s="79">
        <f t="shared" si="47"/>
        <v>322336</v>
      </c>
      <c r="Q99" s="80">
        <f t="shared" si="48"/>
        <v>4832575</v>
      </c>
      <c r="R99" s="80">
        <f t="shared" si="48"/>
        <v>2225608</v>
      </c>
      <c r="S99" s="80">
        <f t="shared" si="48"/>
        <v>7271495</v>
      </c>
      <c r="T99" s="84">
        <f>N99/'2015'!M99-1</f>
        <v>-0.06638714185884</v>
      </c>
      <c r="U99" s="84">
        <f>O99/'2015'!N99-1</f>
        <v>-0.0509374693236477</v>
      </c>
      <c r="V99" s="84">
        <f>P99/'2015'!O99-1</f>
        <v>-0.0557438518887408</v>
      </c>
      <c r="W99" s="85">
        <f>Q99/'2015'!P99-1</f>
        <v>-0.0218021878904128</v>
      </c>
      <c r="X99" s="85">
        <f>R99/'2015'!Q99-1</f>
        <v>0.127738071410656</v>
      </c>
      <c r="Y99" s="85">
        <f>S99/'2015'!R99-1</f>
        <v>0.0334086178507302</v>
      </c>
      <c r="Z99" s="54">
        <f>Z$95+0.532*4</f>
        <v>49.5537</v>
      </c>
      <c r="AA99" s="101">
        <f t="shared" si="37"/>
        <v>433.7038</v>
      </c>
      <c r="AB99" s="109"/>
      <c r="AC99" s="109"/>
      <c r="AD99" s="9">
        <f t="shared" si="38"/>
        <v>5045887</v>
      </c>
      <c r="AE99" s="38">
        <f t="shared" si="40"/>
        <v>132393.6</v>
      </c>
      <c r="AF99" s="38">
        <f t="shared" si="40"/>
        <v>71080</v>
      </c>
      <c r="AG99" s="38">
        <f t="shared" si="39"/>
        <v>9838.40000000002</v>
      </c>
    </row>
    <row r="100" ht="15" customHeight="1" spans="1:33">
      <c r="A100" s="106">
        <v>42465</v>
      </c>
      <c r="B100" s="21" t="s">
        <v>34</v>
      </c>
      <c r="C100" s="9">
        <v>54798</v>
      </c>
      <c r="D100" s="38">
        <v>25652</v>
      </c>
      <c r="E100" s="38">
        <v>82214</v>
      </c>
      <c r="F100" s="9">
        <v>4259.9</v>
      </c>
      <c r="G100" s="38">
        <v>2368.6</v>
      </c>
      <c r="H100" s="25"/>
      <c r="I100" s="37"/>
      <c r="J100" s="9">
        <f t="shared" si="27"/>
        <v>56562</v>
      </c>
      <c r="K100" s="38">
        <f t="shared" si="36"/>
        <v>865.9</v>
      </c>
      <c r="L100" s="38">
        <v>793</v>
      </c>
      <c r="M100" s="38">
        <f t="shared" si="44"/>
        <v>105.1</v>
      </c>
      <c r="N100" s="78">
        <f t="shared" si="45"/>
        <v>272566</v>
      </c>
      <c r="O100" s="79">
        <f t="shared" si="46"/>
        <v>122333</v>
      </c>
      <c r="P100" s="79">
        <f t="shared" si="47"/>
        <v>404550</v>
      </c>
      <c r="Q100" s="80">
        <f t="shared" si="48"/>
        <v>4887373</v>
      </c>
      <c r="R100" s="80">
        <f t="shared" si="48"/>
        <v>2251260</v>
      </c>
      <c r="S100" s="80">
        <f t="shared" si="48"/>
        <v>7353709</v>
      </c>
      <c r="T100" s="84">
        <f>N100/'2015'!M100-1</f>
        <v>-0.0133143163290425</v>
      </c>
      <c r="U100" s="84">
        <f>O100/'2015'!N100-1</f>
        <v>-0.0166236605815065</v>
      </c>
      <c r="V100" s="84">
        <f>P100/'2015'!O100-1</f>
        <v>-0.009376094265376</v>
      </c>
      <c r="W100" s="85">
        <f>Q100/'2015'!P100-1</f>
        <v>-0.0192447737682548</v>
      </c>
      <c r="X100" s="85">
        <f>R100/'2015'!Q100-1</f>
        <v>0.127859778782653</v>
      </c>
      <c r="Y100" s="85">
        <f>S100/'2015'!R100-1</f>
        <v>0.0352332506315258</v>
      </c>
      <c r="Z100" s="54">
        <f>Z$95+0.532*5</f>
        <v>50.0857</v>
      </c>
      <c r="AA100" s="101">
        <f t="shared" si="37"/>
        <v>438.6516</v>
      </c>
      <c r="AB100" s="109"/>
      <c r="AC100" s="109"/>
      <c r="AD100" s="9">
        <f t="shared" si="38"/>
        <v>5102449</v>
      </c>
      <c r="AE100" s="38">
        <f t="shared" si="40"/>
        <v>133259.5</v>
      </c>
      <c r="AF100" s="38">
        <f t="shared" si="40"/>
        <v>71873</v>
      </c>
      <c r="AG100" s="38">
        <f t="shared" si="39"/>
        <v>9943.50000000003</v>
      </c>
    </row>
    <row r="101" ht="15" customHeight="1" spans="1:33">
      <c r="A101" s="106">
        <v>42466</v>
      </c>
      <c r="B101" s="15" t="s">
        <v>35</v>
      </c>
      <c r="C101" s="33">
        <v>58450</v>
      </c>
      <c r="D101" s="34">
        <v>26727</v>
      </c>
      <c r="E101" s="34">
        <v>86809</v>
      </c>
      <c r="F101" s="33">
        <v>4407.5</v>
      </c>
      <c r="G101" s="34">
        <v>2844.3</v>
      </c>
      <c r="H101" s="20"/>
      <c r="I101" s="20"/>
      <c r="J101" s="33">
        <f t="shared" si="27"/>
        <v>60082</v>
      </c>
      <c r="K101" s="34">
        <f t="shared" si="36"/>
        <v>733.9</v>
      </c>
      <c r="L101" s="34">
        <v>793</v>
      </c>
      <c r="M101" s="34">
        <f t="shared" si="44"/>
        <v>105.1</v>
      </c>
      <c r="N101" s="81">
        <f t="shared" si="45"/>
        <v>331016</v>
      </c>
      <c r="O101" s="82">
        <f t="shared" si="46"/>
        <v>149060</v>
      </c>
      <c r="P101" s="82">
        <f t="shared" si="47"/>
        <v>491359</v>
      </c>
      <c r="Q101" s="81">
        <f t="shared" si="48"/>
        <v>4945823</v>
      </c>
      <c r="R101" s="81">
        <f t="shared" si="48"/>
        <v>2277987</v>
      </c>
      <c r="S101" s="81">
        <f t="shared" si="48"/>
        <v>7440518</v>
      </c>
      <c r="T101" s="86">
        <f>N101/'2015'!M101-1</f>
        <v>0.00285694376698498</v>
      </c>
      <c r="U101" s="86">
        <f>O101/'2015'!N101-1</f>
        <v>0.0121201833305042</v>
      </c>
      <c r="V101" s="86">
        <f>P101/'2015'!O101-1</f>
        <v>0.00891757149662431</v>
      </c>
      <c r="W101" s="86">
        <f>Q101/'2015'!P101-1</f>
        <v>-0.0181217223229856</v>
      </c>
      <c r="X101" s="86">
        <f>R101/'2015'!Q101-1</f>
        <v>0.128319596616012</v>
      </c>
      <c r="Y101" s="86">
        <f>S101/'2015'!R101-1</f>
        <v>0.0359853128673646</v>
      </c>
      <c r="Z101" s="53">
        <f>Z$95+0.532*6</f>
        <v>50.6177</v>
      </c>
      <c r="AA101" s="53">
        <f t="shared" si="37"/>
        <v>443.9646</v>
      </c>
      <c r="AB101" s="34">
        <v>4230.1</v>
      </c>
      <c r="AC101" s="34">
        <f t="shared" si="41"/>
        <v>1049.53689038084</v>
      </c>
      <c r="AD101" s="33">
        <f t="shared" si="38"/>
        <v>5162531</v>
      </c>
      <c r="AE101" s="34">
        <f t="shared" si="40"/>
        <v>133993.4</v>
      </c>
      <c r="AF101" s="34">
        <f t="shared" si="40"/>
        <v>72666</v>
      </c>
      <c r="AG101" s="34">
        <f t="shared" si="39"/>
        <v>10048.6</v>
      </c>
    </row>
    <row r="102" ht="15" customHeight="1" spans="1:33">
      <c r="A102" s="106">
        <v>42467</v>
      </c>
      <c r="B102" s="21" t="s">
        <v>36</v>
      </c>
      <c r="C102" s="9">
        <v>58249</v>
      </c>
      <c r="D102" s="38">
        <v>27226</v>
      </c>
      <c r="E102" s="38">
        <v>87732</v>
      </c>
      <c r="F102" s="9">
        <v>4479</v>
      </c>
      <c r="G102" s="38">
        <v>2896</v>
      </c>
      <c r="H102" s="25"/>
      <c r="I102" s="37"/>
      <c r="J102" s="9">
        <f t="shared" si="27"/>
        <v>60506</v>
      </c>
      <c r="K102" s="38">
        <f t="shared" si="36"/>
        <v>1358.9</v>
      </c>
      <c r="L102" s="38">
        <v>793</v>
      </c>
      <c r="M102" s="38">
        <f t="shared" si="44"/>
        <v>105.1</v>
      </c>
      <c r="N102" s="78">
        <f t="shared" si="45"/>
        <v>389265</v>
      </c>
      <c r="O102" s="79">
        <f t="shared" si="46"/>
        <v>176286</v>
      </c>
      <c r="P102" s="79">
        <f t="shared" si="47"/>
        <v>579091</v>
      </c>
      <c r="Q102" s="80">
        <f t="shared" si="48"/>
        <v>5004072</v>
      </c>
      <c r="R102" s="80">
        <f t="shared" si="48"/>
        <v>2305213</v>
      </c>
      <c r="S102" s="80">
        <f t="shared" si="48"/>
        <v>7528250</v>
      </c>
      <c r="T102" s="84">
        <f>N102/'2015'!M102-1</f>
        <v>-0.00226068635668097</v>
      </c>
      <c r="U102" s="84">
        <f>O102/'2015'!N102-1</f>
        <v>0.0223626979063969</v>
      </c>
      <c r="V102" s="84">
        <f>P102/'2015'!O102-1</f>
        <v>0.00851618161584522</v>
      </c>
      <c r="W102" s="85">
        <f>Q102/'2015'!P102-1</f>
        <v>-0.0182661857208047</v>
      </c>
      <c r="X102" s="85">
        <f>R102/'2015'!Q102-1</f>
        <v>0.127753629392268</v>
      </c>
      <c r="Y102" s="85">
        <f>S102/'2015'!R102-1</f>
        <v>0.0356289655032003</v>
      </c>
      <c r="Z102" s="54">
        <f>Z$95+0.532*7</f>
        <v>51.1497</v>
      </c>
      <c r="AA102" s="101">
        <f t="shared" si="37"/>
        <v>449.2575</v>
      </c>
      <c r="AB102" s="109">
        <v>4230.1</v>
      </c>
      <c r="AC102" s="109">
        <f t="shared" si="41"/>
        <v>1062.04936053521</v>
      </c>
      <c r="AD102" s="9">
        <f t="shared" si="38"/>
        <v>5223037</v>
      </c>
      <c r="AE102" s="38">
        <f t="shared" si="40"/>
        <v>135352.3</v>
      </c>
      <c r="AF102" s="38">
        <f t="shared" si="40"/>
        <v>73459</v>
      </c>
      <c r="AG102" s="38">
        <f t="shared" si="39"/>
        <v>10153.7</v>
      </c>
    </row>
    <row r="103" ht="15" customHeight="1" spans="1:33">
      <c r="A103" s="106">
        <v>42468</v>
      </c>
      <c r="B103" s="21" t="s">
        <v>37</v>
      </c>
      <c r="C103" s="74">
        <v>56458</v>
      </c>
      <c r="D103" s="75">
        <v>27375</v>
      </c>
      <c r="E103" s="75">
        <v>86125</v>
      </c>
      <c r="F103" s="74">
        <v>4376.6</v>
      </c>
      <c r="G103" s="75">
        <v>2883.8</v>
      </c>
      <c r="H103" s="25"/>
      <c r="I103" s="25"/>
      <c r="J103" s="74">
        <f t="shared" si="27"/>
        <v>58750</v>
      </c>
      <c r="K103" s="75">
        <f t="shared" si="36"/>
        <v>1395.9</v>
      </c>
      <c r="L103" s="75">
        <v>791</v>
      </c>
      <c r="M103" s="75">
        <f t="shared" si="44"/>
        <v>105.1</v>
      </c>
      <c r="N103" s="78">
        <f t="shared" si="45"/>
        <v>445723</v>
      </c>
      <c r="O103" s="79">
        <f t="shared" si="46"/>
        <v>203661</v>
      </c>
      <c r="P103" s="79">
        <f t="shared" si="47"/>
        <v>665216</v>
      </c>
      <c r="Q103" s="80">
        <f t="shared" si="48"/>
        <v>5060530</v>
      </c>
      <c r="R103" s="80">
        <f t="shared" si="48"/>
        <v>2332588</v>
      </c>
      <c r="S103" s="80">
        <f t="shared" si="48"/>
        <v>7614375</v>
      </c>
      <c r="T103" s="84">
        <f>N103/'2015'!M103-1</f>
        <v>-0.0121956624839881</v>
      </c>
      <c r="U103" s="84">
        <f>O103/'2015'!N103-1</f>
        <v>0.0292822956834642</v>
      </c>
      <c r="V103" s="84">
        <f>P103/'2015'!O103-1</f>
        <v>0.00442103737346899</v>
      </c>
      <c r="W103" s="85">
        <f>Q103/'2015'!P103-1</f>
        <v>-0.0189457407802675</v>
      </c>
      <c r="X103" s="85">
        <f>R103/'2015'!Q103-1</f>
        <v>0.127119823417308</v>
      </c>
      <c r="Y103" s="85">
        <f>S103/'2015'!R103-1</f>
        <v>0.0349357193040258</v>
      </c>
      <c r="Z103" s="101">
        <f>Z$95+0.532*8</f>
        <v>51.6817</v>
      </c>
      <c r="AA103" s="101">
        <f t="shared" si="37"/>
        <v>454.3713</v>
      </c>
      <c r="AB103" s="110"/>
      <c r="AC103" s="109"/>
      <c r="AD103" s="74">
        <f t="shared" si="38"/>
        <v>5281787</v>
      </c>
      <c r="AE103" s="75">
        <f t="shared" si="40"/>
        <v>136748.2</v>
      </c>
      <c r="AF103" s="75">
        <f t="shared" si="40"/>
        <v>74250</v>
      </c>
      <c r="AG103" s="75">
        <f t="shared" si="39"/>
        <v>10258.8</v>
      </c>
    </row>
    <row r="104" ht="15" customHeight="1" spans="1:33">
      <c r="A104" s="106">
        <v>42469</v>
      </c>
      <c r="B104" s="21" t="s">
        <v>38</v>
      </c>
      <c r="C104" s="9">
        <v>54567</v>
      </c>
      <c r="D104" s="38">
        <v>27505</v>
      </c>
      <c r="E104" s="38">
        <v>84352</v>
      </c>
      <c r="F104" s="9">
        <v>4268.4</v>
      </c>
      <c r="G104" s="38">
        <v>2820.2</v>
      </c>
      <c r="H104" s="25"/>
      <c r="I104" s="37"/>
      <c r="J104" s="9">
        <f t="shared" si="27"/>
        <v>56847</v>
      </c>
      <c r="K104" s="38">
        <f t="shared" si="36"/>
        <v>1383.9</v>
      </c>
      <c r="L104" s="38">
        <v>791</v>
      </c>
      <c r="M104" s="38">
        <f t="shared" si="44"/>
        <v>105.1</v>
      </c>
      <c r="N104" s="78">
        <f t="shared" si="45"/>
        <v>500290</v>
      </c>
      <c r="O104" s="79">
        <f t="shared" si="46"/>
        <v>231166</v>
      </c>
      <c r="P104" s="79">
        <f t="shared" si="47"/>
        <v>749568</v>
      </c>
      <c r="Q104" s="80">
        <f t="shared" si="48"/>
        <v>5115097</v>
      </c>
      <c r="R104" s="80">
        <f t="shared" si="48"/>
        <v>2360093</v>
      </c>
      <c r="S104" s="80">
        <f t="shared" si="48"/>
        <v>7698727</v>
      </c>
      <c r="T104" s="84">
        <f>N104/'2015'!M104-1</f>
        <v>-0.0249753948996794</v>
      </c>
      <c r="U104" s="84">
        <f>O104/'2015'!N104-1</f>
        <v>0.0306291685986375</v>
      </c>
      <c r="V104" s="84">
        <f>P104/'2015'!O104-1</f>
        <v>-0.00318234589293864</v>
      </c>
      <c r="W104" s="85">
        <f>Q104/'2015'!P104-1</f>
        <v>-0.0201218895446402</v>
      </c>
      <c r="X104" s="85">
        <f>R104/'2015'!Q104-1</f>
        <v>0.126030265164907</v>
      </c>
      <c r="Y104" s="85">
        <f>S104/'2015'!R104-1</f>
        <v>0.0338005272985924</v>
      </c>
      <c r="Z104" s="54">
        <f>Z$95+0.532*9</f>
        <v>52.2137</v>
      </c>
      <c r="AA104" s="101">
        <f t="shared" si="37"/>
        <v>459.296</v>
      </c>
      <c r="AB104" s="109"/>
      <c r="AC104" s="109"/>
      <c r="AD104" s="9">
        <f t="shared" si="38"/>
        <v>5338634</v>
      </c>
      <c r="AE104" s="38">
        <f t="shared" si="40"/>
        <v>138132.1</v>
      </c>
      <c r="AF104" s="38">
        <f t="shared" si="40"/>
        <v>75041</v>
      </c>
      <c r="AG104" s="38">
        <f t="shared" si="39"/>
        <v>10363.9000000001</v>
      </c>
    </row>
    <row r="105" ht="15" customHeight="1" spans="1:33">
      <c r="A105" s="106">
        <v>42470</v>
      </c>
      <c r="B105" s="21" t="s">
        <v>1</v>
      </c>
      <c r="C105" s="9">
        <v>51825</v>
      </c>
      <c r="D105" s="38">
        <v>26847</v>
      </c>
      <c r="E105" s="38">
        <v>80278</v>
      </c>
      <c r="F105" s="9">
        <v>4012.4</v>
      </c>
      <c r="G105" s="38">
        <v>2757.4</v>
      </c>
      <c r="H105" s="25"/>
      <c r="I105" s="37"/>
      <c r="J105" s="9">
        <f t="shared" si="27"/>
        <v>53431</v>
      </c>
      <c r="K105" s="38">
        <f t="shared" si="36"/>
        <v>709.9</v>
      </c>
      <c r="L105" s="38">
        <v>791</v>
      </c>
      <c r="M105" s="38">
        <f t="shared" si="44"/>
        <v>105.1</v>
      </c>
      <c r="N105" s="78">
        <f t="shared" si="45"/>
        <v>552115</v>
      </c>
      <c r="O105" s="79">
        <f t="shared" si="46"/>
        <v>258013</v>
      </c>
      <c r="P105" s="79">
        <f t="shared" si="47"/>
        <v>829846</v>
      </c>
      <c r="Q105" s="80">
        <f t="shared" si="48"/>
        <v>5166922</v>
      </c>
      <c r="R105" s="80">
        <f t="shared" si="48"/>
        <v>2386940</v>
      </c>
      <c r="S105" s="80">
        <f t="shared" si="48"/>
        <v>7779005</v>
      </c>
      <c r="T105" s="84">
        <f>N105/'2015'!M105-1</f>
        <v>-0.0397649305452895</v>
      </c>
      <c r="U105" s="84">
        <f>O105/'2015'!N105-1</f>
        <v>0.0307697224652532</v>
      </c>
      <c r="V105" s="84">
        <f>P105/'2015'!O105-1</f>
        <v>-0.0138572822329464</v>
      </c>
      <c r="W105" s="85">
        <f>Q105/'2015'!P105-1</f>
        <v>-0.0217886751444999</v>
      </c>
      <c r="X105" s="85">
        <f>R105/'2015'!Q105-1</f>
        <v>0.124877235908756</v>
      </c>
      <c r="Y105" s="85">
        <f>S105/'2015'!R105-1</f>
        <v>0.0321691859415967</v>
      </c>
      <c r="Z105" s="54">
        <v>52.7455</v>
      </c>
      <c r="AA105" s="101">
        <f t="shared" si="37"/>
        <v>463.9467</v>
      </c>
      <c r="AB105" s="109">
        <v>4230.1</v>
      </c>
      <c r="AC105" s="109">
        <f t="shared" si="41"/>
        <v>1096.77478073804</v>
      </c>
      <c r="AD105" s="9">
        <f t="shared" si="38"/>
        <v>5392065</v>
      </c>
      <c r="AE105" s="38">
        <v>138914</v>
      </c>
      <c r="AF105" s="38">
        <v>75760</v>
      </c>
      <c r="AG105" s="38">
        <f t="shared" si="39"/>
        <v>10469</v>
      </c>
    </row>
    <row r="106" ht="15" customHeight="1" spans="1:33">
      <c r="A106" s="106">
        <v>42471</v>
      </c>
      <c r="B106" s="21" t="s">
        <v>39</v>
      </c>
      <c r="C106" s="9">
        <v>55777</v>
      </c>
      <c r="D106" s="38">
        <v>25902</v>
      </c>
      <c r="E106" s="38">
        <v>84180</v>
      </c>
      <c r="F106" s="9">
        <v>4356</v>
      </c>
      <c r="G106" s="38">
        <v>2653</v>
      </c>
      <c r="H106" s="25"/>
      <c r="I106" s="37"/>
      <c r="J106" s="9">
        <f t="shared" si="27"/>
        <v>58278</v>
      </c>
      <c r="K106" s="38">
        <f t="shared" si="36"/>
        <v>1550</v>
      </c>
      <c r="L106" s="38">
        <v>791</v>
      </c>
      <c r="M106" s="38">
        <f>(AG$115-AG$105)/10</f>
        <v>160</v>
      </c>
      <c r="N106" s="78">
        <f t="shared" si="45"/>
        <v>607892</v>
      </c>
      <c r="O106" s="79">
        <f t="shared" si="46"/>
        <v>283915</v>
      </c>
      <c r="P106" s="79">
        <f t="shared" si="47"/>
        <v>914026</v>
      </c>
      <c r="Q106" s="80">
        <f t="shared" si="48"/>
        <v>5222699</v>
      </c>
      <c r="R106" s="80">
        <f t="shared" si="48"/>
        <v>2412842</v>
      </c>
      <c r="S106" s="80">
        <f t="shared" si="48"/>
        <v>7863185</v>
      </c>
      <c r="T106" s="84">
        <f>N106/'2015'!M106-1</f>
        <v>-0.0430529515569681</v>
      </c>
      <c r="U106" s="84">
        <f>O106/'2015'!N106-1</f>
        <v>0.0276870841869792</v>
      </c>
      <c r="V106" s="84">
        <f>P106/'2015'!O106-1</f>
        <v>-0.0167407496654431</v>
      </c>
      <c r="W106" s="85">
        <f>Q106/'2015'!P106-1</f>
        <v>-0.0223824245564433</v>
      </c>
      <c r="X106" s="85">
        <f>R106/'2015'!Q106-1</f>
        <v>0.123343564980113</v>
      </c>
      <c r="Y106" s="85">
        <f>S106/'2015'!R106-1</f>
        <v>0.031285932019619</v>
      </c>
      <c r="Z106" s="54">
        <f>Z$105+0.457*1</f>
        <v>53.2025</v>
      </c>
      <c r="AA106" s="101">
        <f t="shared" si="37"/>
        <v>469.0674</v>
      </c>
      <c r="AB106" s="109"/>
      <c r="AC106" s="109"/>
      <c r="AD106" s="9">
        <f t="shared" si="38"/>
        <v>5450343</v>
      </c>
      <c r="AE106" s="38">
        <f t="shared" si="40"/>
        <v>140464</v>
      </c>
      <c r="AF106" s="38">
        <f t="shared" si="40"/>
        <v>76551</v>
      </c>
      <c r="AG106" s="38">
        <f t="shared" si="39"/>
        <v>10629</v>
      </c>
    </row>
    <row r="107" ht="15" customHeight="1" spans="1:33">
      <c r="A107" s="106">
        <v>42472</v>
      </c>
      <c r="B107" s="21" t="s">
        <v>34</v>
      </c>
      <c r="C107" s="9">
        <v>55229</v>
      </c>
      <c r="D107" s="38">
        <v>27383</v>
      </c>
      <c r="E107" s="38">
        <v>85100</v>
      </c>
      <c r="F107" s="9">
        <v>4325</v>
      </c>
      <c r="G107" s="38">
        <v>2780</v>
      </c>
      <c r="H107" s="25"/>
      <c r="I107" s="37"/>
      <c r="J107" s="9">
        <f t="shared" si="27"/>
        <v>57717</v>
      </c>
      <c r="K107" s="38">
        <f t="shared" si="36"/>
        <v>1536</v>
      </c>
      <c r="L107" s="38">
        <v>792</v>
      </c>
      <c r="M107" s="38">
        <f t="shared" ref="M107:M115" si="49">(AG$115-AG$105)/10</f>
        <v>160</v>
      </c>
      <c r="N107" s="78">
        <f t="shared" si="45"/>
        <v>663121</v>
      </c>
      <c r="O107" s="79">
        <f t="shared" si="46"/>
        <v>311298</v>
      </c>
      <c r="P107" s="79">
        <f t="shared" si="47"/>
        <v>999126</v>
      </c>
      <c r="Q107" s="80">
        <f t="shared" si="48"/>
        <v>5277928</v>
      </c>
      <c r="R107" s="80">
        <f t="shared" si="48"/>
        <v>2440225</v>
      </c>
      <c r="S107" s="80">
        <f t="shared" si="48"/>
        <v>7948285</v>
      </c>
      <c r="T107" s="84">
        <f>N107/'2015'!M107-1</f>
        <v>-0.0410688901710866</v>
      </c>
      <c r="U107" s="84">
        <f>O107/'2015'!N107-1</f>
        <v>0.0275692697708503</v>
      </c>
      <c r="V107" s="84">
        <f>P107/'2015'!O107-1</f>
        <v>-0.0141854538171076</v>
      </c>
      <c r="W107" s="85">
        <f>Q107/'2015'!P107-1</f>
        <v>-0.0223437692181163</v>
      </c>
      <c r="X107" s="85">
        <f>R107/'2015'!Q107-1</f>
        <v>0.122153545195395</v>
      </c>
      <c r="Y107" s="85">
        <f>S107/'2015'!R107-1</f>
        <v>0.0310990800352231</v>
      </c>
      <c r="Z107" s="54">
        <f>Z$105+0.457*2</f>
        <v>53.6595</v>
      </c>
      <c r="AA107" s="101">
        <f t="shared" si="37"/>
        <v>474.1333</v>
      </c>
      <c r="AB107" s="109"/>
      <c r="AC107" s="109"/>
      <c r="AD107" s="9">
        <f t="shared" si="38"/>
        <v>5508060</v>
      </c>
      <c r="AE107" s="38">
        <f t="shared" si="40"/>
        <v>142000</v>
      </c>
      <c r="AF107" s="38">
        <f t="shared" si="40"/>
        <v>77343</v>
      </c>
      <c r="AG107" s="38">
        <f t="shared" si="39"/>
        <v>10789</v>
      </c>
    </row>
    <row r="108" ht="15" customHeight="1" spans="1:33">
      <c r="A108" s="106">
        <v>42473</v>
      </c>
      <c r="B108" s="15" t="s">
        <v>35</v>
      </c>
      <c r="C108" s="33">
        <v>55040</v>
      </c>
      <c r="D108" s="34">
        <v>27184</v>
      </c>
      <c r="E108" s="34">
        <v>84937</v>
      </c>
      <c r="F108" s="33">
        <v>4315</v>
      </c>
      <c r="G108" s="34">
        <v>2832</v>
      </c>
      <c r="H108" s="20"/>
      <c r="I108" s="20"/>
      <c r="J108" s="33">
        <f t="shared" si="27"/>
        <v>57753</v>
      </c>
      <c r="K108" s="34">
        <f t="shared" si="36"/>
        <v>1761</v>
      </c>
      <c r="L108" s="34">
        <v>792</v>
      </c>
      <c r="M108" s="34">
        <f t="shared" si="49"/>
        <v>160</v>
      </c>
      <c r="N108" s="81">
        <f t="shared" si="45"/>
        <v>718161</v>
      </c>
      <c r="O108" s="82">
        <f t="shared" si="46"/>
        <v>338482</v>
      </c>
      <c r="P108" s="82">
        <f t="shared" si="47"/>
        <v>1084063</v>
      </c>
      <c r="Q108" s="81">
        <f t="shared" si="48"/>
        <v>5332968</v>
      </c>
      <c r="R108" s="81">
        <f t="shared" si="48"/>
        <v>2467409</v>
      </c>
      <c r="S108" s="81">
        <f t="shared" si="48"/>
        <v>8033222</v>
      </c>
      <c r="T108" s="86">
        <f>N108/'2015'!M108-1</f>
        <v>-0.0441788502106195</v>
      </c>
      <c r="U108" s="86">
        <f>O108/'2015'!N108-1</f>
        <v>0.0278865104358046</v>
      </c>
      <c r="V108" s="86">
        <f>P108/'2015'!O108-1</f>
        <v>-0.0151337169001046</v>
      </c>
      <c r="W108" s="86">
        <f>Q108/'2015'!P108-1</f>
        <v>-0.0229771218085346</v>
      </c>
      <c r="X108" s="86">
        <f>R108/'2015'!Q108-1</f>
        <v>0.121068505150517</v>
      </c>
      <c r="Y108" s="86">
        <f>S108/'2015'!R108-1</f>
        <v>0.0304585535701778</v>
      </c>
      <c r="Z108" s="53">
        <f>Z$105+0.457*3</f>
        <v>54.1165</v>
      </c>
      <c r="AA108" s="53">
        <f t="shared" si="37"/>
        <v>479.1803</v>
      </c>
      <c r="AB108" s="34">
        <v>4230.1</v>
      </c>
      <c r="AC108" s="34">
        <f t="shared" si="41"/>
        <v>1132.78716815205</v>
      </c>
      <c r="AD108" s="33">
        <f t="shared" si="38"/>
        <v>5565813</v>
      </c>
      <c r="AE108" s="34">
        <f t="shared" si="40"/>
        <v>143761</v>
      </c>
      <c r="AF108" s="34">
        <f t="shared" si="40"/>
        <v>78135</v>
      </c>
      <c r="AG108" s="34">
        <f t="shared" si="39"/>
        <v>10949</v>
      </c>
    </row>
    <row r="109" ht="15" customHeight="1" spans="1:33">
      <c r="A109" s="106">
        <v>42474</v>
      </c>
      <c r="B109" s="21" t="s">
        <v>36</v>
      </c>
      <c r="C109" s="9">
        <v>56819</v>
      </c>
      <c r="D109" s="38">
        <v>25526</v>
      </c>
      <c r="E109" s="38">
        <v>84896</v>
      </c>
      <c r="F109" s="9">
        <v>4303</v>
      </c>
      <c r="G109" s="38">
        <v>2786</v>
      </c>
      <c r="H109" s="25"/>
      <c r="I109" s="37"/>
      <c r="J109" s="9">
        <f t="shared" si="27"/>
        <v>59370</v>
      </c>
      <c r="K109" s="38">
        <f t="shared" si="36"/>
        <v>1600</v>
      </c>
      <c r="L109" s="38">
        <v>791</v>
      </c>
      <c r="M109" s="38">
        <f t="shared" si="49"/>
        <v>160</v>
      </c>
      <c r="N109" s="78">
        <f t="shared" si="45"/>
        <v>774980</v>
      </c>
      <c r="O109" s="79">
        <f t="shared" si="46"/>
        <v>364008</v>
      </c>
      <c r="P109" s="79">
        <f t="shared" si="47"/>
        <v>1168959</v>
      </c>
      <c r="Q109" s="80">
        <f t="shared" si="48"/>
        <v>5389787</v>
      </c>
      <c r="R109" s="80">
        <f t="shared" si="48"/>
        <v>2492935</v>
      </c>
      <c r="S109" s="80">
        <f t="shared" si="48"/>
        <v>8118118</v>
      </c>
      <c r="T109" s="84">
        <f>N109/'2015'!M109-1</f>
        <v>-0.0454077384325068</v>
      </c>
      <c r="U109" s="84">
        <f>O109/'2015'!N109-1</f>
        <v>0.0216305876211405</v>
      </c>
      <c r="V109" s="84">
        <f>P109/'2015'!O109-1</f>
        <v>-0.0173454282262925</v>
      </c>
      <c r="W109" s="85">
        <f>Q109/'2015'!P109-1</f>
        <v>-0.0233902742859732</v>
      </c>
      <c r="X109" s="85">
        <f>R109/'2015'!Q109-1</f>
        <v>0.118938699591462</v>
      </c>
      <c r="Y109" s="85">
        <f>S109/'2015'!R109-1</f>
        <v>0.0296109679496073</v>
      </c>
      <c r="Z109" s="54">
        <f>Z$105+0.457*4</f>
        <v>54.5735</v>
      </c>
      <c r="AA109" s="101">
        <f t="shared" si="37"/>
        <v>484.4052</v>
      </c>
      <c r="AB109" s="109">
        <v>4230.1</v>
      </c>
      <c r="AC109" s="109">
        <f t="shared" si="41"/>
        <v>1145.13888560554</v>
      </c>
      <c r="AD109" s="9">
        <f t="shared" si="38"/>
        <v>5625183</v>
      </c>
      <c r="AE109" s="38">
        <f t="shared" si="40"/>
        <v>145361</v>
      </c>
      <c r="AF109" s="38">
        <f t="shared" si="40"/>
        <v>78926</v>
      </c>
      <c r="AG109" s="38">
        <f t="shared" si="39"/>
        <v>11109</v>
      </c>
    </row>
    <row r="110" ht="15" customHeight="1" spans="1:33">
      <c r="A110" s="106">
        <v>42475</v>
      </c>
      <c r="B110" s="21" t="s">
        <v>37</v>
      </c>
      <c r="C110" s="74">
        <v>55041</v>
      </c>
      <c r="D110" s="75">
        <v>25080</v>
      </c>
      <c r="E110" s="75">
        <v>83717</v>
      </c>
      <c r="F110" s="74">
        <v>4267</v>
      </c>
      <c r="G110" s="75">
        <v>2791.7</v>
      </c>
      <c r="H110" s="25"/>
      <c r="I110" s="25"/>
      <c r="J110" s="74">
        <f t="shared" si="27"/>
        <v>58637</v>
      </c>
      <c r="K110" s="75">
        <f t="shared" si="36"/>
        <v>2644</v>
      </c>
      <c r="L110" s="75">
        <v>792</v>
      </c>
      <c r="M110" s="75">
        <f t="shared" si="49"/>
        <v>160</v>
      </c>
      <c r="N110" s="78">
        <f t="shared" si="45"/>
        <v>830021</v>
      </c>
      <c r="O110" s="79">
        <f t="shared" si="46"/>
        <v>389088</v>
      </c>
      <c r="P110" s="79">
        <f t="shared" si="47"/>
        <v>1252676</v>
      </c>
      <c r="Q110" s="80">
        <f t="shared" si="48"/>
        <v>5444828</v>
      </c>
      <c r="R110" s="80">
        <f t="shared" si="48"/>
        <v>2518015</v>
      </c>
      <c r="S110" s="80">
        <f t="shared" si="48"/>
        <v>8201835</v>
      </c>
      <c r="T110" s="84">
        <f>N110/'2015'!M110-1</f>
        <v>-0.0485992985030146</v>
      </c>
      <c r="U110" s="84">
        <f>O110/'2015'!N110-1</f>
        <v>0.0158531236293</v>
      </c>
      <c r="V110" s="84">
        <f>P110/'2015'!O110-1</f>
        <v>-0.0197754525223248</v>
      </c>
      <c r="W110" s="85">
        <f>Q110/'2015'!P110-1</f>
        <v>-0.0241283595823316</v>
      </c>
      <c r="X110" s="85">
        <f>R110/'2015'!Q110-1</f>
        <v>0.116804255717378</v>
      </c>
      <c r="Y110" s="85">
        <f>S110/'2015'!R110-1</f>
        <v>0.0287011126676142</v>
      </c>
      <c r="Z110" s="101">
        <f>Z$105+0.457*5</f>
        <v>55.0305</v>
      </c>
      <c r="AA110" s="101">
        <f t="shared" si="37"/>
        <v>489.4523</v>
      </c>
      <c r="AB110" s="110"/>
      <c r="AC110" s="109"/>
      <c r="AD110" s="74">
        <f t="shared" si="38"/>
        <v>5683820</v>
      </c>
      <c r="AE110" s="75">
        <f t="shared" si="40"/>
        <v>148005</v>
      </c>
      <c r="AF110" s="75">
        <f t="shared" si="40"/>
        <v>79718</v>
      </c>
      <c r="AG110" s="75">
        <f t="shared" si="39"/>
        <v>11269</v>
      </c>
    </row>
    <row r="111" ht="15" customHeight="1" spans="1:33">
      <c r="A111" s="106">
        <v>42476</v>
      </c>
      <c r="B111" s="21" t="s">
        <v>38</v>
      </c>
      <c r="C111" s="9">
        <v>55255</v>
      </c>
      <c r="D111" s="38">
        <v>23601</v>
      </c>
      <c r="E111" s="38">
        <v>82876</v>
      </c>
      <c r="F111" s="9">
        <v>4278.6</v>
      </c>
      <c r="G111" s="38">
        <v>2743.1</v>
      </c>
      <c r="H111" s="25"/>
      <c r="I111" s="37"/>
      <c r="J111" s="9">
        <f t="shared" si="27"/>
        <v>59275</v>
      </c>
      <c r="K111" s="38">
        <f t="shared" si="36"/>
        <v>3070</v>
      </c>
      <c r="L111" s="38">
        <v>790</v>
      </c>
      <c r="M111" s="38">
        <f t="shared" si="49"/>
        <v>160</v>
      </c>
      <c r="N111" s="78">
        <f t="shared" si="45"/>
        <v>885276</v>
      </c>
      <c r="O111" s="79">
        <f t="shared" si="46"/>
        <v>412689</v>
      </c>
      <c r="P111" s="79">
        <f t="shared" si="47"/>
        <v>1335552</v>
      </c>
      <c r="Q111" s="80">
        <f t="shared" si="48"/>
        <v>5500083</v>
      </c>
      <c r="R111" s="80">
        <f t="shared" si="48"/>
        <v>2541616</v>
      </c>
      <c r="S111" s="80">
        <f t="shared" si="48"/>
        <v>8284711</v>
      </c>
      <c r="T111" s="84">
        <f>N111/'2015'!M111-1</f>
        <v>-0.0509985528219971</v>
      </c>
      <c r="U111" s="84">
        <f>O111/'2015'!N111-1</f>
        <v>0.00891842138074184</v>
      </c>
      <c r="V111" s="84">
        <f>P111/'2015'!O111-1</f>
        <v>-0.0217649734447548</v>
      </c>
      <c r="W111" s="85">
        <f>Q111/'2015'!P111-1</f>
        <v>-0.0247874024292356</v>
      </c>
      <c r="X111" s="85">
        <f>R111/'2015'!Q111-1</f>
        <v>0.114408559529896</v>
      </c>
      <c r="Y111" s="85">
        <f>S111/'2015'!R111-1</f>
        <v>0.0278389691724399</v>
      </c>
      <c r="Z111" s="54">
        <f>Z$105+0.457*6</f>
        <v>55.4875</v>
      </c>
      <c r="AA111" s="101">
        <f t="shared" si="37"/>
        <v>494.5208</v>
      </c>
      <c r="AB111" s="109"/>
      <c r="AC111" s="109"/>
      <c r="AD111" s="9">
        <f t="shared" si="38"/>
        <v>5743095</v>
      </c>
      <c r="AE111" s="38">
        <f t="shared" si="40"/>
        <v>151075</v>
      </c>
      <c r="AF111" s="38">
        <f t="shared" si="40"/>
        <v>80508</v>
      </c>
      <c r="AG111" s="38">
        <f t="shared" si="39"/>
        <v>11429</v>
      </c>
    </row>
    <row r="112" ht="15" customHeight="1" spans="1:33">
      <c r="A112" s="106">
        <v>42477</v>
      </c>
      <c r="B112" s="21" t="s">
        <v>1</v>
      </c>
      <c r="C112" s="9">
        <v>50009</v>
      </c>
      <c r="D112" s="38">
        <v>24600</v>
      </c>
      <c r="E112" s="38">
        <v>77965</v>
      </c>
      <c r="F112" s="9">
        <v>3846.7</v>
      </c>
      <c r="G112" s="38">
        <v>2705.2</v>
      </c>
      <c r="H112" s="25"/>
      <c r="I112" s="37"/>
      <c r="J112" s="9">
        <f t="shared" si="27"/>
        <v>53365</v>
      </c>
      <c r="K112" s="38">
        <f t="shared" si="36"/>
        <v>2403</v>
      </c>
      <c r="L112" s="38">
        <v>793</v>
      </c>
      <c r="M112" s="38">
        <f t="shared" si="49"/>
        <v>160</v>
      </c>
      <c r="N112" s="78">
        <f t="shared" si="45"/>
        <v>935285</v>
      </c>
      <c r="O112" s="79">
        <f t="shared" si="46"/>
        <v>437289</v>
      </c>
      <c r="P112" s="79">
        <f t="shared" si="47"/>
        <v>1413517</v>
      </c>
      <c r="Q112" s="80">
        <f t="shared" si="48"/>
        <v>5550092</v>
      </c>
      <c r="R112" s="80">
        <f t="shared" si="48"/>
        <v>2566216</v>
      </c>
      <c r="S112" s="80">
        <f t="shared" si="48"/>
        <v>8362676</v>
      </c>
      <c r="T112" s="84">
        <f>N112/'2015'!M112-1</f>
        <v>-0.0584091661859473</v>
      </c>
      <c r="U112" s="84">
        <f>O112/'2015'!N112-1</f>
        <v>0.00387741046831946</v>
      </c>
      <c r="V112" s="84">
        <f>P112/'2015'!O112-1</f>
        <v>-0.0273622049953141</v>
      </c>
      <c r="W112" s="85">
        <f>Q112/'2015'!P112-1</f>
        <v>-0.0263567012038242</v>
      </c>
      <c r="X112" s="85">
        <f>R112/'2015'!Q112-1</f>
        <v>0.112242523009043</v>
      </c>
      <c r="Y112" s="85">
        <f>S112/'2015'!R112-1</f>
        <v>0.0263048831448387</v>
      </c>
      <c r="Z112" s="54">
        <f>Z$105+0.457*7</f>
        <v>55.9445</v>
      </c>
      <c r="AA112" s="101">
        <f t="shared" si="37"/>
        <v>499.0647</v>
      </c>
      <c r="AB112" s="109"/>
      <c r="AC112" s="109"/>
      <c r="AD112" s="9">
        <f t="shared" si="38"/>
        <v>5796460</v>
      </c>
      <c r="AE112" s="38">
        <f t="shared" si="40"/>
        <v>153478</v>
      </c>
      <c r="AF112" s="38">
        <f t="shared" si="40"/>
        <v>81301</v>
      </c>
      <c r="AG112" s="38">
        <f t="shared" si="39"/>
        <v>11589</v>
      </c>
    </row>
    <row r="113" ht="15" customHeight="1" spans="1:33">
      <c r="A113" s="106">
        <v>42478</v>
      </c>
      <c r="B113" s="21" t="s">
        <v>39</v>
      </c>
      <c r="C113" s="9">
        <v>54605</v>
      </c>
      <c r="D113" s="38">
        <v>24105</v>
      </c>
      <c r="E113" s="38">
        <v>82761</v>
      </c>
      <c r="F113" s="9">
        <v>4279</v>
      </c>
      <c r="G113" s="38">
        <v>2610</v>
      </c>
      <c r="H113" s="25"/>
      <c r="I113" s="37"/>
      <c r="J113" s="9">
        <f t="shared" si="27"/>
        <v>58656</v>
      </c>
      <c r="K113" s="38">
        <f t="shared" si="36"/>
        <v>3098</v>
      </c>
      <c r="L113" s="38">
        <v>793</v>
      </c>
      <c r="M113" s="38">
        <f t="shared" si="49"/>
        <v>160</v>
      </c>
      <c r="N113" s="78">
        <f t="shared" si="45"/>
        <v>989890</v>
      </c>
      <c r="O113" s="79">
        <f t="shared" si="46"/>
        <v>461394</v>
      </c>
      <c r="P113" s="79">
        <f t="shared" si="47"/>
        <v>1496278</v>
      </c>
      <c r="Q113" s="80">
        <f t="shared" si="48"/>
        <v>5604697</v>
      </c>
      <c r="R113" s="80">
        <f t="shared" si="48"/>
        <v>2590321</v>
      </c>
      <c r="S113" s="80">
        <f t="shared" si="48"/>
        <v>8445437</v>
      </c>
      <c r="T113" s="84">
        <f>N113/'2015'!M113-1</f>
        <v>-0.0590157732185141</v>
      </c>
      <c r="U113" s="84">
        <f>O113/'2015'!N113-1</f>
        <v>-0.0035461605577104</v>
      </c>
      <c r="V113" s="84">
        <f>P113/'2015'!O113-1</f>
        <v>-0.0285883453557816</v>
      </c>
      <c r="W113" s="85">
        <f>Q113/'2015'!P113-1</f>
        <v>-0.0267940428587999</v>
      </c>
      <c r="X113" s="85">
        <f>R113/'2015'!Q113-1</f>
        <v>0.109496757801173</v>
      </c>
      <c r="Y113" s="85">
        <f>S113/'2015'!R113-1</f>
        <v>0.0255083987766906</v>
      </c>
      <c r="Z113" s="54">
        <f>Z$105+0.457*8</f>
        <v>56.4015</v>
      </c>
      <c r="AA113" s="101">
        <f t="shared" si="37"/>
        <v>504.0682</v>
      </c>
      <c r="AB113" s="109"/>
      <c r="AC113" s="109"/>
      <c r="AD113" s="9">
        <f t="shared" si="38"/>
        <v>5855116</v>
      </c>
      <c r="AE113" s="38">
        <f t="shared" si="40"/>
        <v>156576</v>
      </c>
      <c r="AF113" s="38">
        <f t="shared" si="40"/>
        <v>82094</v>
      </c>
      <c r="AG113" s="38">
        <f t="shared" si="39"/>
        <v>11749</v>
      </c>
    </row>
    <row r="114" ht="15" customHeight="1" spans="1:33">
      <c r="A114" s="106">
        <v>42479</v>
      </c>
      <c r="B114" s="21" t="s">
        <v>34</v>
      </c>
      <c r="C114" s="9">
        <v>54863</v>
      </c>
      <c r="D114" s="38">
        <v>24432</v>
      </c>
      <c r="E114" s="38">
        <v>83499</v>
      </c>
      <c r="F114" s="9">
        <v>4241</v>
      </c>
      <c r="G114" s="38">
        <v>2788</v>
      </c>
      <c r="H114" s="25"/>
      <c r="I114" s="37"/>
      <c r="J114" s="9">
        <f t="shared" si="27"/>
        <v>59067</v>
      </c>
      <c r="K114" s="38">
        <f t="shared" si="36"/>
        <v>3251</v>
      </c>
      <c r="L114" s="38">
        <v>793</v>
      </c>
      <c r="M114" s="38">
        <f t="shared" si="49"/>
        <v>160</v>
      </c>
      <c r="N114" s="78">
        <f t="shared" si="45"/>
        <v>1044753</v>
      </c>
      <c r="O114" s="79">
        <f t="shared" si="46"/>
        <v>485826</v>
      </c>
      <c r="P114" s="79">
        <f t="shared" si="47"/>
        <v>1579777</v>
      </c>
      <c r="Q114" s="80">
        <f t="shared" si="48"/>
        <v>5659560</v>
      </c>
      <c r="R114" s="80">
        <f t="shared" si="48"/>
        <v>2614753</v>
      </c>
      <c r="S114" s="80">
        <f t="shared" si="48"/>
        <v>8528936</v>
      </c>
      <c r="T114" s="84">
        <f>N114/'2015'!M114-1</f>
        <v>-0.0555947769727595</v>
      </c>
      <c r="U114" s="84">
        <f>O114/'2015'!N114-1</f>
        <v>-0.0104731876619251</v>
      </c>
      <c r="V114" s="84">
        <f>P114/'2015'!O114-1</f>
        <v>-0.026874977670404</v>
      </c>
      <c r="W114" s="85">
        <f>Q114/'2015'!P114-1</f>
        <v>-0.0264439079721864</v>
      </c>
      <c r="X114" s="85">
        <f>R114/'2015'!Q114-1</f>
        <v>0.106720821395633</v>
      </c>
      <c r="Y114" s="85">
        <f>S114/'2015'!R114-1</f>
        <v>0.0253024027647428</v>
      </c>
      <c r="Z114" s="54">
        <f>Z$105+0.457*9</f>
        <v>56.8585</v>
      </c>
      <c r="AA114" s="101">
        <f t="shared" si="37"/>
        <v>509.0975</v>
      </c>
      <c r="AB114" s="109"/>
      <c r="AC114" s="109"/>
      <c r="AD114" s="9">
        <f t="shared" si="38"/>
        <v>5914183</v>
      </c>
      <c r="AE114" s="38">
        <f t="shared" si="40"/>
        <v>159827</v>
      </c>
      <c r="AF114" s="38">
        <f t="shared" si="40"/>
        <v>82887</v>
      </c>
      <c r="AG114" s="38">
        <f t="shared" si="39"/>
        <v>11909</v>
      </c>
    </row>
    <row r="115" ht="15" customHeight="1" spans="1:33">
      <c r="A115" s="106">
        <v>42480</v>
      </c>
      <c r="B115" s="15" t="s">
        <v>35</v>
      </c>
      <c r="C115" s="33">
        <v>56044</v>
      </c>
      <c r="D115" s="34">
        <v>24143</v>
      </c>
      <c r="E115" s="34">
        <v>84044</v>
      </c>
      <c r="F115" s="33">
        <v>4342</v>
      </c>
      <c r="G115" s="34">
        <v>2778</v>
      </c>
      <c r="H115" s="20"/>
      <c r="I115" s="20"/>
      <c r="J115" s="33">
        <f t="shared" si="27"/>
        <v>59901</v>
      </c>
      <c r="K115" s="34">
        <f t="shared" si="36"/>
        <v>2904</v>
      </c>
      <c r="L115" s="34">
        <v>793</v>
      </c>
      <c r="M115" s="34">
        <f t="shared" si="49"/>
        <v>160</v>
      </c>
      <c r="N115" s="81">
        <f t="shared" si="45"/>
        <v>1100797</v>
      </c>
      <c r="O115" s="82">
        <f t="shared" si="46"/>
        <v>509969</v>
      </c>
      <c r="P115" s="82">
        <f t="shared" si="47"/>
        <v>1663821</v>
      </c>
      <c r="Q115" s="81">
        <f t="shared" si="48"/>
        <v>5715604</v>
      </c>
      <c r="R115" s="81">
        <f t="shared" si="48"/>
        <v>2638896</v>
      </c>
      <c r="S115" s="81">
        <f t="shared" si="48"/>
        <v>8612980</v>
      </c>
      <c r="T115" s="86">
        <f>N115/'2015'!M115-1</f>
        <v>-0.0551917816566976</v>
      </c>
      <c r="U115" s="86">
        <f>O115/'2015'!N115-1</f>
        <v>-0.0143812450474479</v>
      </c>
      <c r="V115" s="86">
        <f>P115/'2015'!O115-1</f>
        <v>-0.026833963171295</v>
      </c>
      <c r="W115" s="86">
        <f>Q115/'2015'!P115-1</f>
        <v>-0.0266560765323395</v>
      </c>
      <c r="X115" s="86">
        <f>R115/'2015'!Q115-1</f>
        <v>0.104577332878481</v>
      </c>
      <c r="Y115" s="86">
        <f>S115/'2015'!R115-1</f>
        <v>0.0247750320294995</v>
      </c>
      <c r="Z115" s="53">
        <v>57.32</v>
      </c>
      <c r="AA115" s="53">
        <f t="shared" si="37"/>
        <v>514.2404</v>
      </c>
      <c r="AB115" s="34">
        <v>4230.1</v>
      </c>
      <c r="AC115" s="34">
        <f t="shared" si="41"/>
        <v>1215.66960591948</v>
      </c>
      <c r="AD115" s="33">
        <f t="shared" si="38"/>
        <v>5974084</v>
      </c>
      <c r="AE115" s="34">
        <v>162739</v>
      </c>
      <c r="AF115" s="34">
        <v>83672</v>
      </c>
      <c r="AG115" s="34">
        <f t="shared" si="39"/>
        <v>12069</v>
      </c>
    </row>
    <row r="116" ht="15" customHeight="1" spans="1:33">
      <c r="A116" s="106">
        <v>42481</v>
      </c>
      <c r="B116" s="21" t="s">
        <v>36</v>
      </c>
      <c r="C116" s="9">
        <v>55913</v>
      </c>
      <c r="D116" s="38">
        <v>24622</v>
      </c>
      <c r="E116" s="38">
        <v>84104</v>
      </c>
      <c r="F116" s="9">
        <v>4336</v>
      </c>
      <c r="G116" s="38">
        <v>2752</v>
      </c>
      <c r="H116" s="25"/>
      <c r="I116" s="37"/>
      <c r="J116" s="9">
        <f t="shared" si="27"/>
        <v>59482</v>
      </c>
      <c r="K116" s="38">
        <f t="shared" si="36"/>
        <v>2632</v>
      </c>
      <c r="L116" s="38">
        <v>793</v>
      </c>
      <c r="M116" s="38">
        <f>(AG$125-AG$115)/10</f>
        <v>144</v>
      </c>
      <c r="N116" s="78">
        <f t="shared" si="45"/>
        <v>1156710</v>
      </c>
      <c r="O116" s="79">
        <f t="shared" si="46"/>
        <v>534591</v>
      </c>
      <c r="P116" s="79">
        <f t="shared" si="47"/>
        <v>1747925</v>
      </c>
      <c r="Q116" s="80">
        <f t="shared" si="48"/>
        <v>5771517</v>
      </c>
      <c r="R116" s="80">
        <f t="shared" si="48"/>
        <v>2663518</v>
      </c>
      <c r="S116" s="80">
        <f t="shared" si="48"/>
        <v>8697084</v>
      </c>
      <c r="T116" s="84">
        <f>N116/'2015'!M116-1</f>
        <v>-0.0570155415408495</v>
      </c>
      <c r="U116" s="84">
        <f>O116/'2015'!N116-1</f>
        <v>-0.0142171967228532</v>
      </c>
      <c r="V116" s="84">
        <f>P116/'2015'!O116-1</f>
        <v>-0.0273045329664979</v>
      </c>
      <c r="W116" s="85">
        <f>Q116/'2015'!P116-1</f>
        <v>-0.0273290820079751</v>
      </c>
      <c r="X116" s="85">
        <f>R116/'2015'!Q116-1</f>
        <v>0.103387565421927</v>
      </c>
      <c r="Y116" s="85">
        <f>S116/'2015'!R116-1</f>
        <v>0.0241449526168258</v>
      </c>
      <c r="Z116" s="54">
        <f>Z$115+0.385*1</f>
        <v>57.705</v>
      </c>
      <c r="AA116" s="101">
        <f t="shared" si="37"/>
        <v>519.4467</v>
      </c>
      <c r="AB116" s="109">
        <v>4230.1</v>
      </c>
      <c r="AC116" s="109">
        <f t="shared" si="41"/>
        <v>1227.97735278126</v>
      </c>
      <c r="AD116" s="9">
        <f t="shared" si="38"/>
        <v>6033566</v>
      </c>
      <c r="AE116" s="38">
        <f t="shared" si="40"/>
        <v>165371</v>
      </c>
      <c r="AF116" s="38">
        <f t="shared" si="40"/>
        <v>84465</v>
      </c>
      <c r="AG116" s="38">
        <f t="shared" si="39"/>
        <v>12213</v>
      </c>
    </row>
    <row r="117" ht="15" customHeight="1" spans="1:33">
      <c r="A117" s="106">
        <v>42482</v>
      </c>
      <c r="B117" s="21" t="s">
        <v>37</v>
      </c>
      <c r="C117" s="74">
        <v>56349</v>
      </c>
      <c r="D117" s="75">
        <f>13018+11260</f>
        <v>24278</v>
      </c>
      <c r="E117" s="75">
        <v>84509</v>
      </c>
      <c r="F117" s="74">
        <v>4268.8</v>
      </c>
      <c r="G117" s="75">
        <v>2801.9</v>
      </c>
      <c r="H117" s="25"/>
      <c r="I117" s="25"/>
      <c r="J117" s="74">
        <f t="shared" si="27"/>
        <v>60231</v>
      </c>
      <c r="K117" s="75">
        <f t="shared" si="36"/>
        <v>2946</v>
      </c>
      <c r="L117" s="75">
        <v>792</v>
      </c>
      <c r="M117" s="75">
        <f t="shared" ref="M117:M125" si="50">(AG$125-AG$115)/10</f>
        <v>144</v>
      </c>
      <c r="N117" s="78">
        <f t="shared" si="45"/>
        <v>1213059</v>
      </c>
      <c r="O117" s="79">
        <f t="shared" si="46"/>
        <v>558869</v>
      </c>
      <c r="P117" s="79">
        <f t="shared" si="47"/>
        <v>1832434</v>
      </c>
      <c r="Q117" s="80">
        <f t="shared" si="48"/>
        <v>5827866</v>
      </c>
      <c r="R117" s="80">
        <f t="shared" si="48"/>
        <v>2687796</v>
      </c>
      <c r="S117" s="80">
        <f t="shared" si="48"/>
        <v>8781593</v>
      </c>
      <c r="T117" s="84">
        <f>N117/'2015'!M117-1</f>
        <v>-0.0579865344443323</v>
      </c>
      <c r="U117" s="84">
        <f>O117/'2015'!N117-1</f>
        <v>-0.0159838858203318</v>
      </c>
      <c r="V117" s="84">
        <f>P117/'2015'!O117-1</f>
        <v>-0.0279380404222588</v>
      </c>
      <c r="W117" s="85">
        <f>Q117/'2015'!P117-1</f>
        <v>-0.0278401424176877</v>
      </c>
      <c r="X117" s="85">
        <f>R117/'2015'!Q117-1</f>
        <v>0.101739963075793</v>
      </c>
      <c r="Y117" s="85">
        <f>S117/'2015'!R117-1</f>
        <v>0.0234774368242618</v>
      </c>
      <c r="Z117" s="101">
        <f>Z$115+0.385*2</f>
        <v>58.09</v>
      </c>
      <c r="AA117" s="101">
        <f t="shared" si="37"/>
        <v>524.6966</v>
      </c>
      <c r="AB117" s="110"/>
      <c r="AC117" s="109"/>
      <c r="AD117" s="74">
        <f t="shared" si="38"/>
        <v>6093797</v>
      </c>
      <c r="AE117" s="75">
        <f t="shared" si="40"/>
        <v>168317</v>
      </c>
      <c r="AF117" s="75">
        <f t="shared" si="40"/>
        <v>85257</v>
      </c>
      <c r="AG117" s="75">
        <f t="shared" si="39"/>
        <v>12357</v>
      </c>
    </row>
    <row r="118" ht="15" customHeight="1" spans="1:33">
      <c r="A118" s="106">
        <v>42483</v>
      </c>
      <c r="B118" s="21" t="s">
        <v>38</v>
      </c>
      <c r="C118" s="9">
        <v>54844</v>
      </c>
      <c r="D118" s="38">
        <f>13128+11249</f>
        <v>24377</v>
      </c>
      <c r="E118" s="38">
        <v>83370</v>
      </c>
      <c r="F118" s="9">
        <v>4311.7</v>
      </c>
      <c r="G118" s="38">
        <v>2758.5</v>
      </c>
      <c r="H118" s="25"/>
      <c r="I118" s="37"/>
      <c r="J118" s="9">
        <f t="shared" si="27"/>
        <v>58993</v>
      </c>
      <c r="K118" s="38">
        <f t="shared" si="36"/>
        <v>3216</v>
      </c>
      <c r="L118" s="38">
        <v>789</v>
      </c>
      <c r="M118" s="38">
        <f t="shared" si="50"/>
        <v>144</v>
      </c>
      <c r="N118" s="78">
        <f t="shared" si="45"/>
        <v>1267903</v>
      </c>
      <c r="O118" s="79">
        <f t="shared" si="46"/>
        <v>583246</v>
      </c>
      <c r="P118" s="79">
        <f t="shared" si="47"/>
        <v>1915804</v>
      </c>
      <c r="Q118" s="80">
        <f t="shared" si="48"/>
        <v>5882710</v>
      </c>
      <c r="R118" s="80">
        <f t="shared" si="48"/>
        <v>2712173</v>
      </c>
      <c r="S118" s="80">
        <f t="shared" si="48"/>
        <v>8864963</v>
      </c>
      <c r="T118" s="84">
        <f>N118/'2015'!M118-1</f>
        <v>-0.0610692336687232</v>
      </c>
      <c r="U118" s="84">
        <f>O118/'2015'!N118-1</f>
        <v>-0.0143059703132103</v>
      </c>
      <c r="V118" s="84">
        <f>P118/'2015'!O118-1</f>
        <v>-0.0290213449632931</v>
      </c>
      <c r="W118" s="85">
        <f>Q118/'2015'!P118-1</f>
        <v>-0.0288391058870142</v>
      </c>
      <c r="X118" s="85">
        <f>R118/'2015'!Q118-1</f>
        <v>0.101007324966428</v>
      </c>
      <c r="Y118" s="85">
        <f>S118/'2015'!R118-1</f>
        <v>0.0227090817176232</v>
      </c>
      <c r="Z118" s="54">
        <f>Z$115+0.385*3</f>
        <v>58.475</v>
      </c>
      <c r="AA118" s="101">
        <f t="shared" si="37"/>
        <v>529.796</v>
      </c>
      <c r="AB118" s="109"/>
      <c r="AC118" s="109"/>
      <c r="AD118" s="9">
        <f t="shared" si="38"/>
        <v>6152790</v>
      </c>
      <c r="AE118" s="38">
        <f t="shared" si="40"/>
        <v>171533</v>
      </c>
      <c r="AF118" s="38">
        <f t="shared" si="40"/>
        <v>86046</v>
      </c>
      <c r="AG118" s="38">
        <f t="shared" si="39"/>
        <v>12501</v>
      </c>
    </row>
    <row r="119" ht="15" customHeight="1" spans="1:33">
      <c r="A119" s="106">
        <v>42484</v>
      </c>
      <c r="B119" s="21" t="s">
        <v>1</v>
      </c>
      <c r="C119" s="9">
        <v>50813</v>
      </c>
      <c r="D119" s="38">
        <f>13283+11338</f>
        <v>24621</v>
      </c>
      <c r="E119" s="38">
        <v>79427</v>
      </c>
      <c r="F119" s="9">
        <v>4005.1</v>
      </c>
      <c r="G119" s="38">
        <v>2718.9</v>
      </c>
      <c r="H119" s="25"/>
      <c r="I119" s="37"/>
      <c r="J119" s="9">
        <f t="shared" si="27"/>
        <v>54806</v>
      </c>
      <c r="K119" s="38">
        <f t="shared" si="36"/>
        <v>3056</v>
      </c>
      <c r="L119" s="38">
        <v>793</v>
      </c>
      <c r="M119" s="38">
        <f t="shared" si="50"/>
        <v>144</v>
      </c>
      <c r="N119" s="78">
        <f t="shared" si="45"/>
        <v>1318716</v>
      </c>
      <c r="O119" s="79">
        <f t="shared" si="46"/>
        <v>607867</v>
      </c>
      <c r="P119" s="79">
        <f t="shared" si="47"/>
        <v>1995231</v>
      </c>
      <c r="Q119" s="80">
        <f t="shared" si="48"/>
        <v>5933523</v>
      </c>
      <c r="R119" s="80">
        <f t="shared" si="48"/>
        <v>2736794</v>
      </c>
      <c r="S119" s="80">
        <f t="shared" si="48"/>
        <v>8944390</v>
      </c>
      <c r="T119" s="84">
        <f>N119/'2015'!M119-1</f>
        <v>-0.0663673301204921</v>
      </c>
      <c r="U119" s="84">
        <f>O119/'2015'!N119-1</f>
        <v>-0.0145978420158477</v>
      </c>
      <c r="V119" s="84">
        <f>P119/'2015'!O119-1</f>
        <v>-0.0322262863473367</v>
      </c>
      <c r="W119" s="85">
        <f>Q119/'2015'!P119-1</f>
        <v>-0.0303889802545573</v>
      </c>
      <c r="X119" s="85">
        <f>R119/'2015'!Q119-1</f>
        <v>0.0997690592429146</v>
      </c>
      <c r="Y119" s="85">
        <f>S119/'2015'!R119-1</f>
        <v>0.0214310739952521</v>
      </c>
      <c r="Z119" s="54">
        <f>Z$115+0.385*4</f>
        <v>58.86</v>
      </c>
      <c r="AA119" s="101">
        <f t="shared" si="37"/>
        <v>534.4923</v>
      </c>
      <c r="AB119" s="109"/>
      <c r="AC119" s="109"/>
      <c r="AD119" s="9">
        <f t="shared" si="38"/>
        <v>6207596</v>
      </c>
      <c r="AE119" s="38">
        <f t="shared" si="40"/>
        <v>174589</v>
      </c>
      <c r="AF119" s="38">
        <f t="shared" si="40"/>
        <v>86839</v>
      </c>
      <c r="AG119" s="38">
        <f t="shared" si="39"/>
        <v>12645</v>
      </c>
    </row>
    <row r="120" ht="15" customHeight="1" spans="1:33">
      <c r="A120" s="106">
        <v>42485</v>
      </c>
      <c r="B120" s="21" t="s">
        <v>39</v>
      </c>
      <c r="C120" s="9">
        <v>53738</v>
      </c>
      <c r="D120" s="38">
        <v>25427</v>
      </c>
      <c r="E120" s="38">
        <v>82970</v>
      </c>
      <c r="F120" s="9">
        <v>4315</v>
      </c>
      <c r="G120" s="38">
        <v>2610</v>
      </c>
      <c r="H120" s="25"/>
      <c r="I120" s="37"/>
      <c r="J120" s="9">
        <f t="shared" si="27"/>
        <v>57543</v>
      </c>
      <c r="K120" s="38">
        <f t="shared" si="36"/>
        <v>2870</v>
      </c>
      <c r="L120" s="38">
        <v>791</v>
      </c>
      <c r="M120" s="38">
        <f t="shared" si="50"/>
        <v>144</v>
      </c>
      <c r="N120" s="78">
        <f t="shared" si="45"/>
        <v>1372454</v>
      </c>
      <c r="O120" s="79">
        <f t="shared" si="46"/>
        <v>633294</v>
      </c>
      <c r="P120" s="79">
        <f t="shared" si="47"/>
        <v>2078201</v>
      </c>
      <c r="Q120" s="80">
        <f t="shared" si="48"/>
        <v>5987261</v>
      </c>
      <c r="R120" s="80">
        <f t="shared" si="48"/>
        <v>2762221</v>
      </c>
      <c r="S120" s="80">
        <f t="shared" si="48"/>
        <v>9027360</v>
      </c>
      <c r="T120" s="84">
        <f>N120/'2015'!M120-1</f>
        <v>-0.0683042433121011</v>
      </c>
      <c r="U120" s="84">
        <f>O120/'2015'!N120-1</f>
        <v>-0.0144649223687302</v>
      </c>
      <c r="V120" s="84">
        <f>P120/'2015'!O120-1</f>
        <v>-0.0330107866101232</v>
      </c>
      <c r="W120" s="85">
        <f>Q120/'2015'!P120-1</f>
        <v>-0.0312035302977201</v>
      </c>
      <c r="X120" s="85">
        <f>R120/'2015'!Q120-1</f>
        <v>0.0986332218878594</v>
      </c>
      <c r="Y120" s="85">
        <f>S120/'2015'!R120-1</f>
        <v>0.0207097330125656</v>
      </c>
      <c r="Z120" s="54">
        <f>Z$115+0.385*5</f>
        <v>59.245</v>
      </c>
      <c r="AA120" s="101">
        <f t="shared" si="37"/>
        <v>539.4811</v>
      </c>
      <c r="AB120" s="109"/>
      <c r="AC120" s="109"/>
      <c r="AD120" s="9">
        <f t="shared" si="38"/>
        <v>6265139</v>
      </c>
      <c r="AE120" s="38">
        <f t="shared" si="40"/>
        <v>177459</v>
      </c>
      <c r="AF120" s="38">
        <f t="shared" si="40"/>
        <v>87630</v>
      </c>
      <c r="AG120" s="38">
        <f t="shared" si="39"/>
        <v>12789</v>
      </c>
    </row>
    <row r="121" ht="15" customHeight="1" spans="1:33">
      <c r="A121" s="106">
        <v>42486</v>
      </c>
      <c r="B121" s="21" t="s">
        <v>34</v>
      </c>
      <c r="C121" s="9">
        <v>54006</v>
      </c>
      <c r="D121" s="38">
        <v>26547</v>
      </c>
      <c r="E121" s="38">
        <v>84470</v>
      </c>
      <c r="F121" s="9">
        <v>4340</v>
      </c>
      <c r="G121" s="38">
        <v>2758</v>
      </c>
      <c r="H121" s="25"/>
      <c r="I121" s="37"/>
      <c r="J121" s="9">
        <f t="shared" si="27"/>
        <v>57923</v>
      </c>
      <c r="K121" s="38">
        <f t="shared" si="36"/>
        <v>2982</v>
      </c>
      <c r="L121" s="38">
        <v>791</v>
      </c>
      <c r="M121" s="38">
        <f t="shared" si="50"/>
        <v>144</v>
      </c>
      <c r="N121" s="78">
        <f t="shared" si="45"/>
        <v>1426460</v>
      </c>
      <c r="O121" s="79">
        <f t="shared" si="46"/>
        <v>659841</v>
      </c>
      <c r="P121" s="79">
        <f t="shared" si="47"/>
        <v>2162671</v>
      </c>
      <c r="Q121" s="80">
        <f t="shared" si="48"/>
        <v>6041267</v>
      </c>
      <c r="R121" s="80">
        <f t="shared" si="48"/>
        <v>2788768</v>
      </c>
      <c r="S121" s="80">
        <f t="shared" si="48"/>
        <v>9111830</v>
      </c>
      <c r="T121" s="84">
        <f>N121/'2015'!M121-1</f>
        <v>-0.067337931936317</v>
      </c>
      <c r="U121" s="84">
        <f>O121/'2015'!N121-1</f>
        <v>-0.0125717928534872</v>
      </c>
      <c r="V121" s="84">
        <f>P121/'2015'!O121-1</f>
        <v>-0.0313638617331415</v>
      </c>
      <c r="W121" s="85">
        <f>Q121/'2015'!P121-1</f>
        <v>-0.0313019473642268</v>
      </c>
      <c r="X121" s="85">
        <f>R121/'2015'!Q121-1</f>
        <v>0.0979890050226644</v>
      </c>
      <c r="Y121" s="85">
        <f>S121/'2015'!R121-1</f>
        <v>0.020618856934838</v>
      </c>
      <c r="Z121" s="54">
        <f>Z$115+0.385*6</f>
        <v>59.63</v>
      </c>
      <c r="AA121" s="101">
        <f t="shared" si="37"/>
        <v>544.4967</v>
      </c>
      <c r="AB121" s="109"/>
      <c r="AC121" s="109"/>
      <c r="AD121" s="9">
        <f t="shared" si="38"/>
        <v>6323062</v>
      </c>
      <c r="AE121" s="38">
        <f t="shared" si="40"/>
        <v>180441</v>
      </c>
      <c r="AF121" s="38">
        <f t="shared" si="40"/>
        <v>88421</v>
      </c>
      <c r="AG121" s="38">
        <f t="shared" si="39"/>
        <v>12933</v>
      </c>
    </row>
    <row r="122" ht="15" customHeight="1" spans="1:33">
      <c r="A122" s="106">
        <v>42487</v>
      </c>
      <c r="B122" s="15" t="s">
        <v>35</v>
      </c>
      <c r="C122" s="33">
        <v>52519</v>
      </c>
      <c r="D122" s="34">
        <v>27069</v>
      </c>
      <c r="E122" s="34">
        <v>83435</v>
      </c>
      <c r="F122" s="33">
        <v>4245</v>
      </c>
      <c r="G122" s="34">
        <v>2729</v>
      </c>
      <c r="H122" s="20">
        <v>1403.1</v>
      </c>
      <c r="I122" s="20">
        <v>793.9</v>
      </c>
      <c r="J122" s="33">
        <f t="shared" si="27"/>
        <v>56366</v>
      </c>
      <c r="K122" s="34">
        <f t="shared" si="36"/>
        <v>2911</v>
      </c>
      <c r="L122" s="34">
        <v>792</v>
      </c>
      <c r="M122" s="34">
        <f t="shared" si="50"/>
        <v>144</v>
      </c>
      <c r="N122" s="81">
        <f t="shared" si="45"/>
        <v>1478979</v>
      </c>
      <c r="O122" s="82">
        <f t="shared" si="46"/>
        <v>686910</v>
      </c>
      <c r="P122" s="82">
        <f t="shared" si="47"/>
        <v>2246106</v>
      </c>
      <c r="Q122" s="81">
        <f t="shared" si="48"/>
        <v>6093786</v>
      </c>
      <c r="R122" s="81">
        <f t="shared" si="48"/>
        <v>2815837</v>
      </c>
      <c r="S122" s="81">
        <f t="shared" si="48"/>
        <v>9195265</v>
      </c>
      <c r="T122" s="86">
        <f>N122/'2015'!M122-1</f>
        <v>-0.0688635251854273</v>
      </c>
      <c r="U122" s="86">
        <f>O122/'2015'!N122-1</f>
        <v>-0.011931732366712</v>
      </c>
      <c r="V122" s="86">
        <f>P122/'2015'!O122-1</f>
        <v>-0.0319443295130125</v>
      </c>
      <c r="W122" s="86">
        <f>Q122/'2015'!P122-1</f>
        <v>-0.0320240684056111</v>
      </c>
      <c r="X122" s="86">
        <f>R122/'2015'!Q122-1</f>
        <v>0.0970009934355338</v>
      </c>
      <c r="Y122" s="86">
        <f>S122/'2015'!R122-1</f>
        <v>0.0199647775659029</v>
      </c>
      <c r="Z122" s="53">
        <f>Z$115+0.385*7</f>
        <v>60.015</v>
      </c>
      <c r="AA122" s="53">
        <f t="shared" si="37"/>
        <v>549.3636</v>
      </c>
      <c r="AB122" s="34"/>
      <c r="AC122" s="34" t="e">
        <f t="shared" si="41"/>
        <v>#DIV/0!</v>
      </c>
      <c r="AD122" s="33">
        <f t="shared" si="38"/>
        <v>6379428</v>
      </c>
      <c r="AE122" s="34">
        <f t="shared" si="40"/>
        <v>183352</v>
      </c>
      <c r="AF122" s="34">
        <f t="shared" si="40"/>
        <v>89213</v>
      </c>
      <c r="AG122" s="34">
        <f t="shared" si="39"/>
        <v>13077</v>
      </c>
    </row>
    <row r="123" ht="15" customHeight="1" spans="1:33">
      <c r="A123" s="106">
        <v>42488</v>
      </c>
      <c r="B123" s="21" t="s">
        <v>36</v>
      </c>
      <c r="C123" s="9">
        <v>53231</v>
      </c>
      <c r="D123" s="38">
        <v>26944</v>
      </c>
      <c r="E123" s="38">
        <v>82759</v>
      </c>
      <c r="F123" s="9">
        <v>4193</v>
      </c>
      <c r="G123" s="38">
        <v>2740</v>
      </c>
      <c r="H123" s="25"/>
      <c r="I123" s="37"/>
      <c r="J123" s="9">
        <f t="shared" si="27"/>
        <v>55815</v>
      </c>
      <c r="K123" s="38">
        <f t="shared" si="36"/>
        <v>1649</v>
      </c>
      <c r="L123" s="38">
        <v>791</v>
      </c>
      <c r="M123" s="38">
        <f t="shared" si="50"/>
        <v>144</v>
      </c>
      <c r="N123" s="78">
        <f t="shared" si="45"/>
        <v>1532210</v>
      </c>
      <c r="O123" s="79">
        <f t="shared" si="46"/>
        <v>713854</v>
      </c>
      <c r="P123" s="79">
        <f t="shared" si="47"/>
        <v>2328865</v>
      </c>
      <c r="Q123" s="80">
        <f t="shared" si="48"/>
        <v>6147017</v>
      </c>
      <c r="R123" s="80">
        <f t="shared" si="48"/>
        <v>2842781</v>
      </c>
      <c r="S123" s="80">
        <f t="shared" si="48"/>
        <v>9278024</v>
      </c>
      <c r="T123" s="84">
        <f>N123/'2015'!M123-1</f>
        <v>-0.0705699803706049</v>
      </c>
      <c r="U123" s="84">
        <f>O123/'2015'!N123-1</f>
        <v>-0.0125052912321861</v>
      </c>
      <c r="V123" s="84">
        <f>P123/'2015'!O123-1</f>
        <v>-0.0334927256670076</v>
      </c>
      <c r="W123" s="85">
        <f>Q123/'2015'!P123-1</f>
        <v>-0.0328155782502271</v>
      </c>
      <c r="X123" s="85">
        <f>R123/'2015'!Q123-1</f>
        <v>0.0956786542811652</v>
      </c>
      <c r="Y123" s="85">
        <f>S123/'2015'!R123-1</f>
        <v>0.0190456033260473</v>
      </c>
      <c r="Z123" s="54">
        <f>Z$115+0.385*8</f>
        <v>60.4</v>
      </c>
      <c r="AA123" s="101">
        <f t="shared" si="37"/>
        <v>554.3017</v>
      </c>
      <c r="AB123" s="109">
        <v>4230.1</v>
      </c>
      <c r="AC123" s="109">
        <f t="shared" si="41"/>
        <v>1310.3749320347</v>
      </c>
      <c r="AD123" s="9">
        <f t="shared" si="38"/>
        <v>6435243</v>
      </c>
      <c r="AE123" s="38">
        <f t="shared" si="40"/>
        <v>185001</v>
      </c>
      <c r="AF123" s="38">
        <f t="shared" si="40"/>
        <v>90004</v>
      </c>
      <c r="AG123" s="38">
        <f t="shared" si="39"/>
        <v>13221</v>
      </c>
    </row>
    <row r="124" ht="15" customHeight="1" spans="1:33">
      <c r="A124" s="106">
        <v>42489</v>
      </c>
      <c r="B124" s="21" t="s">
        <v>37</v>
      </c>
      <c r="C124" s="74">
        <v>53723</v>
      </c>
      <c r="D124" s="75">
        <v>24241</v>
      </c>
      <c r="E124" s="75">
        <v>82960</v>
      </c>
      <c r="F124" s="74">
        <v>4193.3</v>
      </c>
      <c r="G124" s="75">
        <v>2776.8</v>
      </c>
      <c r="H124" s="25"/>
      <c r="I124" s="25"/>
      <c r="J124" s="74">
        <f t="shared" si="27"/>
        <v>58719</v>
      </c>
      <c r="K124" s="75">
        <f t="shared" si="36"/>
        <v>4059</v>
      </c>
      <c r="L124" s="75">
        <v>793</v>
      </c>
      <c r="M124" s="75">
        <f t="shared" si="50"/>
        <v>144</v>
      </c>
      <c r="N124" s="78">
        <f t="shared" si="45"/>
        <v>1585933</v>
      </c>
      <c r="O124" s="79">
        <f t="shared" si="46"/>
        <v>738095</v>
      </c>
      <c r="P124" s="79">
        <f t="shared" si="47"/>
        <v>2411825</v>
      </c>
      <c r="Q124" s="80">
        <f t="shared" si="48"/>
        <v>6200740</v>
      </c>
      <c r="R124" s="80">
        <f t="shared" si="48"/>
        <v>2867022</v>
      </c>
      <c r="S124" s="80">
        <f t="shared" si="48"/>
        <v>9360984</v>
      </c>
      <c r="T124" s="84">
        <f>N124/'2015'!M124-1</f>
        <v>-0.0716151008827054</v>
      </c>
      <c r="U124" s="84">
        <f>O124/'2015'!N124-1</f>
        <v>-0.0161920870971138</v>
      </c>
      <c r="V124" s="84">
        <f>P124/'2015'!O124-1</f>
        <v>-0.0346096730163432</v>
      </c>
      <c r="W124" s="85">
        <f>Q124/'2015'!P124-1</f>
        <v>-0.0334453467662161</v>
      </c>
      <c r="X124" s="85">
        <f>R124/'2015'!Q124-1</f>
        <v>0.0934952217638587</v>
      </c>
      <c r="Y124" s="85">
        <f>S124/'2015'!R124-1</f>
        <v>0.0182350424649662</v>
      </c>
      <c r="Z124" s="101">
        <f>Z$115+0.385*9</f>
        <v>60.785</v>
      </c>
      <c r="AA124" s="101">
        <f t="shared" si="37"/>
        <v>559.289</v>
      </c>
      <c r="AB124" s="110"/>
      <c r="AC124" s="109"/>
      <c r="AD124" s="74">
        <f t="shared" si="38"/>
        <v>6493962</v>
      </c>
      <c r="AE124" s="75">
        <f t="shared" si="40"/>
        <v>189060</v>
      </c>
      <c r="AF124" s="75">
        <f t="shared" si="40"/>
        <v>90797</v>
      </c>
      <c r="AG124" s="75">
        <f t="shared" si="39"/>
        <v>13365</v>
      </c>
    </row>
    <row r="125" s="1" customFormat="1" ht="15" customHeight="1" spans="1:33">
      <c r="A125" s="14">
        <v>42490</v>
      </c>
      <c r="B125" s="26" t="s">
        <v>38</v>
      </c>
      <c r="C125" s="43">
        <v>52899</v>
      </c>
      <c r="D125" s="44">
        <v>20095</v>
      </c>
      <c r="E125" s="44">
        <v>77052</v>
      </c>
      <c r="F125" s="43">
        <v>3874.2</v>
      </c>
      <c r="G125" s="44">
        <v>2747.5</v>
      </c>
      <c r="H125" s="31"/>
      <c r="I125" s="31"/>
      <c r="J125" s="43">
        <f t="shared" si="27"/>
        <v>56957</v>
      </c>
      <c r="K125" s="44">
        <f t="shared" si="36"/>
        <v>3123</v>
      </c>
      <c r="L125" s="44">
        <v>791</v>
      </c>
      <c r="M125" s="44">
        <f t="shared" si="50"/>
        <v>144</v>
      </c>
      <c r="N125" s="91">
        <f t="shared" si="45"/>
        <v>1638832</v>
      </c>
      <c r="O125" s="92">
        <f t="shared" si="46"/>
        <v>758190</v>
      </c>
      <c r="P125" s="92">
        <f t="shared" si="47"/>
        <v>2488877</v>
      </c>
      <c r="Q125" s="91">
        <f t="shared" si="48"/>
        <v>6253639</v>
      </c>
      <c r="R125" s="91">
        <f t="shared" si="48"/>
        <v>2887117</v>
      </c>
      <c r="S125" s="91">
        <f t="shared" si="48"/>
        <v>9438036</v>
      </c>
      <c r="T125" s="93">
        <f>N125/'2015'!M125-1</f>
        <v>-0.0722029202278799</v>
      </c>
      <c r="U125" s="93">
        <f>O125/'2015'!N125-1</f>
        <v>-0.0237134402773093</v>
      </c>
      <c r="V125" s="93">
        <f>P125/'2015'!O125-1</f>
        <v>-0.0368141702512186</v>
      </c>
      <c r="W125" s="93">
        <f>Q125/'2015'!P125-1</f>
        <v>-0.0339483115518893</v>
      </c>
      <c r="X125" s="93">
        <f>R125/'2015'!Q125-1</f>
        <v>0.0901976436523577</v>
      </c>
      <c r="Y125" s="93">
        <f>S125/'2015'!R125-1</f>
        <v>0.0171329891460965</v>
      </c>
      <c r="Z125" s="56">
        <v>61.1689</v>
      </c>
      <c r="AA125" s="56">
        <f t="shared" si="37"/>
        <v>564.195</v>
      </c>
      <c r="AB125" s="44">
        <v>4230.1</v>
      </c>
      <c r="AC125" s="44">
        <f t="shared" si="41"/>
        <v>1333.76279520579</v>
      </c>
      <c r="AD125" s="43">
        <f t="shared" si="38"/>
        <v>6550919</v>
      </c>
      <c r="AE125" s="44">
        <v>192188</v>
      </c>
      <c r="AF125" s="44">
        <v>91583</v>
      </c>
      <c r="AG125" s="44">
        <f t="shared" si="39"/>
        <v>13509</v>
      </c>
    </row>
    <row r="126" ht="15" customHeight="1" spans="1:33">
      <c r="A126" s="14">
        <v>42491</v>
      </c>
      <c r="B126" s="21" t="s">
        <v>1</v>
      </c>
      <c r="C126" s="9">
        <v>36095</v>
      </c>
      <c r="D126" s="38">
        <f>11307+8933</f>
        <v>20240</v>
      </c>
      <c r="E126" s="38">
        <v>57844</v>
      </c>
      <c r="F126" s="9">
        <v>2780.7</v>
      </c>
      <c r="G126" s="38">
        <v>2051.7</v>
      </c>
      <c r="H126" s="25"/>
      <c r="I126" s="37"/>
      <c r="J126" s="9">
        <f t="shared" si="27"/>
        <v>37604</v>
      </c>
      <c r="K126" s="38">
        <f t="shared" si="36"/>
        <v>554.4</v>
      </c>
      <c r="L126" s="38">
        <v>791</v>
      </c>
      <c r="M126" s="38">
        <f>(AG$135-AG$125)/10</f>
        <v>163.6</v>
      </c>
      <c r="N126" s="78">
        <f>C126</f>
        <v>36095</v>
      </c>
      <c r="O126" s="79">
        <f>D126</f>
        <v>20240</v>
      </c>
      <c r="P126" s="79">
        <f>E126</f>
        <v>57844</v>
      </c>
      <c r="Q126" s="80">
        <f>N126+Q$125</f>
        <v>6289734</v>
      </c>
      <c r="R126" s="80">
        <f>O126+R$125</f>
        <v>2907357</v>
      </c>
      <c r="S126" s="80">
        <f>P126+S$125</f>
        <v>9495880</v>
      </c>
      <c r="T126" s="84">
        <f>N126/'2015'!M126-1</f>
        <v>-0.134827420901246</v>
      </c>
      <c r="U126" s="84">
        <f>O126/'2015'!N126-1</f>
        <v>0.0769394487602426</v>
      </c>
      <c r="V126" s="84">
        <f>P126/'2015'!O126-1</f>
        <v>-0.0604401851701454</v>
      </c>
      <c r="W126" s="85">
        <f>Q126/'2015'!P126-1</f>
        <v>-0.0345942975724162</v>
      </c>
      <c r="X126" s="85">
        <f>R126/'2015'!Q126-1</f>
        <v>0.0901042164642891</v>
      </c>
      <c r="Y126" s="85">
        <f>S126/'2015'!R126-1</f>
        <v>0.0166216964328825</v>
      </c>
      <c r="Z126" s="54">
        <f>Z$125+0.26*1</f>
        <v>61.4289</v>
      </c>
      <c r="AA126" s="101">
        <f t="shared" si="37"/>
        <v>567.5445</v>
      </c>
      <c r="AB126" s="109"/>
      <c r="AC126" s="109"/>
      <c r="AD126" s="9">
        <f t="shared" si="38"/>
        <v>6588523</v>
      </c>
      <c r="AE126" s="38">
        <f t="shared" si="40"/>
        <v>192742.4</v>
      </c>
      <c r="AF126" s="38">
        <f t="shared" si="40"/>
        <v>92374</v>
      </c>
      <c r="AG126" s="38">
        <f t="shared" si="39"/>
        <v>13672.6</v>
      </c>
    </row>
    <row r="127" ht="15" customHeight="1" spans="1:33">
      <c r="A127" s="14">
        <v>42492</v>
      </c>
      <c r="B127" s="21" t="s">
        <v>39</v>
      </c>
      <c r="C127" s="9">
        <v>41204</v>
      </c>
      <c r="D127" s="38">
        <f>10367+9102</f>
        <v>19469</v>
      </c>
      <c r="E127" s="38">
        <v>63499</v>
      </c>
      <c r="F127" s="9">
        <v>3133</v>
      </c>
      <c r="G127" s="38">
        <v>1975.7</v>
      </c>
      <c r="H127" s="25"/>
      <c r="I127" s="37"/>
      <c r="J127" s="9">
        <f t="shared" si="27"/>
        <v>44030</v>
      </c>
      <c r="K127" s="38">
        <f t="shared" si="36"/>
        <v>1871.4</v>
      </c>
      <c r="L127" s="38">
        <v>791</v>
      </c>
      <c r="M127" s="38">
        <f t="shared" ref="M127:M135" si="51">(AG$135-AG$125)/10</f>
        <v>163.6</v>
      </c>
      <c r="N127" s="78">
        <f t="shared" ref="N127:P134" si="52">N126+C127</f>
        <v>77299</v>
      </c>
      <c r="O127" s="79">
        <f t="shared" si="52"/>
        <v>39709</v>
      </c>
      <c r="P127" s="79">
        <f t="shared" si="52"/>
        <v>121343</v>
      </c>
      <c r="Q127" s="80">
        <f t="shared" ref="Q127:S156" si="53">N127+Q$125</f>
        <v>6330938</v>
      </c>
      <c r="R127" s="80">
        <f t="shared" si="53"/>
        <v>2926826</v>
      </c>
      <c r="S127" s="80">
        <f t="shared" si="53"/>
        <v>9559379</v>
      </c>
      <c r="T127" s="84">
        <f>N127/'2015'!M127-1</f>
        <v>-0.0900540324194516</v>
      </c>
      <c r="U127" s="84">
        <f>O127/'2015'!N127-1</f>
        <v>-0.0100468687674511</v>
      </c>
      <c r="V127" s="84">
        <f>P127/'2015'!O127-1</f>
        <v>-0.0464204322200393</v>
      </c>
      <c r="W127" s="85">
        <f>Q127/'2015'!P127-1</f>
        <v>-0.0346750378791979</v>
      </c>
      <c r="X127" s="85">
        <f>R127/'2015'!Q127-1</f>
        <v>0.0887019349693474</v>
      </c>
      <c r="Y127" s="85">
        <f>S127/'2015'!R127-1</f>
        <v>0.0162732285610889</v>
      </c>
      <c r="Z127" s="54">
        <f>Z$125+0.26*2</f>
        <v>61.6889</v>
      </c>
      <c r="AA127" s="101">
        <f t="shared" si="37"/>
        <v>571.4049</v>
      </c>
      <c r="AB127" s="109"/>
      <c r="AC127" s="109"/>
      <c r="AD127" s="9">
        <f t="shared" si="38"/>
        <v>6632553</v>
      </c>
      <c r="AE127" s="38">
        <f t="shared" si="40"/>
        <v>194613.8</v>
      </c>
      <c r="AF127" s="38">
        <f t="shared" si="40"/>
        <v>93165</v>
      </c>
      <c r="AG127" s="38">
        <f t="shared" si="39"/>
        <v>13836.2</v>
      </c>
    </row>
    <row r="128" ht="15" customHeight="1" spans="1:33">
      <c r="A128" s="106">
        <v>42493</v>
      </c>
      <c r="B128" s="21" t="s">
        <v>34</v>
      </c>
      <c r="C128" s="9">
        <v>49457</v>
      </c>
      <c r="D128" s="38">
        <f>12156+9901</f>
        <v>22057</v>
      </c>
      <c r="E128" s="38">
        <v>75464</v>
      </c>
      <c r="F128" s="9">
        <v>3854.4</v>
      </c>
      <c r="G128" s="38">
        <v>2266.3</v>
      </c>
      <c r="H128" s="25"/>
      <c r="I128" s="37"/>
      <c r="J128" s="9">
        <f t="shared" si="27"/>
        <v>53407</v>
      </c>
      <c r="K128" s="38">
        <f t="shared" si="36"/>
        <v>2993.4</v>
      </c>
      <c r="L128" s="38">
        <v>793</v>
      </c>
      <c r="M128" s="38">
        <f t="shared" si="51"/>
        <v>163.6</v>
      </c>
      <c r="N128" s="78">
        <f t="shared" si="52"/>
        <v>126756</v>
      </c>
      <c r="O128" s="79">
        <f t="shared" si="52"/>
        <v>61766</v>
      </c>
      <c r="P128" s="79">
        <f t="shared" si="52"/>
        <v>196807</v>
      </c>
      <c r="Q128" s="80">
        <f t="shared" si="53"/>
        <v>6380395</v>
      </c>
      <c r="R128" s="80">
        <f t="shared" si="53"/>
        <v>2948883</v>
      </c>
      <c r="S128" s="80">
        <f t="shared" si="53"/>
        <v>9634843</v>
      </c>
      <c r="T128" s="84">
        <f>N128/'2015'!M128-1</f>
        <v>-0.0872458090903854</v>
      </c>
      <c r="U128" s="84">
        <f>O128/'2015'!N128-1</f>
        <v>-0.00801413314060873</v>
      </c>
      <c r="V128" s="84">
        <f>P128/'2015'!O128-1</f>
        <v>-0.0370064099427508</v>
      </c>
      <c r="W128" s="85">
        <f>Q128/'2015'!P128-1</f>
        <v>-0.0350676741670639</v>
      </c>
      <c r="X128" s="85">
        <f>R128/'2015'!Q128-1</f>
        <v>0.0879415579911722</v>
      </c>
      <c r="Y128" s="85">
        <f>S128/'2015'!R128-1</f>
        <v>0.0159662729553069</v>
      </c>
      <c r="Z128" s="54">
        <f>Z$125+0.26*3</f>
        <v>61.9489</v>
      </c>
      <c r="AA128" s="101">
        <f t="shared" si="37"/>
        <v>576.0906</v>
      </c>
      <c r="AB128" s="109"/>
      <c r="AC128" s="109"/>
      <c r="AD128" s="9">
        <f t="shared" si="38"/>
        <v>6685960</v>
      </c>
      <c r="AE128" s="38">
        <f t="shared" si="40"/>
        <v>197607.2</v>
      </c>
      <c r="AF128" s="38">
        <f t="shared" si="40"/>
        <v>93958</v>
      </c>
      <c r="AG128" s="38">
        <f t="shared" si="39"/>
        <v>13999.8</v>
      </c>
    </row>
    <row r="129" ht="15" customHeight="1" spans="1:33">
      <c r="A129" s="106">
        <v>42494</v>
      </c>
      <c r="B129" s="15" t="s">
        <v>35</v>
      </c>
      <c r="C129" s="33">
        <v>57523</v>
      </c>
      <c r="D129" s="34">
        <f>10666+10099</f>
        <v>20765</v>
      </c>
      <c r="E129" s="34">
        <v>82258</v>
      </c>
      <c r="F129" s="33">
        <v>4130.3</v>
      </c>
      <c r="G129" s="34">
        <v>2702.2</v>
      </c>
      <c r="H129" s="20"/>
      <c r="I129" s="20"/>
      <c r="J129" s="33">
        <f t="shared" ref="J129:J192" si="54">E129-D129</f>
        <v>61493</v>
      </c>
      <c r="K129" s="34">
        <f t="shared" si="36"/>
        <v>3014.4</v>
      </c>
      <c r="L129" s="34">
        <v>792</v>
      </c>
      <c r="M129" s="34">
        <f t="shared" si="51"/>
        <v>163.6</v>
      </c>
      <c r="N129" s="81">
        <f t="shared" si="52"/>
        <v>184279</v>
      </c>
      <c r="O129" s="82">
        <f t="shared" si="52"/>
        <v>82531</v>
      </c>
      <c r="P129" s="82">
        <f t="shared" si="52"/>
        <v>279065</v>
      </c>
      <c r="Q129" s="81">
        <f t="shared" si="53"/>
        <v>6437918</v>
      </c>
      <c r="R129" s="81">
        <f t="shared" si="53"/>
        <v>2969648</v>
      </c>
      <c r="S129" s="81">
        <f t="shared" si="53"/>
        <v>9717101</v>
      </c>
      <c r="T129" s="86">
        <f>N129/'2015'!M129-1</f>
        <v>-0.0786971302869713</v>
      </c>
      <c r="U129" s="86">
        <f>O129/'2015'!N129-1</f>
        <v>-0.0375618061386324</v>
      </c>
      <c r="V129" s="86">
        <f>P129/'2015'!O129-1</f>
        <v>-0.0379159010283973</v>
      </c>
      <c r="W129" s="86">
        <f>Q129/'2015'!P129-1</f>
        <v>-0.0352895516841439</v>
      </c>
      <c r="X129" s="86">
        <f>R129/'2015'!Q129-1</f>
        <v>0.086190468701022</v>
      </c>
      <c r="Y129" s="86">
        <f>S129/'2015'!R129-1</f>
        <v>0.0154643253021882</v>
      </c>
      <c r="Z129" s="53">
        <f>Z$125+0.26*4</f>
        <v>62.2089</v>
      </c>
      <c r="AA129" s="53">
        <f t="shared" si="37"/>
        <v>581.5829</v>
      </c>
      <c r="AB129" s="34">
        <v>4230.1</v>
      </c>
      <c r="AC129" s="34">
        <f t="shared" si="41"/>
        <v>1374.86797002435</v>
      </c>
      <c r="AD129" s="33">
        <f t="shared" si="38"/>
        <v>6747453</v>
      </c>
      <c r="AE129" s="34">
        <f t="shared" si="40"/>
        <v>200621.6</v>
      </c>
      <c r="AF129" s="34">
        <f t="shared" si="40"/>
        <v>94750</v>
      </c>
      <c r="AG129" s="34">
        <f t="shared" si="39"/>
        <v>14163.4</v>
      </c>
    </row>
    <row r="130" ht="15" customHeight="1" spans="1:33">
      <c r="A130" s="106">
        <v>42495</v>
      </c>
      <c r="B130" s="21" t="s">
        <v>36</v>
      </c>
      <c r="C130" s="9">
        <v>59295</v>
      </c>
      <c r="D130" s="38">
        <f>11177+10152</f>
        <v>21329</v>
      </c>
      <c r="E130" s="38">
        <v>84150</v>
      </c>
      <c r="F130" s="9">
        <v>4256.3</v>
      </c>
      <c r="G130" s="38">
        <v>2820.2</v>
      </c>
      <c r="H130" s="25"/>
      <c r="I130" s="37"/>
      <c r="J130" s="9">
        <f t="shared" si="54"/>
        <v>62821</v>
      </c>
      <c r="K130" s="38">
        <f t="shared" si="36"/>
        <v>2569.4</v>
      </c>
      <c r="L130" s="38">
        <v>793</v>
      </c>
      <c r="M130" s="38">
        <f t="shared" si="51"/>
        <v>163.6</v>
      </c>
      <c r="N130" s="78">
        <f t="shared" si="52"/>
        <v>243574</v>
      </c>
      <c r="O130" s="79">
        <f t="shared" si="52"/>
        <v>103860</v>
      </c>
      <c r="P130" s="79">
        <f t="shared" si="52"/>
        <v>363215</v>
      </c>
      <c r="Q130" s="80">
        <f t="shared" si="53"/>
        <v>6497213</v>
      </c>
      <c r="R130" s="80">
        <f t="shared" si="53"/>
        <v>2990977</v>
      </c>
      <c r="S130" s="80">
        <f t="shared" si="53"/>
        <v>9801251</v>
      </c>
      <c r="T130" s="84">
        <f>N130/'2015'!M130-1</f>
        <v>-0.068344030415924</v>
      </c>
      <c r="U130" s="84">
        <f>O130/'2015'!N130-1</f>
        <v>-0.0549934488280681</v>
      </c>
      <c r="V130" s="84">
        <f>P130/'2015'!O130-1</f>
        <v>-0.0373106241319721</v>
      </c>
      <c r="W130" s="85">
        <f>Q130/'2015'!P130-1</f>
        <v>-0.0352835300367849</v>
      </c>
      <c r="X130" s="85">
        <f>R130/'2015'!Q130-1</f>
        <v>0.0844122248387056</v>
      </c>
      <c r="Y130" s="85">
        <f>S130/'2015'!R130-1</f>
        <v>0.0150057734029938</v>
      </c>
      <c r="Z130" s="54">
        <f>Z$125+0.26*5</f>
        <v>62.4689</v>
      </c>
      <c r="AA130" s="101">
        <f t="shared" si="37"/>
        <v>587.2524</v>
      </c>
      <c r="AB130" s="109">
        <v>4230.1</v>
      </c>
      <c r="AC130" s="109">
        <f t="shared" si="41"/>
        <v>1388.27072646037</v>
      </c>
      <c r="AD130" s="9">
        <f t="shared" si="38"/>
        <v>6810274</v>
      </c>
      <c r="AE130" s="38">
        <f t="shared" si="40"/>
        <v>203191</v>
      </c>
      <c r="AF130" s="38">
        <f t="shared" si="40"/>
        <v>95543</v>
      </c>
      <c r="AG130" s="38">
        <f t="shared" si="39"/>
        <v>14327</v>
      </c>
    </row>
    <row r="131" ht="15" customHeight="1" spans="1:33">
      <c r="A131" s="106">
        <v>42496</v>
      </c>
      <c r="B131" s="21" t="s">
        <v>37</v>
      </c>
      <c r="C131" s="74">
        <v>59874</v>
      </c>
      <c r="D131" s="75">
        <v>22350</v>
      </c>
      <c r="E131" s="75">
        <v>85515</v>
      </c>
      <c r="F131" s="74">
        <v>4312</v>
      </c>
      <c r="G131" s="75">
        <v>2765</v>
      </c>
      <c r="H131" s="25"/>
      <c r="I131" s="25"/>
      <c r="J131" s="74">
        <f t="shared" si="54"/>
        <v>63165</v>
      </c>
      <c r="K131" s="75">
        <f t="shared" si="36"/>
        <v>2337.4</v>
      </c>
      <c r="L131" s="75">
        <v>790</v>
      </c>
      <c r="M131" s="75">
        <f t="shared" si="51"/>
        <v>163.6</v>
      </c>
      <c r="N131" s="78">
        <f t="shared" si="52"/>
        <v>303448</v>
      </c>
      <c r="O131" s="79">
        <f t="shared" si="52"/>
        <v>126210</v>
      </c>
      <c r="P131" s="79">
        <f t="shared" si="52"/>
        <v>448730</v>
      </c>
      <c r="Q131" s="80">
        <f t="shared" si="53"/>
        <v>6557087</v>
      </c>
      <c r="R131" s="80">
        <f t="shared" si="53"/>
        <v>3013327</v>
      </c>
      <c r="S131" s="80">
        <f t="shared" si="53"/>
        <v>9886766</v>
      </c>
      <c r="T131" s="84">
        <f>N131/'2015'!M131-1</f>
        <v>-0.060218277318732</v>
      </c>
      <c r="U131" s="84">
        <f>O131/'2015'!N131-1</f>
        <v>-0.0700159160575337</v>
      </c>
      <c r="V131" s="84">
        <f>P131/'2015'!O131-1</f>
        <v>-0.0358828698561119</v>
      </c>
      <c r="W131" s="85">
        <f>Q131/'2015'!P131-1</f>
        <v>-0.0351963982712926</v>
      </c>
      <c r="X131" s="85">
        <f>R131/'2015'!Q131-1</f>
        <v>0.0823875892028738</v>
      </c>
      <c r="Y131" s="85">
        <f>S131/'2015'!R131-1</f>
        <v>0.0146007656224969</v>
      </c>
      <c r="Z131" s="101">
        <f>Z$125+0.26*6</f>
        <v>62.7289</v>
      </c>
      <c r="AA131" s="101">
        <f t="shared" si="37"/>
        <v>592.9798</v>
      </c>
      <c r="AB131" s="110"/>
      <c r="AC131" s="109"/>
      <c r="AD131" s="74">
        <f t="shared" si="38"/>
        <v>6873439</v>
      </c>
      <c r="AE131" s="75">
        <f t="shared" si="40"/>
        <v>205528.4</v>
      </c>
      <c r="AF131" s="75">
        <f t="shared" si="40"/>
        <v>96333</v>
      </c>
      <c r="AG131" s="75">
        <f t="shared" si="39"/>
        <v>14490.6</v>
      </c>
    </row>
    <row r="132" ht="15" customHeight="1" spans="1:33">
      <c r="A132" s="106">
        <v>42497</v>
      </c>
      <c r="B132" s="21" t="s">
        <v>38</v>
      </c>
      <c r="C132" s="9">
        <v>54610</v>
      </c>
      <c r="D132" s="38">
        <v>23875</v>
      </c>
      <c r="E132" s="38">
        <v>82156</v>
      </c>
      <c r="F132" s="9">
        <v>4240</v>
      </c>
      <c r="G132" s="38">
        <v>2760</v>
      </c>
      <c r="H132" s="25"/>
      <c r="I132" s="37"/>
      <c r="J132" s="9">
        <f t="shared" si="54"/>
        <v>58281</v>
      </c>
      <c r="K132" s="38">
        <f t="shared" si="36"/>
        <v>2716.4</v>
      </c>
      <c r="L132" s="38">
        <v>791</v>
      </c>
      <c r="M132" s="38">
        <f t="shared" si="51"/>
        <v>163.6</v>
      </c>
      <c r="N132" s="78">
        <f t="shared" si="52"/>
        <v>358058</v>
      </c>
      <c r="O132" s="79">
        <f t="shared" si="52"/>
        <v>150085</v>
      </c>
      <c r="P132" s="79">
        <f t="shared" si="52"/>
        <v>530886</v>
      </c>
      <c r="Q132" s="80">
        <f t="shared" si="53"/>
        <v>6611697</v>
      </c>
      <c r="R132" s="80">
        <f t="shared" si="53"/>
        <v>3037202</v>
      </c>
      <c r="S132" s="80">
        <f t="shared" si="53"/>
        <v>9968922</v>
      </c>
      <c r="T132" s="84">
        <f>N132/'2015'!M132-1</f>
        <v>-0.0667479871868052</v>
      </c>
      <c r="U132" s="84">
        <f>O132/'2015'!N132-1</f>
        <v>-0.0758085174511688</v>
      </c>
      <c r="V132" s="84">
        <f>P132/'2015'!O132-1</f>
        <v>-0.0426448152863486</v>
      </c>
      <c r="W132" s="85">
        <f>Q132/'2015'!P132-1</f>
        <v>-0.0357835208551994</v>
      </c>
      <c r="X132" s="85">
        <f>R132/'2015'!Q132-1</f>
        <v>0.0806059957013456</v>
      </c>
      <c r="Y132" s="85">
        <f>S132/'2015'!R132-1</f>
        <v>0.0137620108704937</v>
      </c>
      <c r="Z132" s="54">
        <f>Z$125+0.26*7</f>
        <v>62.9889</v>
      </c>
      <c r="AA132" s="101">
        <f t="shared" si="37"/>
        <v>598.1808</v>
      </c>
      <c r="AB132" s="109"/>
      <c r="AC132" s="109"/>
      <c r="AD132" s="9">
        <f t="shared" si="38"/>
        <v>6931720</v>
      </c>
      <c r="AE132" s="38">
        <f t="shared" si="40"/>
        <v>208244.8</v>
      </c>
      <c r="AF132" s="38">
        <f t="shared" si="40"/>
        <v>97124</v>
      </c>
      <c r="AG132" s="38">
        <f t="shared" si="39"/>
        <v>14654.2</v>
      </c>
    </row>
    <row r="133" ht="15" customHeight="1" spans="1:33">
      <c r="A133" s="106">
        <v>42498</v>
      </c>
      <c r="B133" s="21" t="s">
        <v>1</v>
      </c>
      <c r="C133" s="9">
        <v>50204</v>
      </c>
      <c r="D133" s="38">
        <v>23619</v>
      </c>
      <c r="E133" s="38">
        <v>77395</v>
      </c>
      <c r="F133" s="9">
        <v>3923</v>
      </c>
      <c r="G133" s="38">
        <v>2658</v>
      </c>
      <c r="H133" s="25"/>
      <c r="I133" s="37"/>
      <c r="J133" s="9">
        <f t="shared" si="54"/>
        <v>53776</v>
      </c>
      <c r="K133" s="38">
        <f t="shared" si="36"/>
        <v>2616.4</v>
      </c>
      <c r="L133" s="38">
        <v>792</v>
      </c>
      <c r="M133" s="38">
        <f t="shared" si="51"/>
        <v>163.6</v>
      </c>
      <c r="N133" s="78">
        <f t="shared" si="52"/>
        <v>408262</v>
      </c>
      <c r="O133" s="79">
        <f t="shared" si="52"/>
        <v>173704</v>
      </c>
      <c r="P133" s="79">
        <f t="shared" si="52"/>
        <v>608281</v>
      </c>
      <c r="Q133" s="80">
        <f t="shared" si="53"/>
        <v>6661901</v>
      </c>
      <c r="R133" s="80">
        <f t="shared" si="53"/>
        <v>3060821</v>
      </c>
      <c r="S133" s="80">
        <f t="shared" si="53"/>
        <v>10046317</v>
      </c>
      <c r="T133" s="84">
        <f>N133/'2015'!M133-1</f>
        <v>-0.0808387817222312</v>
      </c>
      <c r="U133" s="84">
        <f>O133/'2015'!N133-1</f>
        <v>-0.0804203393419625</v>
      </c>
      <c r="V133" s="84">
        <f>P133/'2015'!O133-1</f>
        <v>-0.0538393576546056</v>
      </c>
      <c r="W133" s="85">
        <f>Q133/'2015'!P133-1</f>
        <v>-0.0369590873555562</v>
      </c>
      <c r="X133" s="85">
        <f>R133/'2015'!Q133-1</f>
        <v>0.0788380294845594</v>
      </c>
      <c r="Y133" s="85">
        <f>S133/'2015'!R133-1</f>
        <v>0.01253432792257</v>
      </c>
      <c r="Z133" s="54">
        <f>Z$125+0.26*8</f>
        <v>63.2489</v>
      </c>
      <c r="AA133" s="101">
        <f t="shared" si="37"/>
        <v>602.9412</v>
      </c>
      <c r="AB133" s="109"/>
      <c r="AC133" s="109"/>
      <c r="AD133" s="9">
        <f t="shared" si="38"/>
        <v>6985496</v>
      </c>
      <c r="AE133" s="38">
        <f t="shared" si="40"/>
        <v>210861.2</v>
      </c>
      <c r="AF133" s="38">
        <f t="shared" si="40"/>
        <v>97916</v>
      </c>
      <c r="AG133" s="38">
        <f t="shared" si="39"/>
        <v>14817.8</v>
      </c>
    </row>
    <row r="134" ht="15" customHeight="1" spans="1:33">
      <c r="A134" s="106">
        <v>42499</v>
      </c>
      <c r="B134" s="21" t="s">
        <v>39</v>
      </c>
      <c r="C134" s="9">
        <v>54328</v>
      </c>
      <c r="D134" s="38">
        <v>24212</v>
      </c>
      <c r="E134" s="38">
        <v>81692</v>
      </c>
      <c r="F134" s="9">
        <v>4239</v>
      </c>
      <c r="G134" s="38">
        <v>2560</v>
      </c>
      <c r="H134" s="25"/>
      <c r="I134" s="37"/>
      <c r="J134" s="9">
        <f t="shared" si="54"/>
        <v>57480</v>
      </c>
      <c r="K134" s="38">
        <f t="shared" ref="K134:K197" si="55">J134-C134-M134-L134</f>
        <v>2196.4</v>
      </c>
      <c r="L134" s="38">
        <v>792</v>
      </c>
      <c r="M134" s="38">
        <f t="shared" si="51"/>
        <v>163.6</v>
      </c>
      <c r="N134" s="78">
        <f t="shared" si="52"/>
        <v>462590</v>
      </c>
      <c r="O134" s="79">
        <f t="shared" si="52"/>
        <v>197916</v>
      </c>
      <c r="P134" s="79">
        <f t="shared" si="52"/>
        <v>689973</v>
      </c>
      <c r="Q134" s="80">
        <f t="shared" si="53"/>
        <v>6716229</v>
      </c>
      <c r="R134" s="80">
        <f t="shared" si="53"/>
        <v>3085033</v>
      </c>
      <c r="S134" s="80">
        <f t="shared" si="53"/>
        <v>10128009</v>
      </c>
      <c r="T134" s="84">
        <f>N134/'2015'!M134-1</f>
        <v>-0.0834738400026945</v>
      </c>
      <c r="U134" s="84">
        <f>O134/'2015'!N134-1</f>
        <v>-0.0773275898239185</v>
      </c>
      <c r="V134" s="84">
        <f>P134/'2015'!O134-1</f>
        <v>-0.054783598620752</v>
      </c>
      <c r="W134" s="85">
        <f>Q134/'2015'!P134-1</f>
        <v>-0.0375304469498308</v>
      </c>
      <c r="X134" s="85">
        <f>R134/'2015'!Q134-1</f>
        <v>0.0776451626650421</v>
      </c>
      <c r="Y134" s="85">
        <f>S134/'2015'!R134-1</f>
        <v>0.0118880757668507</v>
      </c>
      <c r="Z134" s="54">
        <f>Z$125+0.26*9</f>
        <v>63.5089</v>
      </c>
      <c r="AA134" s="101">
        <f t="shared" ref="AA134:AA197" si="56">Q134/10000-Z134</f>
        <v>608.114</v>
      </c>
      <c r="AB134" s="109"/>
      <c r="AC134" s="109"/>
      <c r="AD134" s="9">
        <f t="shared" ref="AD134:AD197" si="57">S134-R134</f>
        <v>7042976</v>
      </c>
      <c r="AE134" s="38">
        <f t="shared" si="40"/>
        <v>213057.6</v>
      </c>
      <c r="AF134" s="38">
        <f t="shared" si="40"/>
        <v>98708</v>
      </c>
      <c r="AG134" s="38">
        <f t="shared" ref="AG134:AG197" si="58">AD134-Q134-AE134-AF134</f>
        <v>14981.4000000001</v>
      </c>
    </row>
    <row r="135" ht="15" customHeight="1" spans="1:33">
      <c r="A135" s="106">
        <v>42500</v>
      </c>
      <c r="B135" s="21" t="s">
        <v>34</v>
      </c>
      <c r="C135" s="9">
        <v>52512</v>
      </c>
      <c r="D135" s="38">
        <v>26440</v>
      </c>
      <c r="E135" s="38">
        <v>82858</v>
      </c>
      <c r="F135" s="9">
        <v>4202</v>
      </c>
      <c r="G135" s="38">
        <v>2688</v>
      </c>
      <c r="H135" s="25"/>
      <c r="I135" s="37"/>
      <c r="J135" s="9">
        <f t="shared" si="54"/>
        <v>56418</v>
      </c>
      <c r="K135" s="38">
        <f t="shared" si="55"/>
        <v>2953.4</v>
      </c>
      <c r="L135" s="38">
        <v>789</v>
      </c>
      <c r="M135" s="38">
        <f t="shared" si="51"/>
        <v>163.6</v>
      </c>
      <c r="N135" s="78">
        <v>515103</v>
      </c>
      <c r="O135" s="79">
        <v>224356</v>
      </c>
      <c r="P135" s="79">
        <v>772909</v>
      </c>
      <c r="Q135" s="80">
        <f t="shared" si="53"/>
        <v>6768742</v>
      </c>
      <c r="R135" s="80">
        <f t="shared" si="53"/>
        <v>3111473</v>
      </c>
      <c r="S135" s="80">
        <f t="shared" si="53"/>
        <v>10210945</v>
      </c>
      <c r="T135" s="84">
        <f>N135/'2015'!M135-1</f>
        <v>-0.0830680992865382</v>
      </c>
      <c r="U135" s="84">
        <f>O135/'2015'!N135-1</f>
        <v>-0.062605498454082</v>
      </c>
      <c r="V135" s="84">
        <f>P135/'2015'!O135-1</f>
        <v>-0.0491147606328991</v>
      </c>
      <c r="W135" s="85">
        <f>Q135/'2015'!P135-1</f>
        <v>-0.0378705952722096</v>
      </c>
      <c r="X135" s="85">
        <f>R135/'2015'!Q135-1</f>
        <v>0.0775324483280353</v>
      </c>
      <c r="Y135" s="85">
        <f>S135/'2015'!R135-1</f>
        <v>0.0117971967388861</v>
      </c>
      <c r="Z135" s="54">
        <v>63.772</v>
      </c>
      <c r="AA135" s="101">
        <f t="shared" si="56"/>
        <v>613.1022</v>
      </c>
      <c r="AB135" s="109">
        <v>4230.1</v>
      </c>
      <c r="AC135" s="109">
        <f t="shared" si="41"/>
        <v>1449.37992009645</v>
      </c>
      <c r="AD135" s="9">
        <f t="shared" si="57"/>
        <v>7099472</v>
      </c>
      <c r="AE135" s="38">
        <v>216091</v>
      </c>
      <c r="AF135" s="38">
        <v>99494</v>
      </c>
      <c r="AG135" s="38">
        <f t="shared" si="58"/>
        <v>15145</v>
      </c>
    </row>
    <row r="136" ht="15" customHeight="1" spans="1:33">
      <c r="A136" s="106">
        <v>42501</v>
      </c>
      <c r="B136" s="15" t="s">
        <v>35</v>
      </c>
      <c r="C136" s="33">
        <v>50801</v>
      </c>
      <c r="D136" s="34">
        <v>26256</v>
      </c>
      <c r="E136" s="34">
        <v>81224</v>
      </c>
      <c r="F136" s="33">
        <v>4135</v>
      </c>
      <c r="G136" s="34">
        <v>2665</v>
      </c>
      <c r="H136" s="20"/>
      <c r="I136" s="20"/>
      <c r="J136" s="33">
        <f t="shared" si="54"/>
        <v>54968</v>
      </c>
      <c r="K136" s="34">
        <f t="shared" si="55"/>
        <v>3167</v>
      </c>
      <c r="L136" s="34">
        <v>791</v>
      </c>
      <c r="M136" s="34">
        <f>(AG$145-AG$135)/10</f>
        <v>209</v>
      </c>
      <c r="N136" s="81">
        <f t="shared" ref="N136:N156" si="59">N135+C136</f>
        <v>565904</v>
      </c>
      <c r="O136" s="82">
        <f t="shared" ref="O136:O156" si="60">O135+D136</f>
        <v>250612</v>
      </c>
      <c r="P136" s="82">
        <f t="shared" ref="P136:P156" si="61">P135+E136</f>
        <v>854133</v>
      </c>
      <c r="Q136" s="81">
        <f t="shared" si="53"/>
        <v>6819543</v>
      </c>
      <c r="R136" s="81">
        <f t="shared" si="53"/>
        <v>3137729</v>
      </c>
      <c r="S136" s="81">
        <f t="shared" si="53"/>
        <v>10292169</v>
      </c>
      <c r="T136" s="86">
        <f>N136/'2015'!M136-1</f>
        <v>-0.0887933158253214</v>
      </c>
      <c r="U136" s="86">
        <f>O136/'2015'!N136-1</f>
        <v>-0.0530579549147189</v>
      </c>
      <c r="V136" s="86">
        <f>P136/'2015'!O136-1</f>
        <v>-0.0492128285075968</v>
      </c>
      <c r="W136" s="86">
        <f>Q136/'2015'!P136-1</f>
        <v>-0.0387494504506269</v>
      </c>
      <c r="X136" s="86">
        <f>R136/'2015'!Q136-1</f>
        <v>0.0771820570873407</v>
      </c>
      <c r="Y136" s="86">
        <f>S136/'2015'!R136-1</f>
        <v>0.0112767493390502</v>
      </c>
      <c r="Z136" s="53">
        <f>Z$135+0.457*1</f>
        <v>64.229</v>
      </c>
      <c r="AA136" s="53">
        <f t="shared" si="56"/>
        <v>617.7253</v>
      </c>
      <c r="AB136" s="34">
        <v>4230.1</v>
      </c>
      <c r="AC136" s="34">
        <f t="shared" si="41"/>
        <v>1460.30897614714</v>
      </c>
      <c r="AD136" s="33">
        <f t="shared" si="57"/>
        <v>7154440</v>
      </c>
      <c r="AE136" s="34">
        <f t="shared" ref="AE136:AF198" si="62">AE135+K136</f>
        <v>219258</v>
      </c>
      <c r="AF136" s="34">
        <f t="shared" si="62"/>
        <v>100285</v>
      </c>
      <c r="AG136" s="34">
        <f t="shared" si="58"/>
        <v>15354</v>
      </c>
    </row>
    <row r="137" ht="15" customHeight="1" spans="1:33">
      <c r="A137" s="106">
        <v>42502</v>
      </c>
      <c r="B137" s="21" t="s">
        <v>36</v>
      </c>
      <c r="C137" s="9">
        <v>52293</v>
      </c>
      <c r="D137" s="38">
        <v>26071</v>
      </c>
      <c r="E137" s="38">
        <v>82583</v>
      </c>
      <c r="F137" s="9">
        <v>4163</v>
      </c>
      <c r="G137" s="38">
        <v>2689</v>
      </c>
      <c r="H137" s="25"/>
      <c r="I137" s="37"/>
      <c r="J137" s="9">
        <f t="shared" si="54"/>
        <v>56512</v>
      </c>
      <c r="K137" s="38">
        <f t="shared" si="55"/>
        <v>3222</v>
      </c>
      <c r="L137" s="38">
        <v>788</v>
      </c>
      <c r="M137" s="38">
        <f t="shared" ref="M137:M145" si="63">(AG$145-AG$135)/10</f>
        <v>209</v>
      </c>
      <c r="N137" s="78">
        <f t="shared" si="59"/>
        <v>618197</v>
      </c>
      <c r="O137" s="79">
        <f t="shared" si="60"/>
        <v>276683</v>
      </c>
      <c r="P137" s="79">
        <f t="shared" si="61"/>
        <v>936716</v>
      </c>
      <c r="Q137" s="80">
        <f t="shared" si="53"/>
        <v>6871836</v>
      </c>
      <c r="R137" s="80">
        <f t="shared" si="53"/>
        <v>3163800</v>
      </c>
      <c r="S137" s="80">
        <f t="shared" si="53"/>
        <v>10374752</v>
      </c>
      <c r="T137" s="84">
        <f>N137/'2015'!M137-1</f>
        <v>-0.0920910791861383</v>
      </c>
      <c r="U137" s="84">
        <f>O137/'2015'!N137-1</f>
        <v>-0.0424470839043704</v>
      </c>
      <c r="V137" s="84">
        <f>P137/'2015'!O137-1</f>
        <v>-0.0477121897264062</v>
      </c>
      <c r="W137" s="85">
        <f>Q137/'2015'!P137-1</f>
        <v>-0.0394819788149843</v>
      </c>
      <c r="X137" s="85">
        <f>R137/'2015'!Q137-1</f>
        <v>0.0771486712340566</v>
      </c>
      <c r="Y137" s="85">
        <f>S137/'2015'!R137-1</f>
        <v>0.0109177832824987</v>
      </c>
      <c r="Z137" s="54">
        <f>Z$135+0.457*2</f>
        <v>64.686</v>
      </c>
      <c r="AA137" s="101">
        <f t="shared" si="56"/>
        <v>622.4976</v>
      </c>
      <c r="AB137" s="109">
        <v>4230.1</v>
      </c>
      <c r="AC137" s="109">
        <f t="shared" ref="AC137:AC200" si="64">AA137*10000/AB137</f>
        <v>1471.59074253564</v>
      </c>
      <c r="AD137" s="9">
        <f t="shared" si="57"/>
        <v>7210952</v>
      </c>
      <c r="AE137" s="38">
        <f t="shared" si="62"/>
        <v>222480</v>
      </c>
      <c r="AF137" s="38">
        <f t="shared" si="62"/>
        <v>101073</v>
      </c>
      <c r="AG137" s="38">
        <f t="shared" si="58"/>
        <v>15563</v>
      </c>
    </row>
    <row r="138" ht="15" customHeight="1" spans="1:33">
      <c r="A138" s="106">
        <v>42503</v>
      </c>
      <c r="B138" s="21" t="s">
        <v>37</v>
      </c>
      <c r="C138" s="74">
        <v>54113</v>
      </c>
      <c r="D138" s="75">
        <f>14886+11267</f>
        <v>26153</v>
      </c>
      <c r="E138" s="75">
        <v>84354</v>
      </c>
      <c r="F138" s="74">
        <v>4308.7</v>
      </c>
      <c r="G138" s="75">
        <v>2806.4</v>
      </c>
      <c r="H138" s="25"/>
      <c r="I138" s="25"/>
      <c r="J138" s="74">
        <f t="shared" si="54"/>
        <v>58201</v>
      </c>
      <c r="K138" s="75">
        <f t="shared" si="55"/>
        <v>3088</v>
      </c>
      <c r="L138" s="75">
        <v>791</v>
      </c>
      <c r="M138" s="75">
        <f t="shared" si="63"/>
        <v>209</v>
      </c>
      <c r="N138" s="78">
        <f t="shared" si="59"/>
        <v>672310</v>
      </c>
      <c r="O138" s="79">
        <f t="shared" si="60"/>
        <v>302836</v>
      </c>
      <c r="P138" s="79">
        <f t="shared" si="61"/>
        <v>1021070</v>
      </c>
      <c r="Q138" s="80">
        <f t="shared" si="53"/>
        <v>6925949</v>
      </c>
      <c r="R138" s="80">
        <f t="shared" si="53"/>
        <v>3189953</v>
      </c>
      <c r="S138" s="80">
        <f t="shared" si="53"/>
        <v>10459106</v>
      </c>
      <c r="T138" s="84">
        <f>N138/'2015'!M138-1</f>
        <v>-0.0928912497621961</v>
      </c>
      <c r="U138" s="84">
        <f>O138/'2015'!N138-1</f>
        <v>-0.0325470251482315</v>
      </c>
      <c r="V138" s="84">
        <f>P138/'2015'!O138-1</f>
        <v>-0.045786046442082</v>
      </c>
      <c r="W138" s="85">
        <f>Q138/'2015'!P138-1</f>
        <v>-0.0400035650144562</v>
      </c>
      <c r="X138" s="85">
        <f>R138/'2015'!Q138-1</f>
        <v>0.0772228178740577</v>
      </c>
      <c r="Y138" s="85">
        <f>S138/'2015'!R138-1</f>
        <v>0.0106273749599242</v>
      </c>
      <c r="Z138" s="101">
        <f>Z$135+0.457*3</f>
        <v>65.143</v>
      </c>
      <c r="AA138" s="101">
        <f t="shared" si="56"/>
        <v>627.4519</v>
      </c>
      <c r="AB138" s="110"/>
      <c r="AC138" s="109"/>
      <c r="AD138" s="74">
        <f t="shared" si="57"/>
        <v>7269153</v>
      </c>
      <c r="AE138" s="75">
        <f t="shared" si="62"/>
        <v>225568</v>
      </c>
      <c r="AF138" s="75">
        <f t="shared" si="62"/>
        <v>101864</v>
      </c>
      <c r="AG138" s="75">
        <f t="shared" si="58"/>
        <v>15772</v>
      </c>
    </row>
    <row r="139" ht="15" customHeight="1" spans="1:33">
      <c r="A139" s="106">
        <v>42504</v>
      </c>
      <c r="B139" s="21" t="s">
        <v>38</v>
      </c>
      <c r="C139" s="9">
        <v>51955</v>
      </c>
      <c r="D139" s="38">
        <f>14695+11177</f>
        <v>25872</v>
      </c>
      <c r="E139" s="38">
        <v>82568</v>
      </c>
      <c r="F139" s="9">
        <v>4148.1</v>
      </c>
      <c r="G139" s="38">
        <v>2813.2</v>
      </c>
      <c r="H139" s="25"/>
      <c r="I139" s="37"/>
      <c r="J139" s="9">
        <f t="shared" si="54"/>
        <v>56696</v>
      </c>
      <c r="K139" s="38">
        <f t="shared" si="55"/>
        <v>3740</v>
      </c>
      <c r="L139" s="38">
        <v>792</v>
      </c>
      <c r="M139" s="38">
        <f t="shared" si="63"/>
        <v>209</v>
      </c>
      <c r="N139" s="78">
        <f t="shared" si="59"/>
        <v>724265</v>
      </c>
      <c r="O139" s="79">
        <f t="shared" si="60"/>
        <v>328708</v>
      </c>
      <c r="P139" s="79">
        <f t="shared" si="61"/>
        <v>1103638</v>
      </c>
      <c r="Q139" s="80">
        <f t="shared" si="53"/>
        <v>6977904</v>
      </c>
      <c r="R139" s="80">
        <f t="shared" si="53"/>
        <v>3215825</v>
      </c>
      <c r="S139" s="80">
        <f t="shared" si="53"/>
        <v>10541674</v>
      </c>
      <c r="T139" s="84">
        <f>N139/'2015'!M139-1</f>
        <v>-0.092779463232181</v>
      </c>
      <c r="U139" s="84">
        <f>O139/'2015'!N139-1</f>
        <v>-0.0325772491957961</v>
      </c>
      <c r="V139" s="84">
        <f>P139/'2015'!O139-1</f>
        <v>-0.0456244303431863</v>
      </c>
      <c r="W139" s="85">
        <f>Q139/'2015'!P139-1</f>
        <v>-0.0404071436056379</v>
      </c>
      <c r="X139" s="85">
        <f>R139/'2015'!Q139-1</f>
        <v>0.0762365680642885</v>
      </c>
      <c r="Y139" s="85">
        <f>S139/'2015'!R139-1</f>
        <v>0.0101785681430693</v>
      </c>
      <c r="Z139" s="54">
        <f>Z$135+0.457*4</f>
        <v>65.6</v>
      </c>
      <c r="AA139" s="101">
        <f t="shared" si="56"/>
        <v>632.1904</v>
      </c>
      <c r="AB139" s="109"/>
      <c r="AC139" s="109"/>
      <c r="AD139" s="9">
        <f t="shared" si="57"/>
        <v>7325849</v>
      </c>
      <c r="AE139" s="38">
        <f t="shared" si="62"/>
        <v>229308</v>
      </c>
      <c r="AF139" s="38">
        <f t="shared" si="62"/>
        <v>102656</v>
      </c>
      <c r="AG139" s="38">
        <f t="shared" si="58"/>
        <v>15981</v>
      </c>
    </row>
    <row r="140" ht="15" customHeight="1" spans="1:33">
      <c r="A140" s="106">
        <v>42505</v>
      </c>
      <c r="B140" s="21" t="s">
        <v>1</v>
      </c>
      <c r="C140" s="9">
        <v>48325</v>
      </c>
      <c r="D140" s="38">
        <f>14811+11193</f>
        <v>26004</v>
      </c>
      <c r="E140" s="38">
        <v>77688</v>
      </c>
      <c r="F140" s="9">
        <v>3887</v>
      </c>
      <c r="G140" s="38">
        <v>2757.9</v>
      </c>
      <c r="H140" s="25"/>
      <c r="I140" s="37"/>
      <c r="J140" s="9">
        <f t="shared" si="54"/>
        <v>51684</v>
      </c>
      <c r="K140" s="38">
        <f t="shared" si="55"/>
        <v>2359</v>
      </c>
      <c r="L140" s="38">
        <v>791</v>
      </c>
      <c r="M140" s="38">
        <f t="shared" si="63"/>
        <v>209</v>
      </c>
      <c r="N140" s="78">
        <f t="shared" si="59"/>
        <v>772590</v>
      </c>
      <c r="O140" s="79">
        <f t="shared" si="60"/>
        <v>354712</v>
      </c>
      <c r="P140" s="79">
        <f t="shared" si="61"/>
        <v>1181326</v>
      </c>
      <c r="Q140" s="80">
        <f t="shared" si="53"/>
        <v>7026229</v>
      </c>
      <c r="R140" s="80">
        <f t="shared" si="53"/>
        <v>3241829</v>
      </c>
      <c r="S140" s="80">
        <f t="shared" si="53"/>
        <v>10619362</v>
      </c>
      <c r="T140" s="84">
        <f>N140/'2015'!M140-1</f>
        <v>-0.0976829796701584</v>
      </c>
      <c r="U140" s="84">
        <f>O140/'2015'!N140-1</f>
        <v>-0.0298979335090963</v>
      </c>
      <c r="V140" s="84">
        <f>P140/'2015'!O140-1</f>
        <v>-0.0492973501949971</v>
      </c>
      <c r="W140" s="85">
        <f>Q140/'2015'!P140-1</f>
        <v>-0.0413936367038495</v>
      </c>
      <c r="X140" s="85">
        <f>R140/'2015'!Q140-1</f>
        <v>0.0756277176212177</v>
      </c>
      <c r="Y140" s="85">
        <f>S140/'2015'!R140-1</f>
        <v>0.00928771560327091</v>
      </c>
      <c r="Z140" s="54">
        <f>Z$135+0.457*5</f>
        <v>66.057</v>
      </c>
      <c r="AA140" s="101">
        <f t="shared" si="56"/>
        <v>636.5659</v>
      </c>
      <c r="AB140" s="109"/>
      <c r="AC140" s="109"/>
      <c r="AD140" s="9">
        <f t="shared" si="57"/>
        <v>7377533</v>
      </c>
      <c r="AE140" s="38">
        <f t="shared" si="62"/>
        <v>231667</v>
      </c>
      <c r="AF140" s="38">
        <f t="shared" si="62"/>
        <v>103447</v>
      </c>
      <c r="AG140" s="38">
        <f t="shared" si="58"/>
        <v>16190</v>
      </c>
    </row>
    <row r="141" ht="15" customHeight="1" spans="1:33">
      <c r="A141" s="106">
        <v>42506</v>
      </c>
      <c r="B141" s="21" t="s">
        <v>39</v>
      </c>
      <c r="C141" s="9">
        <v>50114</v>
      </c>
      <c r="D141" s="38">
        <v>26117</v>
      </c>
      <c r="E141" s="38">
        <v>80107</v>
      </c>
      <c r="F141" s="9">
        <v>4093.3</v>
      </c>
      <c r="G141" s="38">
        <v>2563.4</v>
      </c>
      <c r="H141" s="25"/>
      <c r="I141" s="37"/>
      <c r="J141" s="9">
        <f t="shared" si="54"/>
        <v>53990</v>
      </c>
      <c r="K141" s="38">
        <f t="shared" si="55"/>
        <v>2878</v>
      </c>
      <c r="L141" s="38">
        <v>789</v>
      </c>
      <c r="M141" s="38">
        <f t="shared" si="63"/>
        <v>209</v>
      </c>
      <c r="N141" s="78">
        <f t="shared" si="59"/>
        <v>822704</v>
      </c>
      <c r="O141" s="79">
        <f t="shared" si="60"/>
        <v>380829</v>
      </c>
      <c r="P141" s="79">
        <f t="shared" si="61"/>
        <v>1261433</v>
      </c>
      <c r="Q141" s="80">
        <f t="shared" si="53"/>
        <v>7076343</v>
      </c>
      <c r="R141" s="80">
        <f t="shared" si="53"/>
        <v>3267946</v>
      </c>
      <c r="S141" s="80">
        <f t="shared" si="53"/>
        <v>10699469</v>
      </c>
      <c r="T141" s="84">
        <f>N141/'2015'!M141-1</f>
        <v>-0.0948524452727807</v>
      </c>
      <c r="U141" s="84">
        <f>O141/'2015'!N141-1</f>
        <v>-0.0288690552084662</v>
      </c>
      <c r="V141" s="84">
        <f>P141/'2015'!O141-1</f>
        <v>-0.047549546665378</v>
      </c>
      <c r="W141" s="85">
        <f>Q141/'2015'!P141-1</f>
        <v>-0.0414468790760407</v>
      </c>
      <c r="X141" s="85">
        <f>R141/'2015'!Q141-1</f>
        <v>0.0748404569002576</v>
      </c>
      <c r="Y141" s="85">
        <f>S141/'2015'!R141-1</f>
        <v>0.00905392632937185</v>
      </c>
      <c r="Z141" s="54">
        <f>Z$135+0.457*6</f>
        <v>66.514</v>
      </c>
      <c r="AA141" s="101">
        <f t="shared" si="56"/>
        <v>641.1203</v>
      </c>
      <c r="AB141" s="109"/>
      <c r="AC141" s="109"/>
      <c r="AD141" s="9">
        <f t="shared" si="57"/>
        <v>7431523</v>
      </c>
      <c r="AE141" s="38">
        <f t="shared" si="62"/>
        <v>234545</v>
      </c>
      <c r="AF141" s="38">
        <f t="shared" si="62"/>
        <v>104236</v>
      </c>
      <c r="AG141" s="38">
        <f t="shared" si="58"/>
        <v>16399</v>
      </c>
    </row>
    <row r="142" ht="15" customHeight="1" spans="1:33">
      <c r="A142" s="106">
        <v>42507</v>
      </c>
      <c r="B142" s="21" t="s">
        <v>34</v>
      </c>
      <c r="C142" s="9">
        <v>54451</v>
      </c>
      <c r="D142" s="38">
        <v>23863</v>
      </c>
      <c r="E142" s="38">
        <v>82685</v>
      </c>
      <c r="F142" s="9">
        <v>4147</v>
      </c>
      <c r="G142" s="38">
        <v>3785</v>
      </c>
      <c r="H142" s="25"/>
      <c r="I142" s="37"/>
      <c r="J142" s="9">
        <f t="shared" si="54"/>
        <v>58822</v>
      </c>
      <c r="K142" s="38">
        <f t="shared" si="55"/>
        <v>3370</v>
      </c>
      <c r="L142" s="38">
        <v>792</v>
      </c>
      <c r="M142" s="38">
        <f t="shared" si="63"/>
        <v>209</v>
      </c>
      <c r="N142" s="78">
        <f t="shared" si="59"/>
        <v>877155</v>
      </c>
      <c r="O142" s="79">
        <f t="shared" si="60"/>
        <v>404692</v>
      </c>
      <c r="P142" s="79">
        <f t="shared" si="61"/>
        <v>1344118</v>
      </c>
      <c r="Q142" s="80">
        <f t="shared" si="53"/>
        <v>7130794</v>
      </c>
      <c r="R142" s="80">
        <f t="shared" si="53"/>
        <v>3291809</v>
      </c>
      <c r="S142" s="80">
        <f t="shared" si="53"/>
        <v>10782154</v>
      </c>
      <c r="T142" s="84">
        <f>N142/'2015'!M142-1</f>
        <v>-0.0834057840772771</v>
      </c>
      <c r="U142" s="84">
        <f>O142/'2015'!N142-1</f>
        <v>-0.0310190184533828</v>
      </c>
      <c r="V142" s="84">
        <f>P142/'2015'!O142-1</f>
        <v>-0.0407146619315627</v>
      </c>
      <c r="W142" s="85">
        <f>Q142/'2015'!P142-1</f>
        <v>-0.0403180352208476</v>
      </c>
      <c r="X142" s="85">
        <f>R142/'2015'!Q142-1</f>
        <v>0.0736850997652239</v>
      </c>
      <c r="Y142" s="85">
        <f>S142/'2015'!R142-1</f>
        <v>0.0095438073208951</v>
      </c>
      <c r="Z142" s="54">
        <f>Z$135+0.457*7</f>
        <v>66.971</v>
      </c>
      <c r="AA142" s="101">
        <f t="shared" si="56"/>
        <v>646.1084</v>
      </c>
      <c r="AB142" s="109"/>
      <c r="AC142" s="109"/>
      <c r="AD142" s="9">
        <f t="shared" si="57"/>
        <v>7490345</v>
      </c>
      <c r="AE142" s="38">
        <f t="shared" si="62"/>
        <v>237915</v>
      </c>
      <c r="AF142" s="38">
        <f t="shared" si="62"/>
        <v>105028</v>
      </c>
      <c r="AG142" s="38">
        <f t="shared" si="58"/>
        <v>16608</v>
      </c>
    </row>
    <row r="143" ht="15" customHeight="1" spans="1:33">
      <c r="A143" s="106">
        <v>42508</v>
      </c>
      <c r="B143" s="15" t="s">
        <v>35</v>
      </c>
      <c r="C143" s="33">
        <v>56720</v>
      </c>
      <c r="D143" s="34">
        <v>23679</v>
      </c>
      <c r="E143" s="34">
        <v>84225</v>
      </c>
      <c r="F143" s="33">
        <v>4195</v>
      </c>
      <c r="G143" s="34">
        <v>4246</v>
      </c>
      <c r="H143" s="20"/>
      <c r="I143" s="20"/>
      <c r="J143" s="33">
        <f t="shared" si="54"/>
        <v>60546</v>
      </c>
      <c r="K143" s="34">
        <f t="shared" si="55"/>
        <v>2825</v>
      </c>
      <c r="L143" s="34">
        <v>792</v>
      </c>
      <c r="M143" s="34">
        <f t="shared" si="63"/>
        <v>209</v>
      </c>
      <c r="N143" s="81">
        <f t="shared" si="59"/>
        <v>933875</v>
      </c>
      <c r="O143" s="82">
        <f t="shared" si="60"/>
        <v>428371</v>
      </c>
      <c r="P143" s="82">
        <f t="shared" si="61"/>
        <v>1428343</v>
      </c>
      <c r="Q143" s="81">
        <f t="shared" si="53"/>
        <v>7187514</v>
      </c>
      <c r="R143" s="81">
        <f t="shared" si="53"/>
        <v>3315488</v>
      </c>
      <c r="S143" s="81">
        <f t="shared" si="53"/>
        <v>10866379</v>
      </c>
      <c r="T143" s="86">
        <f>N143/'2015'!M143-1</f>
        <v>-0.0758031890047424</v>
      </c>
      <c r="U143" s="86">
        <f>O143/'2015'!N143-1</f>
        <v>-0.0349222298320236</v>
      </c>
      <c r="V143" s="86">
        <f>P143/'2015'!O143-1</f>
        <v>-0.0373937967245552</v>
      </c>
      <c r="W143" s="86">
        <f>Q143/'2015'!P143-1</f>
        <v>-0.03959955488282</v>
      </c>
      <c r="X143" s="86">
        <f>R143/'2015'!Q143-1</f>
        <v>0.0722367771269126</v>
      </c>
      <c r="Y143" s="86">
        <f>S143/'2015'!R143-1</f>
        <v>0.00961563565612078</v>
      </c>
      <c r="Z143" s="53">
        <f>Z$135+0.457*8</f>
        <v>67.428</v>
      </c>
      <c r="AA143" s="53">
        <f t="shared" si="56"/>
        <v>651.3234</v>
      </c>
      <c r="AB143" s="34">
        <v>4230.1</v>
      </c>
      <c r="AC143" s="34">
        <f t="shared" si="64"/>
        <v>1539.73523084561</v>
      </c>
      <c r="AD143" s="33">
        <f t="shared" si="57"/>
        <v>7550891</v>
      </c>
      <c r="AE143" s="34">
        <f t="shared" si="62"/>
        <v>240740</v>
      </c>
      <c r="AF143" s="34">
        <f t="shared" si="62"/>
        <v>105820</v>
      </c>
      <c r="AG143" s="34">
        <f t="shared" si="58"/>
        <v>16817</v>
      </c>
    </row>
    <row r="144" ht="15" customHeight="1" spans="1:33">
      <c r="A144" s="106">
        <v>42509</v>
      </c>
      <c r="B144" s="21" t="s">
        <v>36</v>
      </c>
      <c r="C144" s="9">
        <v>56276</v>
      </c>
      <c r="D144" s="38">
        <f>13387+10384</f>
        <v>23771</v>
      </c>
      <c r="E144" s="38">
        <v>84563</v>
      </c>
      <c r="F144" s="9">
        <v>4231.6</v>
      </c>
      <c r="G144" s="38">
        <v>2863.6</v>
      </c>
      <c r="H144" s="25"/>
      <c r="I144" s="37"/>
      <c r="J144" s="9">
        <f t="shared" si="54"/>
        <v>60792</v>
      </c>
      <c r="K144" s="38">
        <f t="shared" si="55"/>
        <v>3515</v>
      </c>
      <c r="L144" s="38">
        <v>792</v>
      </c>
      <c r="M144" s="38">
        <f t="shared" si="63"/>
        <v>209</v>
      </c>
      <c r="N144" s="78">
        <f t="shared" si="59"/>
        <v>990151</v>
      </c>
      <c r="O144" s="79">
        <f t="shared" si="60"/>
        <v>452142</v>
      </c>
      <c r="P144" s="79">
        <f t="shared" si="61"/>
        <v>1512906</v>
      </c>
      <c r="Q144" s="80">
        <f t="shared" si="53"/>
        <v>7243790</v>
      </c>
      <c r="R144" s="80">
        <f t="shared" si="53"/>
        <v>3339259</v>
      </c>
      <c r="S144" s="80">
        <f t="shared" si="53"/>
        <v>10950942</v>
      </c>
      <c r="T144" s="84">
        <f>N144/'2015'!M144-1</f>
        <v>-0.0724971781049042</v>
      </c>
      <c r="U144" s="84">
        <f>O144/'2015'!N144-1</f>
        <v>-0.034612781384981</v>
      </c>
      <c r="V144" s="84">
        <f>P144/'2015'!O144-1</f>
        <v>-0.0350281664268438</v>
      </c>
      <c r="W144" s="85">
        <f>Q144/'2015'!P144-1</f>
        <v>-0.039405538695747</v>
      </c>
      <c r="X144" s="85">
        <f>R144/'2015'!Q144-1</f>
        <v>0.0714415434235469</v>
      </c>
      <c r="Y144" s="85">
        <f>S144/'2015'!R144-1</f>
        <v>0.00959354033721405</v>
      </c>
      <c r="Z144" s="54">
        <f>Z$135+0.457*9</f>
        <v>67.885</v>
      </c>
      <c r="AA144" s="101">
        <f t="shared" si="56"/>
        <v>656.494</v>
      </c>
      <c r="AB144" s="109">
        <v>4230.1</v>
      </c>
      <c r="AC144" s="109">
        <f t="shared" si="64"/>
        <v>1551.95858253942</v>
      </c>
      <c r="AD144" s="9">
        <f t="shared" si="57"/>
        <v>7611683</v>
      </c>
      <c r="AE144" s="38">
        <f t="shared" si="62"/>
        <v>244255</v>
      </c>
      <c r="AF144" s="38">
        <f t="shared" si="62"/>
        <v>106612</v>
      </c>
      <c r="AG144" s="38">
        <f t="shared" si="58"/>
        <v>17026</v>
      </c>
    </row>
    <row r="145" ht="15" customHeight="1" spans="1:33">
      <c r="A145" s="106">
        <v>42510</v>
      </c>
      <c r="B145" s="21" t="s">
        <v>37</v>
      </c>
      <c r="C145" s="74">
        <v>56934</v>
      </c>
      <c r="D145" s="75">
        <v>24077</v>
      </c>
      <c r="E145" s="75">
        <v>84967</v>
      </c>
      <c r="F145" s="74">
        <v>4319</v>
      </c>
      <c r="G145" s="75">
        <v>2895</v>
      </c>
      <c r="H145" s="25"/>
      <c r="I145" s="25"/>
      <c r="J145" s="74">
        <f t="shared" si="54"/>
        <v>60890</v>
      </c>
      <c r="K145" s="75">
        <f t="shared" si="55"/>
        <v>2957</v>
      </c>
      <c r="L145" s="75">
        <v>790</v>
      </c>
      <c r="M145" s="75">
        <f t="shared" si="63"/>
        <v>209</v>
      </c>
      <c r="N145" s="78">
        <f t="shared" si="59"/>
        <v>1047085</v>
      </c>
      <c r="O145" s="79">
        <f t="shared" si="60"/>
        <v>476219</v>
      </c>
      <c r="P145" s="79">
        <f t="shared" si="61"/>
        <v>1597873</v>
      </c>
      <c r="Q145" s="80">
        <f t="shared" si="53"/>
        <v>7300724</v>
      </c>
      <c r="R145" s="80">
        <f t="shared" si="53"/>
        <v>3363336</v>
      </c>
      <c r="S145" s="80">
        <f t="shared" si="53"/>
        <v>11035909</v>
      </c>
      <c r="T145" s="84">
        <f>N145/'2015'!M145-1</f>
        <v>-0.0688298533637236</v>
      </c>
      <c r="U145" s="84">
        <f>O145/'2015'!N145-1</f>
        <v>-0.0343108129756519</v>
      </c>
      <c r="V145" s="84">
        <f>P145/'2015'!O145-1</f>
        <v>-0.0324406414495894</v>
      </c>
      <c r="W145" s="85">
        <f>Q145/'2015'!P145-1</f>
        <v>-0.0391107628269611</v>
      </c>
      <c r="X145" s="85">
        <f>R145/'2015'!Q145-1</f>
        <v>0.0706521635327038</v>
      </c>
      <c r="Y145" s="85">
        <f>S145/'2015'!R145-1</f>
        <v>0.00964310432134652</v>
      </c>
      <c r="Z145" s="101">
        <v>68.3382</v>
      </c>
      <c r="AA145" s="101">
        <f t="shared" si="56"/>
        <v>661.7342</v>
      </c>
      <c r="AB145" s="110">
        <v>4230.1</v>
      </c>
      <c r="AC145" s="109">
        <f t="shared" si="64"/>
        <v>1564.34646935061</v>
      </c>
      <c r="AD145" s="74">
        <f t="shared" si="57"/>
        <v>7672573</v>
      </c>
      <c r="AE145" s="75">
        <v>247212</v>
      </c>
      <c r="AF145" s="75">
        <f t="shared" si="62"/>
        <v>107402</v>
      </c>
      <c r="AG145" s="75">
        <f t="shared" si="58"/>
        <v>17235</v>
      </c>
    </row>
    <row r="146" ht="15" customHeight="1" spans="1:33">
      <c r="A146" s="106">
        <v>42511</v>
      </c>
      <c r="B146" s="21" t="s">
        <v>38</v>
      </c>
      <c r="C146" s="9">
        <v>55532</v>
      </c>
      <c r="D146" s="38">
        <v>24320</v>
      </c>
      <c r="E146" s="38">
        <v>83842</v>
      </c>
      <c r="F146" s="9">
        <v>4220</v>
      </c>
      <c r="G146" s="38">
        <v>2873</v>
      </c>
      <c r="H146" s="25"/>
      <c r="I146" s="37"/>
      <c r="J146" s="9">
        <f t="shared" si="54"/>
        <v>59522</v>
      </c>
      <c r="K146" s="38">
        <f t="shared" si="55"/>
        <v>3082.36363636364</v>
      </c>
      <c r="L146" s="38">
        <v>791</v>
      </c>
      <c r="M146" s="38">
        <f>(AG$156-AG$145)/11</f>
        <v>116.636363636364</v>
      </c>
      <c r="N146" s="78">
        <f t="shared" si="59"/>
        <v>1102617</v>
      </c>
      <c r="O146" s="79">
        <f t="shared" si="60"/>
        <v>500539</v>
      </c>
      <c r="P146" s="79">
        <f t="shared" si="61"/>
        <v>1681715</v>
      </c>
      <c r="Q146" s="80">
        <f t="shared" si="53"/>
        <v>7356256</v>
      </c>
      <c r="R146" s="80">
        <f t="shared" si="53"/>
        <v>3387656</v>
      </c>
      <c r="S146" s="80">
        <f t="shared" si="53"/>
        <v>11119751</v>
      </c>
      <c r="T146" s="84">
        <f>N146/'2015'!M146-1</f>
        <v>-0.0662237522389197</v>
      </c>
      <c r="U146" s="84">
        <f>O146/'2015'!N146-1</f>
        <v>-0.032002351635218</v>
      </c>
      <c r="V146" s="84">
        <f>P146/'2015'!O146-1</f>
        <v>-0.0302669120818543</v>
      </c>
      <c r="W146" s="85">
        <f>Q146/'2015'!P146-1</f>
        <v>-0.0389274406323836</v>
      </c>
      <c r="X146" s="85">
        <f>R146/'2015'!Q146-1</f>
        <v>0.0702351534022592</v>
      </c>
      <c r="Y146" s="85">
        <f>S146/'2015'!R146-1</f>
        <v>0.00966916069008428</v>
      </c>
      <c r="Z146" s="54">
        <f>Z$145+0.439*1</f>
        <v>68.7772</v>
      </c>
      <c r="AA146" s="101">
        <f t="shared" si="56"/>
        <v>666.8484</v>
      </c>
      <c r="AB146" s="109"/>
      <c r="AC146" s="109"/>
      <c r="AD146" s="9">
        <f t="shared" si="57"/>
        <v>7732095</v>
      </c>
      <c r="AE146" s="38">
        <f t="shared" si="62"/>
        <v>250294.363636364</v>
      </c>
      <c r="AF146" s="38">
        <f t="shared" si="62"/>
        <v>108193</v>
      </c>
      <c r="AG146" s="38">
        <f t="shared" si="58"/>
        <v>17351.6363636364</v>
      </c>
    </row>
    <row r="147" ht="15" customHeight="1" spans="1:33">
      <c r="A147" s="106">
        <v>42512</v>
      </c>
      <c r="B147" s="21" t="s">
        <v>1</v>
      </c>
      <c r="C147" s="9">
        <v>50844</v>
      </c>
      <c r="D147" s="38">
        <v>24794</v>
      </c>
      <c r="E147" s="38">
        <v>79246</v>
      </c>
      <c r="F147" s="9">
        <v>3906</v>
      </c>
      <c r="G147" s="38">
        <v>2833</v>
      </c>
      <c r="H147" s="25"/>
      <c r="I147" s="37"/>
      <c r="J147" s="9">
        <f t="shared" si="54"/>
        <v>54452</v>
      </c>
      <c r="K147" s="38">
        <f t="shared" si="55"/>
        <v>2701.36363636364</v>
      </c>
      <c r="L147" s="38">
        <v>790</v>
      </c>
      <c r="M147" s="38">
        <f t="shared" ref="M147:M156" si="65">(AG$156-AG$145)/11</f>
        <v>116.636363636364</v>
      </c>
      <c r="N147" s="78">
        <f t="shared" si="59"/>
        <v>1153461</v>
      </c>
      <c r="O147" s="79">
        <f t="shared" si="60"/>
        <v>525333</v>
      </c>
      <c r="P147" s="79">
        <f t="shared" si="61"/>
        <v>1760961</v>
      </c>
      <c r="Q147" s="80">
        <f t="shared" si="53"/>
        <v>7407100</v>
      </c>
      <c r="R147" s="80">
        <f t="shared" si="53"/>
        <v>3412450</v>
      </c>
      <c r="S147" s="80">
        <f t="shared" si="53"/>
        <v>11198997</v>
      </c>
      <c r="T147" s="84">
        <f>N147/'2015'!M147-1</f>
        <v>-0.0679848642411638</v>
      </c>
      <c r="U147" s="84">
        <f>O147/'2015'!N147-1</f>
        <v>-0.0310441121136777</v>
      </c>
      <c r="V147" s="84">
        <f>P147/'2015'!O147-1</f>
        <v>-0.0316409128402529</v>
      </c>
      <c r="W147" s="85">
        <f>Q147/'2015'!P147-1</f>
        <v>-0.0394111061355344</v>
      </c>
      <c r="X147" s="85">
        <f>R147/'2015'!Q147-1</f>
        <v>0.0695943944596549</v>
      </c>
      <c r="Y147" s="85">
        <f>S147/'2015'!R147-1</f>
        <v>0.00914065959375931</v>
      </c>
      <c r="Z147" s="54">
        <f>Z$145+0.439*2</f>
        <v>69.2162</v>
      </c>
      <c r="AA147" s="101">
        <f t="shared" si="56"/>
        <v>671.4938</v>
      </c>
      <c r="AB147" s="109"/>
      <c r="AC147" s="109"/>
      <c r="AD147" s="9">
        <f t="shared" si="57"/>
        <v>7786547</v>
      </c>
      <c r="AE147" s="38">
        <f t="shared" si="62"/>
        <v>252995.727272727</v>
      </c>
      <c r="AF147" s="38">
        <f t="shared" si="62"/>
        <v>108983</v>
      </c>
      <c r="AG147" s="38">
        <f t="shared" si="58"/>
        <v>17468.2727272727</v>
      </c>
    </row>
    <row r="148" ht="15" customHeight="1" spans="1:33">
      <c r="A148" s="106">
        <v>42513</v>
      </c>
      <c r="B148" s="21" t="s">
        <v>39</v>
      </c>
      <c r="C148" s="9">
        <v>55089</v>
      </c>
      <c r="D148" s="38">
        <v>25716</v>
      </c>
      <c r="E148" s="38">
        <v>84153</v>
      </c>
      <c r="F148" s="9">
        <v>4275</v>
      </c>
      <c r="G148" s="38">
        <v>2724</v>
      </c>
      <c r="H148" s="25"/>
      <c r="I148" s="37"/>
      <c r="J148" s="9">
        <f t="shared" si="54"/>
        <v>58437</v>
      </c>
      <c r="K148" s="38">
        <f t="shared" si="55"/>
        <v>2439.36363636364</v>
      </c>
      <c r="L148" s="38">
        <v>792</v>
      </c>
      <c r="M148" s="38">
        <f t="shared" si="65"/>
        <v>116.636363636364</v>
      </c>
      <c r="N148" s="78">
        <f t="shared" si="59"/>
        <v>1208550</v>
      </c>
      <c r="O148" s="79">
        <f t="shared" si="60"/>
        <v>551049</v>
      </c>
      <c r="P148" s="79">
        <f t="shared" si="61"/>
        <v>1845114</v>
      </c>
      <c r="Q148" s="80">
        <f t="shared" si="53"/>
        <v>7462189</v>
      </c>
      <c r="R148" s="80">
        <f t="shared" si="53"/>
        <v>3438166</v>
      </c>
      <c r="S148" s="80">
        <f t="shared" si="53"/>
        <v>11283150</v>
      </c>
      <c r="T148" s="84">
        <f>N148/'2015'!M148-1</f>
        <v>-0.0666356716547012</v>
      </c>
      <c r="U148" s="84">
        <f>O148/'2015'!N148-1</f>
        <v>-0.0281836939844453</v>
      </c>
      <c r="V148" s="84">
        <f>P148/'2015'!O148-1</f>
        <v>-0.0303515375992777</v>
      </c>
      <c r="W148" s="85">
        <f>Q148/'2015'!P148-1</f>
        <v>-0.0393967378935129</v>
      </c>
      <c r="X148" s="85">
        <f>R148/'2015'!Q148-1</f>
        <v>0.0693205352813642</v>
      </c>
      <c r="Y148" s="85">
        <f>S148/'2015'!R148-1</f>
        <v>0.00905237531956704</v>
      </c>
      <c r="Z148" s="54">
        <f>Z$145+0.439*3</f>
        <v>69.6552</v>
      </c>
      <c r="AA148" s="101">
        <f t="shared" si="56"/>
        <v>676.5637</v>
      </c>
      <c r="AB148" s="109"/>
      <c r="AC148" s="109"/>
      <c r="AD148" s="9">
        <f t="shared" si="57"/>
        <v>7844984</v>
      </c>
      <c r="AE148" s="38">
        <f t="shared" si="62"/>
        <v>255435.090909091</v>
      </c>
      <c r="AF148" s="38">
        <f t="shared" si="62"/>
        <v>109775</v>
      </c>
      <c r="AG148" s="38">
        <f t="shared" si="58"/>
        <v>17584.9090909091</v>
      </c>
    </row>
    <row r="149" ht="15" customHeight="1" spans="1:33">
      <c r="A149" s="106">
        <v>42514</v>
      </c>
      <c r="B149" s="21" t="s">
        <v>34</v>
      </c>
      <c r="C149" s="9">
        <v>55602</v>
      </c>
      <c r="D149" s="38">
        <v>26288</v>
      </c>
      <c r="E149" s="38">
        <v>85381</v>
      </c>
      <c r="F149" s="9">
        <v>4326</v>
      </c>
      <c r="G149" s="38">
        <v>2911</v>
      </c>
      <c r="H149" s="25"/>
      <c r="I149" s="37"/>
      <c r="J149" s="9">
        <f t="shared" si="54"/>
        <v>59093</v>
      </c>
      <c r="K149" s="38">
        <f t="shared" si="55"/>
        <v>2582.36363636364</v>
      </c>
      <c r="L149" s="38">
        <v>792</v>
      </c>
      <c r="M149" s="38">
        <f t="shared" si="65"/>
        <v>116.636363636364</v>
      </c>
      <c r="N149" s="78">
        <f t="shared" si="59"/>
        <v>1264152</v>
      </c>
      <c r="O149" s="79">
        <f t="shared" si="60"/>
        <v>577337</v>
      </c>
      <c r="P149" s="79">
        <f t="shared" si="61"/>
        <v>1930495</v>
      </c>
      <c r="Q149" s="80">
        <f t="shared" si="53"/>
        <v>7517791</v>
      </c>
      <c r="R149" s="80">
        <f t="shared" si="53"/>
        <v>3464454</v>
      </c>
      <c r="S149" s="80">
        <f t="shared" si="53"/>
        <v>11368531</v>
      </c>
      <c r="T149" s="84">
        <f>N149/'2015'!M149-1</f>
        <v>-0.0622560415643605</v>
      </c>
      <c r="U149" s="84">
        <f>O149/'2015'!N149-1</f>
        <v>-0.0246713777217662</v>
      </c>
      <c r="V149" s="84">
        <f>P149/'2015'!O149-1</f>
        <v>-0.0265065235073692</v>
      </c>
      <c r="W149" s="85">
        <f>Q149/'2015'!P149-1</f>
        <v>-0.0388273162693803</v>
      </c>
      <c r="X149" s="85">
        <f>R149/'2015'!Q149-1</f>
        <v>0.0692125651813227</v>
      </c>
      <c r="Y149" s="85">
        <f>S149/'2015'!R149-1</f>
        <v>0.00944884518603395</v>
      </c>
      <c r="Z149" s="54">
        <f>Z$145+0.439*4</f>
        <v>70.0942</v>
      </c>
      <c r="AA149" s="101">
        <f t="shared" si="56"/>
        <v>681.6849</v>
      </c>
      <c r="AB149" s="109"/>
      <c r="AC149" s="109"/>
      <c r="AD149" s="9">
        <f t="shared" si="57"/>
        <v>7904077</v>
      </c>
      <c r="AE149" s="38">
        <f t="shared" si="62"/>
        <v>258017.454545455</v>
      </c>
      <c r="AF149" s="38">
        <f t="shared" si="62"/>
        <v>110567</v>
      </c>
      <c r="AG149" s="38">
        <f t="shared" si="58"/>
        <v>17701.5454545454</v>
      </c>
    </row>
    <row r="150" ht="15" customHeight="1" spans="1:33">
      <c r="A150" s="106">
        <v>42515</v>
      </c>
      <c r="B150" s="15" t="s">
        <v>35</v>
      </c>
      <c r="C150" s="33">
        <v>56248</v>
      </c>
      <c r="D150" s="34">
        <v>26509</v>
      </c>
      <c r="E150" s="34">
        <v>86356</v>
      </c>
      <c r="F150" s="33">
        <v>4286</v>
      </c>
      <c r="G150" s="34">
        <v>2905</v>
      </c>
      <c r="H150" s="20"/>
      <c r="I150" s="20"/>
      <c r="J150" s="33">
        <f t="shared" si="54"/>
        <v>59847</v>
      </c>
      <c r="K150" s="34">
        <f t="shared" si="55"/>
        <v>2692.36363636364</v>
      </c>
      <c r="L150" s="34">
        <v>790</v>
      </c>
      <c r="M150" s="34">
        <f t="shared" si="65"/>
        <v>116.636363636364</v>
      </c>
      <c r="N150" s="81">
        <f t="shared" si="59"/>
        <v>1320400</v>
      </c>
      <c r="O150" s="82">
        <f t="shared" si="60"/>
        <v>603846</v>
      </c>
      <c r="P150" s="82">
        <f t="shared" si="61"/>
        <v>2016851</v>
      </c>
      <c r="Q150" s="81">
        <f t="shared" si="53"/>
        <v>7574039</v>
      </c>
      <c r="R150" s="81">
        <f t="shared" si="53"/>
        <v>3490963</v>
      </c>
      <c r="S150" s="81">
        <f t="shared" si="53"/>
        <v>11454887</v>
      </c>
      <c r="T150" s="86">
        <f>N150/'2015'!M150-1</f>
        <v>-0.0602957890519193</v>
      </c>
      <c r="U150" s="86">
        <f>O150/'2015'!N150-1</f>
        <v>-0.0212225195683852</v>
      </c>
      <c r="V150" s="86">
        <f>P150/'2015'!O150-1</f>
        <v>-0.0246269660030545</v>
      </c>
      <c r="W150" s="86">
        <f>Q150/'2015'!P150-1</f>
        <v>-0.0386473454478714</v>
      </c>
      <c r="X150" s="86">
        <f>R150/'2015'!Q150-1</f>
        <v>0.0691454402347182</v>
      </c>
      <c r="Y150" s="86">
        <f>S150/'2015'!R150-1</f>
        <v>0.00952292234519736</v>
      </c>
      <c r="Z150" s="53">
        <f>Z$145+0.439*5</f>
        <v>70.5332</v>
      </c>
      <c r="AA150" s="53">
        <f t="shared" si="56"/>
        <v>686.8707</v>
      </c>
      <c r="AB150" s="34">
        <v>4230.1</v>
      </c>
      <c r="AC150" s="34">
        <f t="shared" si="64"/>
        <v>1623.76941443465</v>
      </c>
      <c r="AD150" s="33">
        <f t="shared" si="57"/>
        <v>7963924</v>
      </c>
      <c r="AE150" s="34">
        <f t="shared" si="62"/>
        <v>260709.818181818</v>
      </c>
      <c r="AF150" s="34">
        <f t="shared" si="62"/>
        <v>111357</v>
      </c>
      <c r="AG150" s="34">
        <f t="shared" si="58"/>
        <v>17818.1818181818</v>
      </c>
    </row>
    <row r="151" ht="15" customHeight="1" spans="1:33">
      <c r="A151" s="106">
        <v>42516</v>
      </c>
      <c r="B151" s="21" t="s">
        <v>36</v>
      </c>
      <c r="C151" s="9">
        <v>57922</v>
      </c>
      <c r="D151" s="38">
        <v>26044</v>
      </c>
      <c r="E151" s="38">
        <v>87318</v>
      </c>
      <c r="F151" s="9">
        <v>4393</v>
      </c>
      <c r="G151" s="38">
        <v>2934</v>
      </c>
      <c r="H151" s="25"/>
      <c r="I151" s="37"/>
      <c r="J151" s="9">
        <f t="shared" si="54"/>
        <v>61274</v>
      </c>
      <c r="K151" s="38">
        <f t="shared" si="55"/>
        <v>2445.36363636364</v>
      </c>
      <c r="L151" s="38">
        <v>790</v>
      </c>
      <c r="M151" s="38">
        <f t="shared" si="65"/>
        <v>116.636363636364</v>
      </c>
      <c r="N151" s="78">
        <f t="shared" si="59"/>
        <v>1378322</v>
      </c>
      <c r="O151" s="79">
        <f t="shared" si="60"/>
        <v>629890</v>
      </c>
      <c r="P151" s="79">
        <f t="shared" si="61"/>
        <v>2104169</v>
      </c>
      <c r="Q151" s="80">
        <f t="shared" si="53"/>
        <v>7631961</v>
      </c>
      <c r="R151" s="80">
        <f t="shared" si="53"/>
        <v>3517007</v>
      </c>
      <c r="S151" s="80">
        <f t="shared" si="53"/>
        <v>11542205</v>
      </c>
      <c r="T151" s="84">
        <f>N151/'2015'!M151-1</f>
        <v>-0.0580058994147059</v>
      </c>
      <c r="U151" s="84">
        <f>O151/'2015'!N151-1</f>
        <v>-0.0195150577419692</v>
      </c>
      <c r="V151" s="84">
        <f>P151/'2015'!O151-1</f>
        <v>-0.0231101322363085</v>
      </c>
      <c r="W151" s="85">
        <f>Q151/'2015'!P151-1</f>
        <v>-0.0383835840957508</v>
      </c>
      <c r="X151" s="85">
        <f>R151/'2015'!Q151-1</f>
        <v>0.0687788352430714</v>
      </c>
      <c r="Y151" s="85">
        <f>S151/'2015'!R151-1</f>
        <v>0.00955129469461435</v>
      </c>
      <c r="Z151" s="54">
        <f>Z$145+0.439*6</f>
        <v>70.9722</v>
      </c>
      <c r="AA151" s="101">
        <f t="shared" si="56"/>
        <v>692.2239</v>
      </c>
      <c r="AB151" s="109">
        <v>4230.1</v>
      </c>
      <c r="AC151" s="109">
        <f t="shared" si="64"/>
        <v>1636.42443441053</v>
      </c>
      <c r="AD151" s="9">
        <f t="shared" si="57"/>
        <v>8025198</v>
      </c>
      <c r="AE151" s="38">
        <f t="shared" si="62"/>
        <v>263155.181818182</v>
      </c>
      <c r="AF151" s="38">
        <f t="shared" si="62"/>
        <v>112147</v>
      </c>
      <c r="AG151" s="38">
        <f t="shared" si="58"/>
        <v>17934.8181818181</v>
      </c>
    </row>
    <row r="152" ht="15" customHeight="1" spans="1:33">
      <c r="A152" s="106">
        <v>42517</v>
      </c>
      <c r="B152" s="21" t="s">
        <v>37</v>
      </c>
      <c r="C152" s="74">
        <v>59170</v>
      </c>
      <c r="D152" s="75">
        <f>11280+14032</f>
        <v>25312</v>
      </c>
      <c r="E152" s="75">
        <v>87893</v>
      </c>
      <c r="F152" s="74">
        <v>4419</v>
      </c>
      <c r="G152" s="75">
        <v>2941</v>
      </c>
      <c r="H152" s="25"/>
      <c r="I152" s="25"/>
      <c r="J152" s="74">
        <f t="shared" si="54"/>
        <v>62581</v>
      </c>
      <c r="K152" s="75">
        <f t="shared" si="55"/>
        <v>2503.36363636364</v>
      </c>
      <c r="L152" s="75">
        <v>791</v>
      </c>
      <c r="M152" s="75">
        <f t="shared" si="65"/>
        <v>116.636363636364</v>
      </c>
      <c r="N152" s="78">
        <f t="shared" si="59"/>
        <v>1437492</v>
      </c>
      <c r="O152" s="79">
        <f t="shared" si="60"/>
        <v>655202</v>
      </c>
      <c r="P152" s="79">
        <f t="shared" si="61"/>
        <v>2192062</v>
      </c>
      <c r="Q152" s="80">
        <f t="shared" si="53"/>
        <v>7691131</v>
      </c>
      <c r="R152" s="80">
        <f t="shared" si="53"/>
        <v>3542319</v>
      </c>
      <c r="S152" s="80">
        <f t="shared" si="53"/>
        <v>11630098</v>
      </c>
      <c r="T152" s="84">
        <f>N152/'2015'!M152-1</f>
        <v>-0.0554250118277874</v>
      </c>
      <c r="U152" s="84">
        <f>O152/'2015'!N152-1</f>
        <v>-0.0199421420600897</v>
      </c>
      <c r="V152" s="84">
        <f>P152/'2015'!O152-1</f>
        <v>-0.0216467914537551</v>
      </c>
      <c r="W152" s="85">
        <f>Q152/'2015'!P152-1</f>
        <v>-0.0380362565726607</v>
      </c>
      <c r="X152" s="85">
        <f>R152/'2015'!Q152-1</f>
        <v>0.0679977749537579</v>
      </c>
      <c r="Y152" s="85">
        <f>S152/'2015'!R152-1</f>
        <v>0.00959033287640287</v>
      </c>
      <c r="Z152" s="101">
        <f>Z$145+0.439*7</f>
        <v>71.4112</v>
      </c>
      <c r="AA152" s="101">
        <f t="shared" si="56"/>
        <v>697.7019</v>
      </c>
      <c r="AB152" s="110"/>
      <c r="AC152" s="109"/>
      <c r="AD152" s="74">
        <f t="shared" si="57"/>
        <v>8087779</v>
      </c>
      <c r="AE152" s="75">
        <f t="shared" si="62"/>
        <v>265658.545454546</v>
      </c>
      <c r="AF152" s="75">
        <f t="shared" si="62"/>
        <v>112938</v>
      </c>
      <c r="AG152" s="75">
        <f t="shared" si="58"/>
        <v>18051.4545454545</v>
      </c>
    </row>
    <row r="153" ht="15" customHeight="1" spans="1:33">
      <c r="A153" s="106">
        <v>42518</v>
      </c>
      <c r="B153" s="21" t="s">
        <v>38</v>
      </c>
      <c r="C153" s="9">
        <v>58183</v>
      </c>
      <c r="D153" s="38">
        <f>11272+14037</f>
        <v>25309</v>
      </c>
      <c r="E153" s="38">
        <v>87518</v>
      </c>
      <c r="F153" s="9">
        <v>4423</v>
      </c>
      <c r="G153" s="38">
        <v>2943</v>
      </c>
      <c r="H153" s="25"/>
      <c r="I153" s="37"/>
      <c r="J153" s="9">
        <f t="shared" si="54"/>
        <v>62209</v>
      </c>
      <c r="K153" s="38">
        <f t="shared" si="55"/>
        <v>3118.36363636364</v>
      </c>
      <c r="L153" s="38">
        <v>791</v>
      </c>
      <c r="M153" s="38">
        <f t="shared" si="65"/>
        <v>116.636363636364</v>
      </c>
      <c r="N153" s="78">
        <f t="shared" si="59"/>
        <v>1495675</v>
      </c>
      <c r="O153" s="79">
        <f t="shared" si="60"/>
        <v>680511</v>
      </c>
      <c r="P153" s="79">
        <f t="shared" si="61"/>
        <v>2279580</v>
      </c>
      <c r="Q153" s="80">
        <f t="shared" si="53"/>
        <v>7749314</v>
      </c>
      <c r="R153" s="80">
        <f t="shared" si="53"/>
        <v>3567628</v>
      </c>
      <c r="S153" s="80">
        <f t="shared" si="53"/>
        <v>11717616</v>
      </c>
      <c r="T153" s="84">
        <f>N153/'2015'!M153-1</f>
        <v>-0.0543518120431957</v>
      </c>
      <c r="U153" s="84">
        <f>O153/'2015'!N153-1</f>
        <v>-0.0191101072547202</v>
      </c>
      <c r="V153" s="84">
        <f>P153/'2015'!O153-1</f>
        <v>-0.0207190449392347</v>
      </c>
      <c r="W153" s="85">
        <f>Q153/'2015'!P153-1</f>
        <v>-0.037954622199269</v>
      </c>
      <c r="X153" s="85">
        <f>R153/'2015'!Q153-1</f>
        <v>0.0675064781180243</v>
      </c>
      <c r="Y153" s="85">
        <f>S153/'2015'!R153-1</f>
        <v>0.00954159209874694</v>
      </c>
      <c r="Z153" s="54">
        <f>Z$145+0.439*8</f>
        <v>71.8502</v>
      </c>
      <c r="AA153" s="101">
        <f t="shared" si="56"/>
        <v>703.0812</v>
      </c>
      <c r="AB153" s="109"/>
      <c r="AC153" s="109"/>
      <c r="AD153" s="9">
        <f t="shared" si="57"/>
        <v>8149988</v>
      </c>
      <c r="AE153" s="38">
        <f t="shared" si="62"/>
        <v>268776.909090909</v>
      </c>
      <c r="AF153" s="38">
        <f t="shared" si="62"/>
        <v>113729</v>
      </c>
      <c r="AG153" s="38">
        <f t="shared" si="58"/>
        <v>18168.0909090908</v>
      </c>
    </row>
    <row r="154" ht="15" customHeight="1" spans="1:33">
      <c r="A154" s="106">
        <v>42519</v>
      </c>
      <c r="B154" s="21" t="s">
        <v>1</v>
      </c>
      <c r="C154" s="9">
        <v>51619</v>
      </c>
      <c r="D154" s="38">
        <f>11199+14520</f>
        <v>25719</v>
      </c>
      <c r="E154" s="38">
        <v>80443</v>
      </c>
      <c r="F154" s="9">
        <v>4000</v>
      </c>
      <c r="G154" s="38">
        <v>2913</v>
      </c>
      <c r="H154" s="25"/>
      <c r="I154" s="37"/>
      <c r="J154" s="9">
        <f t="shared" si="54"/>
        <v>54724</v>
      </c>
      <c r="K154" s="38">
        <f t="shared" si="55"/>
        <v>2197.36363636364</v>
      </c>
      <c r="L154" s="38">
        <v>791</v>
      </c>
      <c r="M154" s="38">
        <f t="shared" si="65"/>
        <v>116.636363636364</v>
      </c>
      <c r="N154" s="78">
        <f t="shared" si="59"/>
        <v>1547294</v>
      </c>
      <c r="O154" s="79">
        <f t="shared" si="60"/>
        <v>706230</v>
      </c>
      <c r="P154" s="79">
        <f t="shared" si="61"/>
        <v>2360023</v>
      </c>
      <c r="Q154" s="80">
        <f t="shared" si="53"/>
        <v>7800933</v>
      </c>
      <c r="R154" s="80">
        <f t="shared" si="53"/>
        <v>3593347</v>
      </c>
      <c r="S154" s="80">
        <f t="shared" si="53"/>
        <v>11798059</v>
      </c>
      <c r="T154" s="84">
        <f>N154/'2015'!M154-1</f>
        <v>-0.057866567620393</v>
      </c>
      <c r="U154" s="84">
        <f>O154/'2015'!N154-1</f>
        <v>-0.0172181301775807</v>
      </c>
      <c r="V154" s="84">
        <f>P154/'2015'!O154-1</f>
        <v>-0.0230815433339833</v>
      </c>
      <c r="W154" s="85">
        <f>Q154/'2015'!P154-1</f>
        <v>-0.0387885008495847</v>
      </c>
      <c r="X154" s="85">
        <f>R154/'2015'!Q154-1</f>
        <v>0.0672714052940817</v>
      </c>
      <c r="Y154" s="85">
        <f>S154/'2015'!R154-1</f>
        <v>0.00882594299486406</v>
      </c>
      <c r="Z154" s="54">
        <f>Z$145+0.439*9</f>
        <v>72.2892</v>
      </c>
      <c r="AA154" s="101">
        <f t="shared" si="56"/>
        <v>707.8041</v>
      </c>
      <c r="AB154" s="109"/>
      <c r="AC154" s="109"/>
      <c r="AD154" s="9">
        <f t="shared" si="57"/>
        <v>8204712</v>
      </c>
      <c r="AE154" s="38">
        <f t="shared" si="62"/>
        <v>270974.272727273</v>
      </c>
      <c r="AF154" s="38">
        <f t="shared" si="62"/>
        <v>114520</v>
      </c>
      <c r="AG154" s="38">
        <f t="shared" si="58"/>
        <v>18284.7272727272</v>
      </c>
    </row>
    <row r="155" ht="15" customHeight="1" spans="1:33">
      <c r="A155" s="106">
        <v>42520</v>
      </c>
      <c r="B155" s="21" t="s">
        <v>39</v>
      </c>
      <c r="C155" s="9">
        <v>54581</v>
      </c>
      <c r="D155" s="38">
        <v>25321</v>
      </c>
      <c r="E155" s="38">
        <v>83472</v>
      </c>
      <c r="F155" s="9">
        <v>4282</v>
      </c>
      <c r="G155" s="38">
        <v>2705</v>
      </c>
      <c r="H155" s="25"/>
      <c r="I155" s="37"/>
      <c r="J155" s="9">
        <f t="shared" si="54"/>
        <v>58151</v>
      </c>
      <c r="K155" s="38">
        <f t="shared" si="55"/>
        <v>2661.36363636364</v>
      </c>
      <c r="L155" s="38">
        <v>792</v>
      </c>
      <c r="M155" s="38">
        <f t="shared" si="65"/>
        <v>116.636363636364</v>
      </c>
      <c r="N155" s="78">
        <f t="shared" si="59"/>
        <v>1601875</v>
      </c>
      <c r="O155" s="79">
        <f t="shared" si="60"/>
        <v>731551</v>
      </c>
      <c r="P155" s="79">
        <f t="shared" si="61"/>
        <v>2443495</v>
      </c>
      <c r="Q155" s="80">
        <f t="shared" si="53"/>
        <v>7855514</v>
      </c>
      <c r="R155" s="80">
        <f t="shared" si="53"/>
        <v>3618668</v>
      </c>
      <c r="S155" s="80">
        <f t="shared" si="53"/>
        <v>11881531</v>
      </c>
      <c r="T155" s="84">
        <f>N155/'2015'!M155-1</f>
        <v>-0.0581676815770396</v>
      </c>
      <c r="U155" s="84">
        <f>O155/'2015'!N155-1</f>
        <v>-0.0147063181003946</v>
      </c>
      <c r="V155" s="84">
        <f>P155/'2015'!O155-1</f>
        <v>-0.0226903487924691</v>
      </c>
      <c r="W155" s="85">
        <f>Q155/'2015'!P155-1</f>
        <v>-0.0389876351308451</v>
      </c>
      <c r="X155" s="85">
        <f>R155/'2015'!Q155-1</f>
        <v>0.0672267048807613</v>
      </c>
      <c r="Y155" s="85">
        <f>S155/'2015'!R155-1</f>
        <v>0.00868023896868442</v>
      </c>
      <c r="Z155" s="54">
        <f>Z$145+0.439*10</f>
        <v>72.7282</v>
      </c>
      <c r="AA155" s="101">
        <f t="shared" si="56"/>
        <v>712.8232</v>
      </c>
      <c r="AB155" s="109"/>
      <c r="AC155" s="109"/>
      <c r="AD155" s="9">
        <f t="shared" si="57"/>
        <v>8262863</v>
      </c>
      <c r="AE155" s="38">
        <f t="shared" si="62"/>
        <v>273635.636363636</v>
      </c>
      <c r="AF155" s="38">
        <f t="shared" si="62"/>
        <v>115312</v>
      </c>
      <c r="AG155" s="38">
        <f t="shared" si="58"/>
        <v>18401.3636363635</v>
      </c>
    </row>
    <row r="156" s="1" customFormat="1" ht="15" customHeight="1" spans="1:33">
      <c r="A156" s="26">
        <v>42521</v>
      </c>
      <c r="B156" s="26" t="s">
        <v>34</v>
      </c>
      <c r="C156" s="43">
        <v>57989</v>
      </c>
      <c r="D156" s="44">
        <v>25707</v>
      </c>
      <c r="E156" s="44">
        <v>86881</v>
      </c>
      <c r="F156" s="43">
        <v>4356</v>
      </c>
      <c r="G156" s="44">
        <v>2843</v>
      </c>
      <c r="H156" s="31"/>
      <c r="I156" s="31"/>
      <c r="J156" s="43">
        <f t="shared" si="54"/>
        <v>61174</v>
      </c>
      <c r="K156" s="44">
        <f t="shared" si="55"/>
        <v>2277.36363636364</v>
      </c>
      <c r="L156" s="44">
        <v>791</v>
      </c>
      <c r="M156" s="44">
        <f t="shared" si="65"/>
        <v>116.636363636364</v>
      </c>
      <c r="N156" s="91">
        <f t="shared" si="59"/>
        <v>1659864</v>
      </c>
      <c r="O156" s="92">
        <f t="shared" si="60"/>
        <v>757258</v>
      </c>
      <c r="P156" s="92">
        <f t="shared" si="61"/>
        <v>2530376</v>
      </c>
      <c r="Q156" s="91">
        <f t="shared" si="53"/>
        <v>7913503</v>
      </c>
      <c r="R156" s="91">
        <f t="shared" si="53"/>
        <v>3644375</v>
      </c>
      <c r="S156" s="91">
        <f t="shared" si="53"/>
        <v>11968412</v>
      </c>
      <c r="T156" s="93">
        <f>N156/'2015'!M156-1</f>
        <v>-0.0529717442951136</v>
      </c>
      <c r="U156" s="93">
        <f>O156/'2015'!N156-1</f>
        <v>-0.0123228460452899</v>
      </c>
      <c r="V156" s="93">
        <f>P156/'2015'!O156-1</f>
        <v>-0.0183285356258874</v>
      </c>
      <c r="W156" s="93">
        <f>Q156/'2015'!P156-1</f>
        <v>-0.0380015676915498</v>
      </c>
      <c r="X156" s="93">
        <f>R156/'2015'!Q156-1</f>
        <v>0.0671803480980873</v>
      </c>
      <c r="Y156" s="93">
        <f>S156/'2015'!R156-1</f>
        <v>0.00942371885278481</v>
      </c>
      <c r="Z156" s="56">
        <v>73.1677</v>
      </c>
      <c r="AA156" s="56">
        <f t="shared" si="56"/>
        <v>718.1826</v>
      </c>
      <c r="AB156" s="44">
        <v>4230.1</v>
      </c>
      <c r="AC156" s="44">
        <f t="shared" si="64"/>
        <v>1697.79106876906</v>
      </c>
      <c r="AD156" s="43">
        <f t="shared" si="57"/>
        <v>8324037</v>
      </c>
      <c r="AE156" s="44">
        <v>275914</v>
      </c>
      <c r="AF156" s="44">
        <v>116102</v>
      </c>
      <c r="AG156" s="44">
        <f t="shared" si="58"/>
        <v>18518</v>
      </c>
    </row>
    <row r="157" ht="15" customHeight="1" spans="1:33">
      <c r="A157" s="106">
        <v>42522</v>
      </c>
      <c r="B157" s="15" t="s">
        <v>35</v>
      </c>
      <c r="C157" s="33">
        <v>50192</v>
      </c>
      <c r="D157" s="34">
        <v>31373</v>
      </c>
      <c r="E157" s="34">
        <v>83271</v>
      </c>
      <c r="F157" s="33">
        <v>4251</v>
      </c>
      <c r="G157" s="34">
        <v>2903</v>
      </c>
      <c r="H157" s="20"/>
      <c r="I157" s="20"/>
      <c r="J157" s="33">
        <f t="shared" si="54"/>
        <v>51898</v>
      </c>
      <c r="K157" s="34">
        <f t="shared" si="55"/>
        <v>742.4</v>
      </c>
      <c r="L157" s="34">
        <v>790</v>
      </c>
      <c r="M157" s="34">
        <f>(AG$166-AG$156)/10</f>
        <v>173.6</v>
      </c>
      <c r="N157" s="81">
        <f>C157</f>
        <v>50192</v>
      </c>
      <c r="O157" s="82">
        <f>D157</f>
        <v>31373</v>
      </c>
      <c r="P157" s="82">
        <f>E157</f>
        <v>83271</v>
      </c>
      <c r="Q157" s="81">
        <f>Q$156+N157</f>
        <v>7963695</v>
      </c>
      <c r="R157" s="81">
        <f>R$156+O157</f>
        <v>3675748</v>
      </c>
      <c r="S157" s="81">
        <f>S$156+P157</f>
        <v>12051683</v>
      </c>
      <c r="T157" s="86">
        <f>N157/'2015'!M157-1</f>
        <v>-0.0115598968077355</v>
      </c>
      <c r="U157" s="86">
        <f>O157/'2015'!N157-1</f>
        <v>0.107999293660604</v>
      </c>
      <c r="V157" s="86">
        <f>P157/'2015'!O157-1</f>
        <v>0.0245333858287091</v>
      </c>
      <c r="W157" s="86">
        <f>Q157/'2015'!P157-1</f>
        <v>-0.0378393470878604</v>
      </c>
      <c r="X157" s="86">
        <f>R157/'2015'!Q157-1</f>
        <v>0.0675160138380007</v>
      </c>
      <c r="Y157" s="86">
        <f>S157/'2015'!R157-1</f>
        <v>0.00952658977186638</v>
      </c>
      <c r="Z157" s="53">
        <f>Z$156+0.261*1</f>
        <v>73.4287</v>
      </c>
      <c r="AA157" s="53">
        <f t="shared" si="56"/>
        <v>722.9408</v>
      </c>
      <c r="AB157" s="34">
        <v>4230.1</v>
      </c>
      <c r="AC157" s="34">
        <f t="shared" si="64"/>
        <v>1709.03950261223</v>
      </c>
      <c r="AD157" s="33">
        <f t="shared" si="57"/>
        <v>8375935</v>
      </c>
      <c r="AE157" s="34">
        <f t="shared" si="62"/>
        <v>276656.4</v>
      </c>
      <c r="AF157" s="34">
        <f t="shared" si="62"/>
        <v>116892</v>
      </c>
      <c r="AG157" s="34">
        <f t="shared" si="58"/>
        <v>18691.6</v>
      </c>
    </row>
    <row r="158" ht="15" customHeight="1" spans="1:33">
      <c r="A158" s="106">
        <v>42523</v>
      </c>
      <c r="B158" s="21" t="s">
        <v>36</v>
      </c>
      <c r="C158" s="9">
        <v>46181</v>
      </c>
      <c r="D158" s="38">
        <v>32801</v>
      </c>
      <c r="E158" s="38">
        <v>80915</v>
      </c>
      <c r="F158" s="9">
        <v>4160</v>
      </c>
      <c r="G158" s="38">
        <v>2662</v>
      </c>
      <c r="H158" s="25"/>
      <c r="I158" s="37"/>
      <c r="J158" s="9">
        <f t="shared" si="54"/>
        <v>48114</v>
      </c>
      <c r="K158" s="38">
        <f t="shared" si="55"/>
        <v>967.4</v>
      </c>
      <c r="L158" s="38">
        <v>792</v>
      </c>
      <c r="M158" s="38">
        <f t="shared" ref="M158:M166" si="66">(AG$166-AG$156)/10</f>
        <v>173.6</v>
      </c>
      <c r="N158" s="78">
        <f t="shared" ref="N158:N175" si="67">N157+C158</f>
        <v>96373</v>
      </c>
      <c r="O158" s="79">
        <f t="shared" ref="O158:O175" si="68">O157+D158</f>
        <v>64174</v>
      </c>
      <c r="P158" s="79">
        <f t="shared" ref="P158:P175" si="69">P157+E158</f>
        <v>164186</v>
      </c>
      <c r="Q158" s="80">
        <f t="shared" ref="Q158:S186" si="70">Q$156+N158</f>
        <v>8009876</v>
      </c>
      <c r="R158" s="80">
        <f t="shared" si="70"/>
        <v>3708549</v>
      </c>
      <c r="S158" s="80">
        <f t="shared" si="70"/>
        <v>12132598</v>
      </c>
      <c r="T158" s="84">
        <f>N158/'2015'!M158-1</f>
        <v>-0.094417455201511</v>
      </c>
      <c r="U158" s="84">
        <f>O158/'2015'!N158-1</f>
        <v>0.11241311168507</v>
      </c>
      <c r="V158" s="84">
        <f>P158/'2015'!O158-1</f>
        <v>-0.0232721388713727</v>
      </c>
      <c r="W158" s="85">
        <f>Q158/'2015'!P158-1</f>
        <v>-0.0387220974568465</v>
      </c>
      <c r="X158" s="85">
        <f>R158/'2015'!Q158-1</f>
        <v>0.0679317730629612</v>
      </c>
      <c r="Y158" s="85">
        <f>S158/'2015'!R158-1</f>
        <v>0.00896665351604065</v>
      </c>
      <c r="Z158" s="54">
        <f>Z$156+0.261*2</f>
        <v>73.6897</v>
      </c>
      <c r="AA158" s="101">
        <f t="shared" si="56"/>
        <v>727.2979</v>
      </c>
      <c r="AB158" s="109">
        <v>4230.1</v>
      </c>
      <c r="AC158" s="109">
        <f t="shared" si="64"/>
        <v>1719.33973192123</v>
      </c>
      <c r="AD158" s="9">
        <f t="shared" si="57"/>
        <v>8424049</v>
      </c>
      <c r="AE158" s="38">
        <f t="shared" si="62"/>
        <v>277623.8</v>
      </c>
      <c r="AF158" s="38">
        <f t="shared" si="62"/>
        <v>117684</v>
      </c>
      <c r="AG158" s="38">
        <f t="shared" si="58"/>
        <v>18865.2</v>
      </c>
    </row>
    <row r="159" ht="15" customHeight="1" spans="1:33">
      <c r="A159" s="106">
        <v>42524</v>
      </c>
      <c r="B159" s="21" t="s">
        <v>37</v>
      </c>
      <c r="C159" s="74">
        <v>44034</v>
      </c>
      <c r="D159" s="75">
        <v>34540</v>
      </c>
      <c r="E159" s="75">
        <v>81075</v>
      </c>
      <c r="F159" s="74">
        <v>4162</v>
      </c>
      <c r="G159" s="75">
        <v>2683</v>
      </c>
      <c r="H159" s="25"/>
      <c r="I159" s="25"/>
      <c r="J159" s="74">
        <f t="shared" si="54"/>
        <v>46535</v>
      </c>
      <c r="K159" s="75">
        <f t="shared" si="55"/>
        <v>1538.4</v>
      </c>
      <c r="L159" s="75">
        <v>789</v>
      </c>
      <c r="M159" s="75">
        <f t="shared" si="66"/>
        <v>173.6</v>
      </c>
      <c r="N159" s="78">
        <f t="shared" si="67"/>
        <v>140407</v>
      </c>
      <c r="O159" s="79">
        <f t="shared" si="68"/>
        <v>98714</v>
      </c>
      <c r="P159" s="79">
        <f t="shared" si="69"/>
        <v>245261</v>
      </c>
      <c r="Q159" s="80">
        <f t="shared" si="70"/>
        <v>8053910</v>
      </c>
      <c r="R159" s="80">
        <f t="shared" si="70"/>
        <v>3743089</v>
      </c>
      <c r="S159" s="80">
        <f t="shared" si="70"/>
        <v>12213673</v>
      </c>
      <c r="T159" s="84">
        <f>N159/'2015'!M159-1</f>
        <v>-0.119307775296686</v>
      </c>
      <c r="U159" s="84">
        <f>O159/'2015'!N159-1</f>
        <v>0.138162825287383</v>
      </c>
      <c r="V159" s="84">
        <f>P159/'2015'!O159-1</f>
        <v>-0.0276526744794557</v>
      </c>
      <c r="W159" s="85">
        <f>Q159/'2015'!P159-1</f>
        <v>-0.0395473825406032</v>
      </c>
      <c r="X159" s="85">
        <f>R159/'2015'!Q159-1</f>
        <v>0.0689384662482779</v>
      </c>
      <c r="Y159" s="85">
        <f>S159/'2015'!R159-1</f>
        <v>0.00865139516227464</v>
      </c>
      <c r="Z159" s="101">
        <f>Z$156+0.261*3</f>
        <v>73.9507</v>
      </c>
      <c r="AA159" s="101">
        <f t="shared" si="56"/>
        <v>731.4403</v>
      </c>
      <c r="AB159" s="110"/>
      <c r="AC159" s="109"/>
      <c r="AD159" s="74">
        <f t="shared" si="57"/>
        <v>8470584</v>
      </c>
      <c r="AE159" s="75">
        <f t="shared" si="62"/>
        <v>279162.2</v>
      </c>
      <c r="AF159" s="75">
        <f t="shared" si="62"/>
        <v>118473</v>
      </c>
      <c r="AG159" s="75">
        <f t="shared" si="58"/>
        <v>19038.7999999999</v>
      </c>
    </row>
    <row r="160" ht="15" customHeight="1" spans="1:33">
      <c r="A160" s="106">
        <v>42525</v>
      </c>
      <c r="B160" s="21" t="s">
        <v>38</v>
      </c>
      <c r="C160" s="9">
        <v>44350</v>
      </c>
      <c r="D160" s="38">
        <v>34247</v>
      </c>
      <c r="E160" s="38">
        <v>80832</v>
      </c>
      <c r="F160" s="9">
        <v>4122</v>
      </c>
      <c r="G160" s="38">
        <v>2696</v>
      </c>
      <c r="H160" s="25"/>
      <c r="I160" s="37"/>
      <c r="J160" s="9">
        <f t="shared" si="54"/>
        <v>46585</v>
      </c>
      <c r="K160" s="38">
        <f t="shared" si="55"/>
        <v>1269.4</v>
      </c>
      <c r="L160" s="38">
        <v>792</v>
      </c>
      <c r="M160" s="38">
        <f t="shared" si="66"/>
        <v>173.6</v>
      </c>
      <c r="N160" s="78">
        <f t="shared" si="67"/>
        <v>184757</v>
      </c>
      <c r="O160" s="79">
        <f t="shared" si="68"/>
        <v>132961</v>
      </c>
      <c r="P160" s="79">
        <f t="shared" si="69"/>
        <v>326093</v>
      </c>
      <c r="Q160" s="80">
        <f t="shared" si="70"/>
        <v>8098260</v>
      </c>
      <c r="R160" s="80">
        <f t="shared" si="70"/>
        <v>3777336</v>
      </c>
      <c r="S160" s="80">
        <f t="shared" si="70"/>
        <v>12294505</v>
      </c>
      <c r="T160" s="84">
        <f>N160/'2015'!M160-1</f>
        <v>-0.11824390430147</v>
      </c>
      <c r="U160" s="84">
        <f>O160/'2015'!N160-1</f>
        <v>0.147768963165664</v>
      </c>
      <c r="V160" s="84">
        <f>P160/'2015'!O160-1</f>
        <v>-0.0241119257818345</v>
      </c>
      <c r="W160" s="85">
        <f>Q160/'2015'!P160-1</f>
        <v>-0.0399947081674055</v>
      </c>
      <c r="X160" s="85">
        <f>R160/'2015'!Q160-1</f>
        <v>0.0698244024017221</v>
      </c>
      <c r="Y160" s="85">
        <f>S160/'2015'!R160-1</f>
        <v>0.00850450847145079</v>
      </c>
      <c r="Z160" s="54">
        <f>Z$156+0.261*4</f>
        <v>74.2117</v>
      </c>
      <c r="AA160" s="101">
        <f t="shared" si="56"/>
        <v>735.6143</v>
      </c>
      <c r="AB160" s="109"/>
      <c r="AC160" s="109"/>
      <c r="AD160" s="9">
        <f t="shared" si="57"/>
        <v>8517169</v>
      </c>
      <c r="AE160" s="38">
        <f t="shared" si="62"/>
        <v>280431.6</v>
      </c>
      <c r="AF160" s="38">
        <f t="shared" si="62"/>
        <v>119265</v>
      </c>
      <c r="AG160" s="38">
        <f t="shared" si="58"/>
        <v>19212.3999999999</v>
      </c>
    </row>
    <row r="161" ht="15" customHeight="1" spans="1:33">
      <c r="A161" s="106">
        <v>42526</v>
      </c>
      <c r="B161" s="21" t="s">
        <v>1</v>
      </c>
      <c r="C161" s="9">
        <v>42250</v>
      </c>
      <c r="D161" s="38">
        <v>33403</v>
      </c>
      <c r="E161" s="38">
        <v>78095</v>
      </c>
      <c r="F161" s="9">
        <v>3849</v>
      </c>
      <c r="G161" s="38">
        <v>2707</v>
      </c>
      <c r="H161" s="25"/>
      <c r="I161" s="37"/>
      <c r="J161" s="9">
        <f t="shared" si="54"/>
        <v>44692</v>
      </c>
      <c r="K161" s="38">
        <f t="shared" si="55"/>
        <v>1476.4</v>
      </c>
      <c r="L161" s="38">
        <v>792</v>
      </c>
      <c r="M161" s="38">
        <f t="shared" si="66"/>
        <v>173.6</v>
      </c>
      <c r="N161" s="78">
        <f t="shared" si="67"/>
        <v>227007</v>
      </c>
      <c r="O161" s="79">
        <f t="shared" si="68"/>
        <v>166364</v>
      </c>
      <c r="P161" s="79">
        <f t="shared" si="69"/>
        <v>404188</v>
      </c>
      <c r="Q161" s="80">
        <f t="shared" si="70"/>
        <v>8140510</v>
      </c>
      <c r="R161" s="80">
        <f t="shared" si="70"/>
        <v>3810739</v>
      </c>
      <c r="S161" s="80">
        <f t="shared" si="70"/>
        <v>12372600</v>
      </c>
      <c r="T161" s="84">
        <f>N161/'2015'!M161-1</f>
        <v>-0.127718111779285</v>
      </c>
      <c r="U161" s="84">
        <f>O161/'2015'!N161-1</f>
        <v>0.147227164273794</v>
      </c>
      <c r="V161" s="84">
        <f>P161/'2015'!O161-1</f>
        <v>-0.0288144552837715</v>
      </c>
      <c r="W161" s="85">
        <f>Q161/'2015'!P161-1</f>
        <v>-0.0407528416505889</v>
      </c>
      <c r="X161" s="85">
        <f>R161/'2015'!Q161-1</f>
        <v>0.0704410232555266</v>
      </c>
      <c r="Y161" s="85">
        <f>S161/'2015'!R161-1</f>
        <v>0.00812703935790671</v>
      </c>
      <c r="Z161" s="54">
        <f>Z$156+0.261*5</f>
        <v>74.4727</v>
      </c>
      <c r="AA161" s="101">
        <f t="shared" si="56"/>
        <v>739.5783</v>
      </c>
      <c r="AB161" s="109"/>
      <c r="AC161" s="109"/>
      <c r="AD161" s="9">
        <f t="shared" si="57"/>
        <v>8561861</v>
      </c>
      <c r="AE161" s="38">
        <f t="shared" si="62"/>
        <v>281908</v>
      </c>
      <c r="AF161" s="38">
        <f t="shared" si="62"/>
        <v>120057</v>
      </c>
      <c r="AG161" s="38">
        <f t="shared" si="58"/>
        <v>19385.9999999999</v>
      </c>
    </row>
    <row r="162" ht="15" customHeight="1" spans="1:33">
      <c r="A162" s="106">
        <v>42527</v>
      </c>
      <c r="B162" s="21" t="s">
        <v>39</v>
      </c>
      <c r="C162" s="9">
        <v>47585</v>
      </c>
      <c r="D162" s="38">
        <v>34441</v>
      </c>
      <c r="E162" s="38">
        <v>84481</v>
      </c>
      <c r="F162" s="9">
        <v>4279</v>
      </c>
      <c r="G162" s="38">
        <v>2690</v>
      </c>
      <c r="H162" s="25"/>
      <c r="I162" s="37"/>
      <c r="J162" s="9">
        <f t="shared" si="54"/>
        <v>50040</v>
      </c>
      <c r="K162" s="38">
        <f t="shared" si="55"/>
        <v>1490.4</v>
      </c>
      <c r="L162" s="38">
        <v>791</v>
      </c>
      <c r="M162" s="38">
        <f t="shared" si="66"/>
        <v>173.6</v>
      </c>
      <c r="N162" s="78">
        <f t="shared" si="67"/>
        <v>274592</v>
      </c>
      <c r="O162" s="79">
        <f t="shared" si="68"/>
        <v>200805</v>
      </c>
      <c r="P162" s="79">
        <f t="shared" si="69"/>
        <v>488669</v>
      </c>
      <c r="Q162" s="80">
        <f t="shared" si="70"/>
        <v>8188095</v>
      </c>
      <c r="R162" s="80">
        <f t="shared" si="70"/>
        <v>3845180</v>
      </c>
      <c r="S162" s="80">
        <f t="shared" si="70"/>
        <v>12457081</v>
      </c>
      <c r="T162" s="84">
        <f>N162/'2015'!M162-1</f>
        <v>-0.117175393360297</v>
      </c>
      <c r="U162" s="84">
        <f>O162/'2015'!N162-1</f>
        <v>0.155559264097414</v>
      </c>
      <c r="V162" s="84">
        <f>P162/'2015'!O162-1</f>
        <v>-0.019459554906324</v>
      </c>
      <c r="W162" s="85">
        <f>Q162/'2015'!P162-1</f>
        <v>-0.0408861462601202</v>
      </c>
      <c r="X162" s="85">
        <f>R162/'2015'!Q162-1</f>
        <v>0.0714598200477605</v>
      </c>
      <c r="Y162" s="85">
        <f>S162/'2015'!R162-1</f>
        <v>0.00825865061600339</v>
      </c>
      <c r="Z162" s="54">
        <f>Z$156+0.261*6</f>
        <v>74.7337</v>
      </c>
      <c r="AA162" s="101">
        <f t="shared" si="56"/>
        <v>744.0758</v>
      </c>
      <c r="AB162" s="109"/>
      <c r="AC162" s="109"/>
      <c r="AD162" s="9">
        <f t="shared" si="57"/>
        <v>8611901</v>
      </c>
      <c r="AE162" s="38">
        <f t="shared" si="62"/>
        <v>283398.4</v>
      </c>
      <c r="AF162" s="38">
        <f t="shared" si="62"/>
        <v>120848</v>
      </c>
      <c r="AG162" s="38">
        <f t="shared" si="58"/>
        <v>19559.5999999999</v>
      </c>
    </row>
    <row r="163" ht="15" customHeight="1" spans="1:33">
      <c r="A163" s="106">
        <v>42528</v>
      </c>
      <c r="B163" s="21" t="s">
        <v>34</v>
      </c>
      <c r="C163" s="9">
        <v>49260</v>
      </c>
      <c r="D163" s="38">
        <v>35863</v>
      </c>
      <c r="E163" s="38">
        <v>88489</v>
      </c>
      <c r="F163" s="9">
        <v>4448</v>
      </c>
      <c r="G163" s="38">
        <v>2905</v>
      </c>
      <c r="H163" s="25"/>
      <c r="I163" s="37"/>
      <c r="J163" s="9">
        <f t="shared" si="54"/>
        <v>52626</v>
      </c>
      <c r="K163" s="38">
        <f t="shared" si="55"/>
        <v>2402.4</v>
      </c>
      <c r="L163" s="38">
        <v>790</v>
      </c>
      <c r="M163" s="38">
        <f t="shared" si="66"/>
        <v>173.6</v>
      </c>
      <c r="N163" s="78">
        <f t="shared" si="67"/>
        <v>323852</v>
      </c>
      <c r="O163" s="79">
        <f t="shared" si="68"/>
        <v>236668</v>
      </c>
      <c r="P163" s="79">
        <f t="shared" si="69"/>
        <v>577158</v>
      </c>
      <c r="Q163" s="80">
        <f t="shared" si="70"/>
        <v>8237355</v>
      </c>
      <c r="R163" s="80">
        <f t="shared" si="70"/>
        <v>3881043</v>
      </c>
      <c r="S163" s="80">
        <f t="shared" si="70"/>
        <v>12545570</v>
      </c>
      <c r="T163" s="84">
        <f>N163/'2015'!M163-1</f>
        <v>-0.0916684196502447</v>
      </c>
      <c r="U163" s="84">
        <f>O163/'2015'!N163-1</f>
        <v>0.166863881986353</v>
      </c>
      <c r="V163" s="84">
        <f>P163/'2015'!O163-1</f>
        <v>0.00129768741000325</v>
      </c>
      <c r="W163" s="85">
        <f>Q163/'2015'!P163-1</f>
        <v>-0.0402309638184881</v>
      </c>
      <c r="X163" s="85">
        <f>R163/'2015'!Q163-1</f>
        <v>0.0727689155313713</v>
      </c>
      <c r="Y163" s="85">
        <f>S163/'2015'!R163-1</f>
        <v>0.00904698816577176</v>
      </c>
      <c r="Z163" s="54">
        <f>Z$156+0.261*7</f>
        <v>74.9947</v>
      </c>
      <c r="AA163" s="101">
        <f t="shared" si="56"/>
        <v>748.7408</v>
      </c>
      <c r="AB163" s="109"/>
      <c r="AC163" s="109"/>
      <c r="AD163" s="9">
        <f t="shared" si="57"/>
        <v>8664527</v>
      </c>
      <c r="AE163" s="38">
        <f t="shared" si="62"/>
        <v>285800.8</v>
      </c>
      <c r="AF163" s="38">
        <f t="shared" si="62"/>
        <v>121638</v>
      </c>
      <c r="AG163" s="38">
        <f t="shared" si="58"/>
        <v>19733.1999999998</v>
      </c>
    </row>
    <row r="164" ht="15" customHeight="1" spans="1:33">
      <c r="A164" s="106">
        <v>42529</v>
      </c>
      <c r="B164" s="15" t="s">
        <v>35</v>
      </c>
      <c r="C164" s="33">
        <v>49838</v>
      </c>
      <c r="D164" s="34">
        <v>35060</v>
      </c>
      <c r="E164" s="34">
        <v>87392</v>
      </c>
      <c r="F164" s="33">
        <v>4478</v>
      </c>
      <c r="G164" s="34">
        <v>2965</v>
      </c>
      <c r="H164" s="20"/>
      <c r="I164" s="20"/>
      <c r="J164" s="33">
        <f t="shared" si="54"/>
        <v>52332</v>
      </c>
      <c r="K164" s="34">
        <f t="shared" si="55"/>
        <v>1530.4</v>
      </c>
      <c r="L164" s="34">
        <v>790</v>
      </c>
      <c r="M164" s="34">
        <f t="shared" si="66"/>
        <v>173.6</v>
      </c>
      <c r="N164" s="81">
        <f t="shared" si="67"/>
        <v>373690</v>
      </c>
      <c r="O164" s="82">
        <f t="shared" si="68"/>
        <v>271728</v>
      </c>
      <c r="P164" s="82">
        <f t="shared" si="69"/>
        <v>664550</v>
      </c>
      <c r="Q164" s="81">
        <f t="shared" si="70"/>
        <v>8287193</v>
      </c>
      <c r="R164" s="81">
        <f t="shared" si="70"/>
        <v>3916103</v>
      </c>
      <c r="S164" s="81">
        <f t="shared" si="70"/>
        <v>12632962</v>
      </c>
      <c r="T164" s="86">
        <f>N164/'2015'!M164-1</f>
        <v>-0.0784577255520894</v>
      </c>
      <c r="U164" s="86">
        <f>O164/'2015'!N164-1</f>
        <v>0.166019421641871</v>
      </c>
      <c r="V164" s="86">
        <f>P164/'2015'!O164-1</f>
        <v>0.00877698977485242</v>
      </c>
      <c r="W164" s="86">
        <f>Q164/'2015'!P164-1</f>
        <v>-0.0399021596542848</v>
      </c>
      <c r="X164" s="86">
        <f>R164/'2015'!Q164-1</f>
        <v>0.0734943240069341</v>
      </c>
      <c r="Y164" s="86">
        <f>S164/'2015'!R164-1</f>
        <v>0.0093896773634754</v>
      </c>
      <c r="Z164" s="53">
        <f>Z$156+0.261*8</f>
        <v>75.2557</v>
      </c>
      <c r="AA164" s="53">
        <f t="shared" si="56"/>
        <v>753.4636</v>
      </c>
      <c r="AB164" s="34">
        <v>4230.1</v>
      </c>
      <c r="AC164" s="34">
        <f t="shared" si="64"/>
        <v>1781.19571641332</v>
      </c>
      <c r="AD164" s="33">
        <f t="shared" si="57"/>
        <v>8716859</v>
      </c>
      <c r="AE164" s="34">
        <f t="shared" si="62"/>
        <v>287331.2</v>
      </c>
      <c r="AF164" s="34">
        <f t="shared" si="62"/>
        <v>122428</v>
      </c>
      <c r="AG164" s="34">
        <f t="shared" si="58"/>
        <v>19906.7999999998</v>
      </c>
    </row>
    <row r="165" ht="15" customHeight="1" spans="1:33">
      <c r="A165" s="14">
        <v>42530</v>
      </c>
      <c r="B165" s="21" t="s">
        <v>36</v>
      </c>
      <c r="C165" s="9">
        <v>36703</v>
      </c>
      <c r="D165" s="38">
        <v>26740</v>
      </c>
      <c r="E165" s="38">
        <v>65052</v>
      </c>
      <c r="F165" s="9">
        <v>3126</v>
      </c>
      <c r="G165" s="38">
        <v>2485</v>
      </c>
      <c r="H165" s="25"/>
      <c r="I165" s="37"/>
      <c r="J165" s="9">
        <f t="shared" si="54"/>
        <v>38312</v>
      </c>
      <c r="K165" s="38">
        <f t="shared" si="55"/>
        <v>646.4</v>
      </c>
      <c r="L165" s="38">
        <v>789</v>
      </c>
      <c r="M165" s="38">
        <f t="shared" si="66"/>
        <v>173.6</v>
      </c>
      <c r="N165" s="78">
        <f t="shared" si="67"/>
        <v>410393</v>
      </c>
      <c r="O165" s="79">
        <f t="shared" si="68"/>
        <v>298468</v>
      </c>
      <c r="P165" s="79">
        <f t="shared" si="69"/>
        <v>729602</v>
      </c>
      <c r="Q165" s="80">
        <f t="shared" si="70"/>
        <v>8323896</v>
      </c>
      <c r="R165" s="80">
        <f t="shared" si="70"/>
        <v>3942843</v>
      </c>
      <c r="S165" s="80">
        <f t="shared" si="70"/>
        <v>12698014</v>
      </c>
      <c r="T165" s="84">
        <f>N165/'2015'!M165-1</f>
        <v>-0.0965441785104172</v>
      </c>
      <c r="U165" s="84">
        <f>O165/'2015'!N165-1</f>
        <v>0.132465206635402</v>
      </c>
      <c r="V165" s="84">
        <f>P165/'2015'!O165-1</f>
        <v>-0.0151267264932344</v>
      </c>
      <c r="W165" s="85">
        <f>Q165/'2015'!P165-1</f>
        <v>-0.0410651360381994</v>
      </c>
      <c r="X165" s="85">
        <f>R165/'2015'!Q165-1</f>
        <v>0.0718578403827852</v>
      </c>
      <c r="Y165" s="85">
        <f>S165/'2015'!R165-1</f>
        <v>0.00798000489939032</v>
      </c>
      <c r="Z165" s="54">
        <f>Z$156+0.261*9</f>
        <v>75.5167</v>
      </c>
      <c r="AA165" s="101">
        <f t="shared" si="56"/>
        <v>756.8729</v>
      </c>
      <c r="AB165" s="109">
        <v>4230.1</v>
      </c>
      <c r="AC165" s="109">
        <f t="shared" si="64"/>
        <v>1789.25533675327</v>
      </c>
      <c r="AD165" s="9">
        <f t="shared" si="57"/>
        <v>8755171</v>
      </c>
      <c r="AE165" s="38">
        <f t="shared" si="62"/>
        <v>287977.6</v>
      </c>
      <c r="AF165" s="38">
        <f t="shared" si="62"/>
        <v>123217</v>
      </c>
      <c r="AG165" s="38">
        <f t="shared" si="58"/>
        <v>20080.3999999998</v>
      </c>
    </row>
    <row r="166" ht="15" customHeight="1" spans="1:33">
      <c r="A166" s="14">
        <v>42531</v>
      </c>
      <c r="B166" s="21" t="s">
        <v>37</v>
      </c>
      <c r="C166" s="74">
        <v>45694</v>
      </c>
      <c r="D166" s="75">
        <v>28361</v>
      </c>
      <c r="E166" s="75">
        <v>76898</v>
      </c>
      <c r="F166" s="74">
        <v>3830</v>
      </c>
      <c r="G166" s="75">
        <v>2290</v>
      </c>
      <c r="H166" s="25"/>
      <c r="I166" s="25"/>
      <c r="J166" s="74">
        <f t="shared" si="54"/>
        <v>48537</v>
      </c>
      <c r="K166" s="75">
        <f t="shared" si="55"/>
        <v>1878.4</v>
      </c>
      <c r="L166" s="75">
        <v>791</v>
      </c>
      <c r="M166" s="75">
        <f t="shared" si="66"/>
        <v>173.6</v>
      </c>
      <c r="N166" s="78">
        <f t="shared" si="67"/>
        <v>456087</v>
      </c>
      <c r="O166" s="79">
        <f t="shared" si="68"/>
        <v>326829</v>
      </c>
      <c r="P166" s="79">
        <f t="shared" si="69"/>
        <v>806500</v>
      </c>
      <c r="Q166" s="80">
        <f t="shared" si="70"/>
        <v>8369590</v>
      </c>
      <c r="R166" s="80">
        <f t="shared" si="70"/>
        <v>3971204</v>
      </c>
      <c r="S166" s="80">
        <f t="shared" si="70"/>
        <v>12774912</v>
      </c>
      <c r="T166" s="84">
        <f>N166/'2015'!M166-1</f>
        <v>-0.0938212784219603</v>
      </c>
      <c r="U166" s="84">
        <f>O166/'2015'!N166-1</f>
        <v>0.110533844831277</v>
      </c>
      <c r="V166" s="84">
        <f>P166/'2015'!O166-1</f>
        <v>-0.0202664535103373</v>
      </c>
      <c r="W166" s="85">
        <f>Q166/'2015'!P166-1</f>
        <v>-0.0412199395698406</v>
      </c>
      <c r="X166" s="85">
        <f>R166/'2015'!Q166-1</f>
        <v>0.0706200920076694</v>
      </c>
      <c r="Y166" s="85">
        <f>S166/'2015'!R166-1</f>
        <v>0.00749621782131515</v>
      </c>
      <c r="Z166" s="101">
        <v>75.7757</v>
      </c>
      <c r="AA166" s="101">
        <f t="shared" si="56"/>
        <v>761.1833</v>
      </c>
      <c r="AB166" s="110">
        <v>4230.1</v>
      </c>
      <c r="AC166" s="109">
        <f t="shared" si="64"/>
        <v>1799.44516678093</v>
      </c>
      <c r="AD166" s="74">
        <f t="shared" si="57"/>
        <v>8803708</v>
      </c>
      <c r="AE166" s="75">
        <v>289856</v>
      </c>
      <c r="AF166" s="75">
        <f t="shared" si="62"/>
        <v>124008</v>
      </c>
      <c r="AG166" s="75">
        <f t="shared" si="58"/>
        <v>20254</v>
      </c>
    </row>
    <row r="167" ht="15" customHeight="1" spans="1:33">
      <c r="A167" s="14">
        <v>42532</v>
      </c>
      <c r="B167" s="21" t="s">
        <v>38</v>
      </c>
      <c r="C167" s="9">
        <v>53883</v>
      </c>
      <c r="D167" s="38">
        <v>30297</v>
      </c>
      <c r="E167" s="38">
        <v>87341</v>
      </c>
      <c r="F167" s="9">
        <v>4375</v>
      </c>
      <c r="G167" s="38">
        <v>2825</v>
      </c>
      <c r="H167" s="25"/>
      <c r="I167" s="37"/>
      <c r="J167" s="9">
        <f t="shared" si="54"/>
        <v>57044</v>
      </c>
      <c r="K167" s="38">
        <f t="shared" si="55"/>
        <v>2228.2</v>
      </c>
      <c r="L167" s="38">
        <v>790</v>
      </c>
      <c r="M167" s="38">
        <f>(AG$176-AG$166)/10</f>
        <v>142.8</v>
      </c>
      <c r="N167" s="78">
        <f t="shared" si="67"/>
        <v>509970</v>
      </c>
      <c r="O167" s="79">
        <f t="shared" si="68"/>
        <v>357126</v>
      </c>
      <c r="P167" s="79">
        <f t="shared" si="69"/>
        <v>893841</v>
      </c>
      <c r="Q167" s="80">
        <f t="shared" si="70"/>
        <v>8423473</v>
      </c>
      <c r="R167" s="80">
        <f t="shared" si="70"/>
        <v>4001501</v>
      </c>
      <c r="S167" s="80">
        <f t="shared" si="70"/>
        <v>12862253</v>
      </c>
      <c r="T167" s="84">
        <f>N167/'2015'!M167-1</f>
        <v>-0.0781869944416829</v>
      </c>
      <c r="U167" s="84">
        <f>O167/'2015'!N167-1</f>
        <v>0.0971174730348712</v>
      </c>
      <c r="V167" s="84">
        <f>P167/'2015'!O167-1</f>
        <v>-0.0149578913263406</v>
      </c>
      <c r="W167" s="85">
        <f>Q167/'2015'!P167-1</f>
        <v>-0.0405338309869326</v>
      </c>
      <c r="X167" s="85">
        <f>R167/'2015'!Q167-1</f>
        <v>0.0697856151767025</v>
      </c>
      <c r="Y167" s="85">
        <f>S167/'2015'!R167-1</f>
        <v>0.00769040210615834</v>
      </c>
      <c r="Z167" s="54">
        <f>Z$166+0.368*1</f>
        <v>76.1437</v>
      </c>
      <c r="AA167" s="101">
        <f t="shared" si="56"/>
        <v>766.2036</v>
      </c>
      <c r="AB167" s="109"/>
      <c r="AC167" s="109"/>
      <c r="AD167" s="9">
        <f t="shared" si="57"/>
        <v>8860752</v>
      </c>
      <c r="AE167" s="38">
        <f t="shared" si="62"/>
        <v>292084.2</v>
      </c>
      <c r="AF167" s="38">
        <f t="shared" si="62"/>
        <v>124798</v>
      </c>
      <c r="AG167" s="38">
        <f t="shared" si="58"/>
        <v>20396.8</v>
      </c>
    </row>
    <row r="168" ht="15" customHeight="1" spans="1:33">
      <c r="A168" s="106">
        <v>42533</v>
      </c>
      <c r="B168" s="21" t="s">
        <v>1</v>
      </c>
      <c r="C168" s="9">
        <v>53254</v>
      </c>
      <c r="D168" s="38">
        <v>31065</v>
      </c>
      <c r="E168" s="38">
        <v>86956</v>
      </c>
      <c r="F168" s="9">
        <v>4470</v>
      </c>
      <c r="G168" s="38">
        <v>2985</v>
      </c>
      <c r="H168" s="25"/>
      <c r="I168" s="37"/>
      <c r="J168" s="9">
        <f t="shared" si="54"/>
        <v>55891</v>
      </c>
      <c r="K168" s="38">
        <f t="shared" si="55"/>
        <v>1706.2</v>
      </c>
      <c r="L168" s="38">
        <v>788</v>
      </c>
      <c r="M168" s="38">
        <f t="shared" ref="M168:M176" si="71">(AG$176-AG$166)/10</f>
        <v>142.8</v>
      </c>
      <c r="N168" s="78">
        <f t="shared" si="67"/>
        <v>563224</v>
      </c>
      <c r="O168" s="79">
        <f t="shared" si="68"/>
        <v>388191</v>
      </c>
      <c r="P168" s="79">
        <f t="shared" si="69"/>
        <v>980797</v>
      </c>
      <c r="Q168" s="80">
        <f t="shared" si="70"/>
        <v>8476727</v>
      </c>
      <c r="R168" s="80">
        <f t="shared" si="70"/>
        <v>4032566</v>
      </c>
      <c r="S168" s="80">
        <f t="shared" si="70"/>
        <v>12949209</v>
      </c>
      <c r="T168" s="84">
        <f>N168/'2015'!M168-1</f>
        <v>-0.0649043609926334</v>
      </c>
      <c r="U168" s="84">
        <f>O168/'2015'!N168-1</f>
        <v>0.0806437244934888</v>
      </c>
      <c r="V168" s="84">
        <f>P168/'2015'!O168-1</f>
        <v>-0.0128675841551075</v>
      </c>
      <c r="W168" s="85">
        <f>Q168/'2015'!P168-1</f>
        <v>-0.0398370037690755</v>
      </c>
      <c r="X168" s="85">
        <f>R168/'2015'!Q168-1</f>
        <v>0.0684617767201821</v>
      </c>
      <c r="Y168" s="85">
        <f>S168/'2015'!R168-1</f>
        <v>0.00770015548323544</v>
      </c>
      <c r="Z168" s="54">
        <f>Z$166+0.368*2</f>
        <v>76.5117</v>
      </c>
      <c r="AA168" s="101">
        <f t="shared" si="56"/>
        <v>771.161</v>
      </c>
      <c r="AB168" s="109"/>
      <c r="AC168" s="109"/>
      <c r="AD168" s="9">
        <f t="shared" si="57"/>
        <v>8916643</v>
      </c>
      <c r="AE168" s="38">
        <f t="shared" si="62"/>
        <v>293790.4</v>
      </c>
      <c r="AF168" s="38">
        <f t="shared" si="62"/>
        <v>125586</v>
      </c>
      <c r="AG168" s="38">
        <f t="shared" si="58"/>
        <v>20539.6</v>
      </c>
    </row>
    <row r="169" ht="15" customHeight="1" spans="1:33">
      <c r="A169" s="106">
        <v>42534</v>
      </c>
      <c r="B169" s="21" t="s">
        <v>39</v>
      </c>
      <c r="C169" s="9">
        <v>51911</v>
      </c>
      <c r="D169" s="38">
        <v>32870</v>
      </c>
      <c r="E169" s="38">
        <v>87435</v>
      </c>
      <c r="F169" s="9">
        <v>4385</v>
      </c>
      <c r="G169" s="38">
        <v>2864</v>
      </c>
      <c r="H169" s="25"/>
      <c r="I169" s="37"/>
      <c r="J169" s="9">
        <f t="shared" si="54"/>
        <v>54565</v>
      </c>
      <c r="K169" s="38">
        <f t="shared" si="55"/>
        <v>1723.2</v>
      </c>
      <c r="L169" s="38">
        <v>788</v>
      </c>
      <c r="M169" s="38">
        <f t="shared" si="71"/>
        <v>142.8</v>
      </c>
      <c r="N169" s="78">
        <f t="shared" si="67"/>
        <v>615135</v>
      </c>
      <c r="O169" s="79">
        <f t="shared" si="68"/>
        <v>421061</v>
      </c>
      <c r="P169" s="79">
        <f t="shared" si="69"/>
        <v>1068232</v>
      </c>
      <c r="Q169" s="80">
        <f t="shared" si="70"/>
        <v>8528638</v>
      </c>
      <c r="R169" s="80">
        <f t="shared" si="70"/>
        <v>4065436</v>
      </c>
      <c r="S169" s="80">
        <f t="shared" si="70"/>
        <v>13036644</v>
      </c>
      <c r="T169" s="84">
        <f>N169/'2015'!M169-1</f>
        <v>-0.0534578904283278</v>
      </c>
      <c r="U169" s="84">
        <f>O169/'2015'!N169-1</f>
        <v>0.0737626741742661</v>
      </c>
      <c r="V169" s="84">
        <f>P169/'2015'!O169-1</f>
        <v>-0.0088819406107784</v>
      </c>
      <c r="W169" s="85">
        <f>Q169/'2015'!P169-1</f>
        <v>-0.0391332386358515</v>
      </c>
      <c r="X169" s="85">
        <f>R169/'2015'!Q169-1</f>
        <v>0.0678583370566466</v>
      </c>
      <c r="Y169" s="85">
        <f>S169/'2015'!R169-1</f>
        <v>0.00789834429408587</v>
      </c>
      <c r="Z169" s="54">
        <f>Z$166+0.368*3</f>
        <v>76.8797</v>
      </c>
      <c r="AA169" s="101">
        <f t="shared" si="56"/>
        <v>775.9841</v>
      </c>
      <c r="AB169" s="109"/>
      <c r="AC169" s="109"/>
      <c r="AD169" s="9">
        <f t="shared" si="57"/>
        <v>8971208</v>
      </c>
      <c r="AE169" s="38">
        <f t="shared" si="62"/>
        <v>295513.6</v>
      </c>
      <c r="AF169" s="38">
        <f t="shared" si="62"/>
        <v>126374</v>
      </c>
      <c r="AG169" s="38">
        <f t="shared" si="58"/>
        <v>20682.4</v>
      </c>
    </row>
    <row r="170" ht="15" customHeight="1" spans="1:33">
      <c r="A170" s="106">
        <v>42535</v>
      </c>
      <c r="B170" s="21" t="s">
        <v>34</v>
      </c>
      <c r="C170" s="9">
        <v>55584</v>
      </c>
      <c r="D170" s="38">
        <v>33464</v>
      </c>
      <c r="E170" s="38">
        <v>91816</v>
      </c>
      <c r="F170" s="9">
        <v>4617</v>
      </c>
      <c r="G170" s="38">
        <v>2966</v>
      </c>
      <c r="H170" s="25"/>
      <c r="I170" s="37"/>
      <c r="J170" s="9">
        <f t="shared" si="54"/>
        <v>58352</v>
      </c>
      <c r="K170" s="38">
        <f t="shared" si="55"/>
        <v>1838.2</v>
      </c>
      <c r="L170" s="38">
        <v>787</v>
      </c>
      <c r="M170" s="38">
        <f t="shared" si="71"/>
        <v>142.8</v>
      </c>
      <c r="N170" s="78">
        <f t="shared" si="67"/>
        <v>670719</v>
      </c>
      <c r="O170" s="79">
        <f t="shared" si="68"/>
        <v>454525</v>
      </c>
      <c r="P170" s="79">
        <f t="shared" si="69"/>
        <v>1160048</v>
      </c>
      <c r="Q170" s="80">
        <f t="shared" si="70"/>
        <v>8584222</v>
      </c>
      <c r="R170" s="80">
        <f t="shared" si="70"/>
        <v>4098900</v>
      </c>
      <c r="S170" s="80">
        <f t="shared" si="70"/>
        <v>13128460</v>
      </c>
      <c r="T170" s="84">
        <f>N170/'2015'!M170-1</f>
        <v>-0.0314652950358768</v>
      </c>
      <c r="U170" s="84">
        <f>O170/'2015'!N170-1</f>
        <v>0.0712147779443235</v>
      </c>
      <c r="V170" s="84">
        <f>P170/'2015'!O170-1</f>
        <v>0.00353298199597907</v>
      </c>
      <c r="W170" s="85">
        <f>Q170/'2015'!P170-1</f>
        <v>-0.0374940419574021</v>
      </c>
      <c r="X170" s="85">
        <f>R170/'2015'!Q170-1</f>
        <v>0.0676262253321924</v>
      </c>
      <c r="Y170" s="85">
        <f>S170/'2015'!R170-1</f>
        <v>0.00890042160538962</v>
      </c>
      <c r="Z170" s="54">
        <f>Z$166+0.368*4</f>
        <v>77.2477</v>
      </c>
      <c r="AA170" s="101">
        <f t="shared" si="56"/>
        <v>781.1745</v>
      </c>
      <c r="AB170" s="109"/>
      <c r="AC170" s="109"/>
      <c r="AD170" s="9">
        <f t="shared" si="57"/>
        <v>9029560</v>
      </c>
      <c r="AE170" s="38">
        <f t="shared" si="62"/>
        <v>297351.8</v>
      </c>
      <c r="AF170" s="38">
        <f t="shared" si="62"/>
        <v>127161</v>
      </c>
      <c r="AG170" s="38">
        <f t="shared" si="58"/>
        <v>20825.2</v>
      </c>
    </row>
    <row r="171" ht="15" customHeight="1" spans="1:33">
      <c r="A171" s="106">
        <v>42536</v>
      </c>
      <c r="B171" s="15" t="s">
        <v>35</v>
      </c>
      <c r="C171" s="33">
        <v>55932</v>
      </c>
      <c r="D171" s="34">
        <v>33925</v>
      </c>
      <c r="E171" s="34">
        <v>92826</v>
      </c>
      <c r="F171" s="33">
        <v>4828</v>
      </c>
      <c r="G171" s="34">
        <v>3111</v>
      </c>
      <c r="H171" s="20"/>
      <c r="I171" s="20"/>
      <c r="J171" s="33">
        <f t="shared" si="54"/>
        <v>58901</v>
      </c>
      <c r="K171" s="34">
        <f t="shared" si="55"/>
        <v>2038.2</v>
      </c>
      <c r="L171" s="34">
        <v>788</v>
      </c>
      <c r="M171" s="34">
        <f t="shared" si="71"/>
        <v>142.8</v>
      </c>
      <c r="N171" s="81">
        <f t="shared" si="67"/>
        <v>726651</v>
      </c>
      <c r="O171" s="82">
        <f t="shared" si="68"/>
        <v>488450</v>
      </c>
      <c r="P171" s="82">
        <f t="shared" si="69"/>
        <v>1252874</v>
      </c>
      <c r="Q171" s="81">
        <f t="shared" si="70"/>
        <v>8640154</v>
      </c>
      <c r="R171" s="81">
        <f t="shared" si="70"/>
        <v>4132825</v>
      </c>
      <c r="S171" s="81">
        <f t="shared" si="70"/>
        <v>13221286</v>
      </c>
      <c r="T171" s="86">
        <f>N171/'2015'!M171-1</f>
        <v>-0.0243990526621054</v>
      </c>
      <c r="U171" s="86">
        <f>O171/'2015'!N171-1</f>
        <v>0.0765426330277859</v>
      </c>
      <c r="V171" s="86">
        <f>P171/'2015'!O171-1</f>
        <v>0.00941761300692479</v>
      </c>
      <c r="W171" s="86">
        <f>Q171/'2015'!P171-1</f>
        <v>-0.0368722001236884</v>
      </c>
      <c r="X171" s="86">
        <f>R171/'2015'!Q171-1</f>
        <v>0.0682783627895627</v>
      </c>
      <c r="Y171" s="86">
        <f>S171/'2015'!R171-1</f>
        <v>0.00942314024814572</v>
      </c>
      <c r="Z171" s="53">
        <f>Z$166+0.368*5</f>
        <v>77.6157</v>
      </c>
      <c r="AA171" s="53">
        <f t="shared" si="56"/>
        <v>786.3997</v>
      </c>
      <c r="AB171" s="34">
        <v>4230.1</v>
      </c>
      <c r="AC171" s="34">
        <f t="shared" si="64"/>
        <v>1859.0569962885</v>
      </c>
      <c r="AD171" s="33">
        <f t="shared" si="57"/>
        <v>9088461</v>
      </c>
      <c r="AE171" s="34">
        <f t="shared" si="62"/>
        <v>299390</v>
      </c>
      <c r="AF171" s="34">
        <f t="shared" si="62"/>
        <v>127949</v>
      </c>
      <c r="AG171" s="34">
        <f t="shared" si="58"/>
        <v>20967.9999999999</v>
      </c>
    </row>
    <row r="172" ht="15" customHeight="1" spans="1:33">
      <c r="A172" s="106">
        <v>42537</v>
      </c>
      <c r="B172" s="21" t="s">
        <v>36</v>
      </c>
      <c r="C172" s="9">
        <v>50057</v>
      </c>
      <c r="D172" s="38">
        <v>33966</v>
      </c>
      <c r="E172" s="38">
        <v>85701</v>
      </c>
      <c r="F172" s="9">
        <v>4382</v>
      </c>
      <c r="G172" s="38">
        <v>2900</v>
      </c>
      <c r="H172" s="25"/>
      <c r="I172" s="37"/>
      <c r="J172" s="9">
        <f t="shared" si="54"/>
        <v>51735</v>
      </c>
      <c r="K172" s="38">
        <f t="shared" si="55"/>
        <v>749.2</v>
      </c>
      <c r="L172" s="38">
        <v>786</v>
      </c>
      <c r="M172" s="38">
        <f t="shared" si="71"/>
        <v>142.8</v>
      </c>
      <c r="N172" s="78">
        <f t="shared" si="67"/>
        <v>776708</v>
      </c>
      <c r="O172" s="79">
        <f t="shared" si="68"/>
        <v>522416</v>
      </c>
      <c r="P172" s="79">
        <f t="shared" si="69"/>
        <v>1338575</v>
      </c>
      <c r="Q172" s="80">
        <f t="shared" si="70"/>
        <v>8690211</v>
      </c>
      <c r="R172" s="80">
        <f t="shared" si="70"/>
        <v>4166791</v>
      </c>
      <c r="S172" s="80">
        <f t="shared" si="70"/>
        <v>13306987</v>
      </c>
      <c r="T172" s="84">
        <f>N172/'2015'!M172-1</f>
        <v>-0.0308098712376731</v>
      </c>
      <c r="U172" s="84">
        <f>O172/'2015'!N172-1</f>
        <v>0.0820703697029577</v>
      </c>
      <c r="V172" s="84">
        <f>P172/'2015'!O172-1</f>
        <v>0.00646098969760489</v>
      </c>
      <c r="W172" s="85">
        <f>Q172/'2015'!P172-1</f>
        <v>-0.0373631391257853</v>
      </c>
      <c r="X172" s="85">
        <f>R172/'2015'!Q172-1</f>
        <v>0.0690246937335643</v>
      </c>
      <c r="Y172" s="85">
        <f>S172/'2015'!R172-1</f>
        <v>0.0091249035009624</v>
      </c>
      <c r="Z172" s="54">
        <f>Z$166+0.368*6</f>
        <v>77.9837</v>
      </c>
      <c r="AA172" s="101">
        <f t="shared" si="56"/>
        <v>791.0374</v>
      </c>
      <c r="AB172" s="109">
        <v>4230.1</v>
      </c>
      <c r="AC172" s="109">
        <f t="shared" si="64"/>
        <v>1870.02056688967</v>
      </c>
      <c r="AD172" s="9">
        <f t="shared" si="57"/>
        <v>9140196</v>
      </c>
      <c r="AE172" s="38">
        <f t="shared" si="62"/>
        <v>300139.2</v>
      </c>
      <c r="AF172" s="38">
        <f t="shared" si="62"/>
        <v>128735</v>
      </c>
      <c r="AG172" s="38">
        <f t="shared" si="58"/>
        <v>21110.7999999999</v>
      </c>
    </row>
    <row r="173" ht="15" customHeight="1" spans="1:33">
      <c r="A173" s="106">
        <v>42538</v>
      </c>
      <c r="B173" s="21" t="s">
        <v>37</v>
      </c>
      <c r="C173" s="74">
        <v>50377</v>
      </c>
      <c r="D173" s="75">
        <v>34471</v>
      </c>
      <c r="E173" s="75">
        <v>86850</v>
      </c>
      <c r="F173" s="74">
        <v>4389</v>
      </c>
      <c r="G173" s="75">
        <v>2835</v>
      </c>
      <c r="H173" s="25"/>
      <c r="I173" s="25"/>
      <c r="J173" s="74">
        <f t="shared" si="54"/>
        <v>52379</v>
      </c>
      <c r="K173" s="75">
        <f t="shared" si="55"/>
        <v>1072.2</v>
      </c>
      <c r="L173" s="75">
        <v>787</v>
      </c>
      <c r="M173" s="75">
        <f t="shared" si="71"/>
        <v>142.8</v>
      </c>
      <c r="N173" s="78">
        <f t="shared" si="67"/>
        <v>827085</v>
      </c>
      <c r="O173" s="79">
        <f t="shared" si="68"/>
        <v>556887</v>
      </c>
      <c r="P173" s="79">
        <f t="shared" si="69"/>
        <v>1425425</v>
      </c>
      <c r="Q173" s="80">
        <f t="shared" si="70"/>
        <v>8740588</v>
      </c>
      <c r="R173" s="80">
        <f t="shared" si="70"/>
        <v>4201262</v>
      </c>
      <c r="S173" s="80">
        <f t="shared" si="70"/>
        <v>13393837</v>
      </c>
      <c r="T173" s="84">
        <f>N173/'2015'!M173-1</f>
        <v>-0.0356358319497043</v>
      </c>
      <c r="U173" s="84">
        <f>O173/'2015'!N173-1</f>
        <v>0.0816175113864799</v>
      </c>
      <c r="V173" s="84">
        <f>P173/'2015'!O173-1</f>
        <v>0.00285993696178299</v>
      </c>
      <c r="W173" s="85">
        <f>Q173/'2015'!P173-1</f>
        <v>-0.0377782054031394</v>
      </c>
      <c r="X173" s="85">
        <f>R173/'2015'!Q173-1</f>
        <v>0.0690718307343183</v>
      </c>
      <c r="Y173" s="85">
        <f>S173/'2015'!R173-1</f>
        <v>0.00872109267950583</v>
      </c>
      <c r="Z173" s="101">
        <f>Z$166+0.368*7</f>
        <v>78.3517</v>
      </c>
      <c r="AA173" s="101">
        <f t="shared" si="56"/>
        <v>795.7071</v>
      </c>
      <c r="AB173" s="110"/>
      <c r="AC173" s="109"/>
      <c r="AD173" s="74">
        <f t="shared" si="57"/>
        <v>9192575</v>
      </c>
      <c r="AE173" s="75">
        <f t="shared" si="62"/>
        <v>301211.4</v>
      </c>
      <c r="AF173" s="75">
        <f t="shared" si="62"/>
        <v>129522</v>
      </c>
      <c r="AG173" s="75">
        <f t="shared" si="58"/>
        <v>21253.5999999999</v>
      </c>
    </row>
    <row r="174" ht="15" customHeight="1" spans="1:33">
      <c r="A174" s="106">
        <v>42539</v>
      </c>
      <c r="B174" s="21" t="s">
        <v>38</v>
      </c>
      <c r="C174" s="9">
        <v>56093</v>
      </c>
      <c r="D174" s="38">
        <v>28404</v>
      </c>
      <c r="E174" s="38">
        <v>86540</v>
      </c>
      <c r="F174" s="9">
        <v>4364</v>
      </c>
      <c r="G174" s="38">
        <v>2911</v>
      </c>
      <c r="H174" s="25"/>
      <c r="I174" s="37"/>
      <c r="J174" s="9">
        <f t="shared" si="54"/>
        <v>58136</v>
      </c>
      <c r="K174" s="38">
        <f t="shared" si="55"/>
        <v>1115.2</v>
      </c>
      <c r="L174" s="38">
        <v>785</v>
      </c>
      <c r="M174" s="38">
        <f t="shared" si="71"/>
        <v>142.8</v>
      </c>
      <c r="N174" s="78">
        <f t="shared" si="67"/>
        <v>883178</v>
      </c>
      <c r="O174" s="79">
        <f t="shared" si="68"/>
        <v>585291</v>
      </c>
      <c r="P174" s="79">
        <f t="shared" si="69"/>
        <v>1511965</v>
      </c>
      <c r="Q174" s="80">
        <f t="shared" si="70"/>
        <v>8796681</v>
      </c>
      <c r="R174" s="80">
        <f t="shared" si="70"/>
        <v>4229666</v>
      </c>
      <c r="S174" s="80">
        <f t="shared" si="70"/>
        <v>13480377</v>
      </c>
      <c r="T174" s="84">
        <f>N174/'2015'!M174-1</f>
        <v>-0.0272812980479058</v>
      </c>
      <c r="U174" s="84">
        <f>O174/'2015'!N174-1</f>
        <v>0.0706164050295783</v>
      </c>
      <c r="V174" s="84">
        <f>P174/'2015'!O174-1</f>
        <v>0.00355034063092385</v>
      </c>
      <c r="W174" s="85">
        <f>Q174/'2015'!P174-1</f>
        <v>-0.036935946090105</v>
      </c>
      <c r="X174" s="85">
        <f>R174/'2015'!Q174-1</f>
        <v>0.0676545059713862</v>
      </c>
      <c r="Y174" s="85">
        <f>S174/'2015'!R174-1</f>
        <v>0.0087615373874137</v>
      </c>
      <c r="Z174" s="54">
        <f>Z$166+0.368*8</f>
        <v>78.7197</v>
      </c>
      <c r="AA174" s="101">
        <f t="shared" si="56"/>
        <v>800.9484</v>
      </c>
      <c r="AB174" s="109"/>
      <c r="AC174" s="109"/>
      <c r="AD174" s="9">
        <f t="shared" si="57"/>
        <v>9250711</v>
      </c>
      <c r="AE174" s="38">
        <f t="shared" si="62"/>
        <v>302326.6</v>
      </c>
      <c r="AF174" s="38">
        <f t="shared" si="62"/>
        <v>130307</v>
      </c>
      <c r="AG174" s="38">
        <f t="shared" si="58"/>
        <v>21396.3999999999</v>
      </c>
    </row>
    <row r="175" ht="15" customHeight="1" spans="1:33">
      <c r="A175" s="106">
        <v>42540</v>
      </c>
      <c r="B175" s="21" t="s">
        <v>1</v>
      </c>
      <c r="C175" s="9">
        <v>52737</v>
      </c>
      <c r="D175" s="38">
        <v>28282</v>
      </c>
      <c r="E175" s="38">
        <v>83320</v>
      </c>
      <c r="F175" s="9">
        <v>4080</v>
      </c>
      <c r="G175" s="38">
        <v>2897</v>
      </c>
      <c r="H175" s="25"/>
      <c r="I175" s="37"/>
      <c r="J175" s="9">
        <f t="shared" si="54"/>
        <v>55038</v>
      </c>
      <c r="K175" s="38">
        <f t="shared" si="55"/>
        <v>1373.2</v>
      </c>
      <c r="L175" s="38">
        <v>785</v>
      </c>
      <c r="M175" s="38">
        <f t="shared" si="71"/>
        <v>142.8</v>
      </c>
      <c r="N175" s="78">
        <f t="shared" si="67"/>
        <v>935915</v>
      </c>
      <c r="O175" s="79">
        <f t="shared" si="68"/>
        <v>613573</v>
      </c>
      <c r="P175" s="79">
        <f t="shared" si="69"/>
        <v>1595285</v>
      </c>
      <c r="Q175" s="80">
        <f t="shared" si="70"/>
        <v>8849418</v>
      </c>
      <c r="R175" s="80">
        <f t="shared" si="70"/>
        <v>4257948</v>
      </c>
      <c r="S175" s="80">
        <f t="shared" si="70"/>
        <v>13563697</v>
      </c>
      <c r="T175" s="84">
        <f>N175/'2015'!M175-1</f>
        <v>-0.0194246978642262</v>
      </c>
      <c r="U175" s="84">
        <f>O175/'2015'!N175-1</f>
        <v>0.0604680022191995</v>
      </c>
      <c r="V175" s="84">
        <f>P175/'2015'!O175-1</f>
        <v>0.00414869068555679</v>
      </c>
      <c r="W175" s="85">
        <f>Q175/'2015'!P175-1</f>
        <v>-0.0360702279370012</v>
      </c>
      <c r="X175" s="85">
        <f>R175/'2015'!Q175-1</f>
        <v>0.0662078594852091</v>
      </c>
      <c r="Y175" s="85">
        <f>S175/'2015'!R175-1</f>
        <v>0.0088004259011949</v>
      </c>
      <c r="Z175" s="54">
        <f>Z$166+0.368*9</f>
        <v>79.0877</v>
      </c>
      <c r="AA175" s="101">
        <f t="shared" si="56"/>
        <v>805.8541</v>
      </c>
      <c r="AB175" s="109"/>
      <c r="AC175" s="109"/>
      <c r="AD175" s="9">
        <f t="shared" si="57"/>
        <v>9305749</v>
      </c>
      <c r="AE175" s="38">
        <f t="shared" si="62"/>
        <v>303699.8</v>
      </c>
      <c r="AF175" s="38">
        <f t="shared" si="62"/>
        <v>131092</v>
      </c>
      <c r="AG175" s="38">
        <f t="shared" si="58"/>
        <v>21539.1999999999</v>
      </c>
    </row>
    <row r="176" ht="15" customHeight="1" spans="1:33">
      <c r="A176" s="106">
        <v>42541</v>
      </c>
      <c r="B176" s="21" t="s">
        <v>39</v>
      </c>
      <c r="C176" s="9">
        <v>53666</v>
      </c>
      <c r="D176" s="38">
        <v>30617</v>
      </c>
      <c r="E176" s="38">
        <v>91284</v>
      </c>
      <c r="F176" s="9">
        <v>4743</v>
      </c>
      <c r="G176" s="38">
        <v>2813</v>
      </c>
      <c r="H176" s="25"/>
      <c r="I176" s="37"/>
      <c r="J176" s="9">
        <f t="shared" si="54"/>
        <v>60667</v>
      </c>
      <c r="K176" s="38">
        <f t="shared" si="55"/>
        <v>6072.2</v>
      </c>
      <c r="L176" s="38">
        <v>786</v>
      </c>
      <c r="M176" s="38">
        <f t="shared" si="71"/>
        <v>142.8</v>
      </c>
      <c r="N176" s="78">
        <v>989581</v>
      </c>
      <c r="O176" s="79">
        <v>643197</v>
      </c>
      <c r="P176" s="79">
        <v>1680575</v>
      </c>
      <c r="Q176" s="80">
        <f t="shared" si="70"/>
        <v>8903084</v>
      </c>
      <c r="R176" s="80">
        <f t="shared" si="70"/>
        <v>4287572</v>
      </c>
      <c r="S176" s="80">
        <f t="shared" si="70"/>
        <v>13648987</v>
      </c>
      <c r="T176" s="84">
        <f>N176/'2015'!M176-1</f>
        <v>0.00129413883610474</v>
      </c>
      <c r="U176" s="84">
        <f>O176/'2015'!N176-1</f>
        <v>0.0675079084249206</v>
      </c>
      <c r="V176" s="84">
        <f>P176/'2015'!O176-1</f>
        <v>0.0187031738719299</v>
      </c>
      <c r="W176" s="85">
        <f>Q176/'2015'!P176-1</f>
        <v>-0.0337868620996895</v>
      </c>
      <c r="X176" s="85">
        <f>R176/'2015'!Q176-1</f>
        <v>0.0672294740059625</v>
      </c>
      <c r="Y176" s="85">
        <f>S176/'2015'!R176-1</f>
        <v>0.0105571448435031</v>
      </c>
      <c r="Z176" s="54">
        <v>79.4624</v>
      </c>
      <c r="AA176" s="101">
        <f t="shared" si="56"/>
        <v>810.846</v>
      </c>
      <c r="AB176" s="109">
        <v>4230.1</v>
      </c>
      <c r="AC176" s="109">
        <f t="shared" si="64"/>
        <v>1916.84830145859</v>
      </c>
      <c r="AD176" s="9">
        <f t="shared" si="57"/>
        <v>9361415</v>
      </c>
      <c r="AE176" s="38">
        <v>304771</v>
      </c>
      <c r="AF176" s="38">
        <f t="shared" si="62"/>
        <v>131878</v>
      </c>
      <c r="AG176" s="38">
        <f t="shared" si="58"/>
        <v>21682</v>
      </c>
    </row>
    <row r="177" ht="15" customHeight="1" spans="1:33">
      <c r="A177" s="106">
        <v>42542</v>
      </c>
      <c r="B177" s="21" t="s">
        <v>34</v>
      </c>
      <c r="C177" s="9">
        <v>65591</v>
      </c>
      <c r="D177" s="38">
        <v>29715</v>
      </c>
      <c r="E177" s="38">
        <v>99132</v>
      </c>
      <c r="F177" s="9">
        <v>4900</v>
      </c>
      <c r="G177" s="38">
        <v>3092</v>
      </c>
      <c r="H177" s="25"/>
      <c r="I177" s="37"/>
      <c r="J177" s="9">
        <f t="shared" si="54"/>
        <v>69417</v>
      </c>
      <c r="K177" s="38">
        <f t="shared" si="55"/>
        <v>2877.7</v>
      </c>
      <c r="L177" s="38">
        <v>780</v>
      </c>
      <c r="M177" s="38">
        <f>(AG$186-AG$176)/10</f>
        <v>168.3</v>
      </c>
      <c r="N177" s="78">
        <f t="shared" ref="N177:N186" si="72">N176+C177</f>
        <v>1055172</v>
      </c>
      <c r="O177" s="79">
        <f t="shared" ref="O177:O185" si="73">O176+D177</f>
        <v>672912</v>
      </c>
      <c r="P177" s="79">
        <f t="shared" ref="P177:P185" si="74">P176+E177</f>
        <v>1779707</v>
      </c>
      <c r="Q177" s="80">
        <f t="shared" si="70"/>
        <v>8968675</v>
      </c>
      <c r="R177" s="80">
        <f t="shared" si="70"/>
        <v>4317287</v>
      </c>
      <c r="S177" s="80">
        <f t="shared" si="70"/>
        <v>13748119</v>
      </c>
      <c r="T177" s="84">
        <f>N177/'2015'!M177-1</f>
        <v>0.0268724228973714</v>
      </c>
      <c r="U177" s="84">
        <f>O177/'2015'!N177-1</f>
        <v>0.071710469734952</v>
      </c>
      <c r="V177" s="84">
        <f>P177/'2015'!O177-1</f>
        <v>0.0367875499764354</v>
      </c>
      <c r="W177" s="85">
        <f>Q177/'2015'!P177-1</f>
        <v>-0.0307977367242629</v>
      </c>
      <c r="X177" s="85">
        <f>R177/'2015'!Q177-1</f>
        <v>0.0678839123854178</v>
      </c>
      <c r="Y177" s="85">
        <f>S177/'2015'!R177-1</f>
        <v>0.0128843252350195</v>
      </c>
      <c r="Z177" s="54">
        <f>Z$176+0.505*1</f>
        <v>79.9674</v>
      </c>
      <c r="AA177" s="101">
        <f t="shared" si="56"/>
        <v>816.9001</v>
      </c>
      <c r="AB177" s="109"/>
      <c r="AC177" s="109"/>
      <c r="AD177" s="9">
        <f t="shared" si="57"/>
        <v>9430832</v>
      </c>
      <c r="AE177" s="38">
        <f t="shared" si="62"/>
        <v>307648.7</v>
      </c>
      <c r="AF177" s="38">
        <f t="shared" si="62"/>
        <v>132658</v>
      </c>
      <c r="AG177" s="38">
        <f t="shared" si="58"/>
        <v>21850.3</v>
      </c>
    </row>
    <row r="178" ht="15" customHeight="1" spans="1:33">
      <c r="A178" s="106">
        <v>42543</v>
      </c>
      <c r="B178" s="15" t="s">
        <v>35</v>
      </c>
      <c r="C178" s="33">
        <v>68383</v>
      </c>
      <c r="D178" s="34">
        <v>33196</v>
      </c>
      <c r="E178" s="34">
        <v>104915</v>
      </c>
      <c r="F178" s="33">
        <v>5271</v>
      </c>
      <c r="G178" s="34">
        <v>3411</v>
      </c>
      <c r="H178" s="20"/>
      <c r="I178" s="20"/>
      <c r="J178" s="33">
        <f t="shared" si="54"/>
        <v>71719</v>
      </c>
      <c r="K178" s="34">
        <f t="shared" si="55"/>
        <v>2389.7</v>
      </c>
      <c r="L178" s="34">
        <v>778</v>
      </c>
      <c r="M178" s="34">
        <f t="shared" ref="M178:M186" si="75">(AG$186-AG$176)/10</f>
        <v>168.3</v>
      </c>
      <c r="N178" s="81">
        <f t="shared" si="72"/>
        <v>1123555</v>
      </c>
      <c r="O178" s="82">
        <f t="shared" si="73"/>
        <v>706108</v>
      </c>
      <c r="P178" s="82">
        <f t="shared" si="74"/>
        <v>1884622</v>
      </c>
      <c r="Q178" s="81">
        <f t="shared" si="70"/>
        <v>9037058</v>
      </c>
      <c r="R178" s="81">
        <f t="shared" si="70"/>
        <v>4350483</v>
      </c>
      <c r="S178" s="81">
        <f t="shared" si="70"/>
        <v>13853034</v>
      </c>
      <c r="T178" s="86">
        <f>N178/'2015'!M178-1</f>
        <v>0.0446436623869519</v>
      </c>
      <c r="U178" s="86">
        <f>O178/'2015'!N178-1</f>
        <v>0.0769193227122016</v>
      </c>
      <c r="V178" s="86">
        <f>P178/'2015'!O178-1</f>
        <v>0.0503207325296908</v>
      </c>
      <c r="W178" s="86">
        <f>Q178/'2015'!P178-1</f>
        <v>-0.0284453925202709</v>
      </c>
      <c r="X178" s="86">
        <f>R178/'2015'!Q178-1</f>
        <v>0.0687490465237452</v>
      </c>
      <c r="Y178" s="86">
        <f>S178/'2015'!R178-1</f>
        <v>0.0147993466856073</v>
      </c>
      <c r="Z178" s="53">
        <f>Z$176+0.505*2</f>
        <v>80.4724</v>
      </c>
      <c r="AA178" s="53">
        <f t="shared" si="56"/>
        <v>823.2334</v>
      </c>
      <c r="AB178" s="34">
        <v>4230.1</v>
      </c>
      <c r="AC178" s="34">
        <f t="shared" si="64"/>
        <v>1946.13224273658</v>
      </c>
      <c r="AD178" s="33">
        <f t="shared" si="57"/>
        <v>9502551</v>
      </c>
      <c r="AE178" s="34">
        <f t="shared" si="62"/>
        <v>310038.4</v>
      </c>
      <c r="AF178" s="34">
        <f t="shared" si="62"/>
        <v>133436</v>
      </c>
      <c r="AG178" s="34">
        <f t="shared" si="58"/>
        <v>22018.6</v>
      </c>
    </row>
    <row r="179" ht="15" customHeight="1" spans="1:33">
      <c r="A179" s="106">
        <v>42544</v>
      </c>
      <c r="B179" s="21" t="s">
        <v>36</v>
      </c>
      <c r="C179" s="9">
        <v>71944</v>
      </c>
      <c r="D179" s="38">
        <v>35205</v>
      </c>
      <c r="E179" s="38">
        <v>110153</v>
      </c>
      <c r="F179" s="9">
        <v>5366</v>
      </c>
      <c r="G179" s="38">
        <v>3550</v>
      </c>
      <c r="H179" s="25"/>
      <c r="I179" s="37"/>
      <c r="J179" s="9">
        <f t="shared" si="54"/>
        <v>74948</v>
      </c>
      <c r="K179" s="38">
        <f t="shared" si="55"/>
        <v>2062.7</v>
      </c>
      <c r="L179" s="38">
        <v>773</v>
      </c>
      <c r="M179" s="38">
        <f t="shared" si="75"/>
        <v>168.3</v>
      </c>
      <c r="N179" s="78">
        <f t="shared" si="72"/>
        <v>1195499</v>
      </c>
      <c r="O179" s="79">
        <f t="shared" si="73"/>
        <v>741313</v>
      </c>
      <c r="P179" s="79">
        <f t="shared" si="74"/>
        <v>1994775</v>
      </c>
      <c r="Q179" s="80">
        <f t="shared" si="70"/>
        <v>9109002</v>
      </c>
      <c r="R179" s="80">
        <f t="shared" si="70"/>
        <v>4385688</v>
      </c>
      <c r="S179" s="80">
        <f t="shared" si="70"/>
        <v>13963187</v>
      </c>
      <c r="T179" s="84">
        <f>N179/'2015'!M179-1</f>
        <v>0.0589514467476744</v>
      </c>
      <c r="U179" s="84">
        <f>O179/'2015'!N179-1</f>
        <v>0.0788430836936449</v>
      </c>
      <c r="V179" s="84">
        <f>P179/'2015'!O179-1</f>
        <v>0.0599308390179309</v>
      </c>
      <c r="W179" s="85">
        <f>Q179/'2015'!P179-1</f>
        <v>-0.0263015050474321</v>
      </c>
      <c r="X179" s="85">
        <f>R179/'2015'!Q179-1</f>
        <v>0.0691339593875713</v>
      </c>
      <c r="Y179" s="85">
        <f>S179/'2015'!R179-1</f>
        <v>0.0163424187388235</v>
      </c>
      <c r="Z179" s="54">
        <f>Z$176+0.505*3</f>
        <v>80.9774</v>
      </c>
      <c r="AA179" s="101">
        <f t="shared" si="56"/>
        <v>829.9228</v>
      </c>
      <c r="AB179" s="109">
        <v>4230.1</v>
      </c>
      <c r="AC179" s="109">
        <f t="shared" si="64"/>
        <v>1961.94605328479</v>
      </c>
      <c r="AD179" s="9">
        <f t="shared" si="57"/>
        <v>9577499</v>
      </c>
      <c r="AE179" s="38">
        <f t="shared" si="62"/>
        <v>312101.1</v>
      </c>
      <c r="AF179" s="38">
        <f t="shared" si="62"/>
        <v>134209</v>
      </c>
      <c r="AG179" s="38">
        <f t="shared" si="58"/>
        <v>22186.9</v>
      </c>
    </row>
    <row r="180" ht="15" customHeight="1" spans="1:33">
      <c r="A180" s="106">
        <v>42545</v>
      </c>
      <c r="B180" s="21" t="s">
        <v>37</v>
      </c>
      <c r="C180" s="74">
        <v>71330</v>
      </c>
      <c r="D180" s="75">
        <f>24072+11989</f>
        <v>36061</v>
      </c>
      <c r="E180" s="75">
        <v>110680</v>
      </c>
      <c r="F180" s="74">
        <v>5480</v>
      </c>
      <c r="G180" s="75">
        <v>3723</v>
      </c>
      <c r="H180" s="25"/>
      <c r="I180" s="25"/>
      <c r="J180" s="74">
        <f t="shared" si="54"/>
        <v>74619</v>
      </c>
      <c r="K180" s="75">
        <f t="shared" si="55"/>
        <v>2341.7</v>
      </c>
      <c r="L180" s="75">
        <v>779</v>
      </c>
      <c r="M180" s="75">
        <f t="shared" si="75"/>
        <v>168.3</v>
      </c>
      <c r="N180" s="78">
        <f t="shared" si="72"/>
        <v>1266829</v>
      </c>
      <c r="O180" s="79">
        <f t="shared" si="73"/>
        <v>777374</v>
      </c>
      <c r="P180" s="79">
        <f t="shared" si="74"/>
        <v>2105455</v>
      </c>
      <c r="Q180" s="80">
        <f t="shared" si="70"/>
        <v>9180332</v>
      </c>
      <c r="R180" s="80">
        <f t="shared" si="70"/>
        <v>4421749</v>
      </c>
      <c r="S180" s="80">
        <f t="shared" si="70"/>
        <v>14073867</v>
      </c>
      <c r="T180" s="84">
        <f>N180/'2015'!M180-1</f>
        <v>0.0670873259747435</v>
      </c>
      <c r="U180" s="84">
        <f>O180/'2015'!N180-1</f>
        <v>0.0802412350791379</v>
      </c>
      <c r="V180" s="84">
        <f>P180/'2015'!O180-1</f>
        <v>0.0657509769381845</v>
      </c>
      <c r="W180" s="85">
        <f>Q180/'2015'!P180-1</f>
        <v>-0.024747984020893</v>
      </c>
      <c r="X180" s="85">
        <f>R180/'2015'!Q180-1</f>
        <v>0.0694536116908413</v>
      </c>
      <c r="Y180" s="85">
        <f>S180/'2015'!R180-1</f>
        <v>0.0174685397981151</v>
      </c>
      <c r="Z180" s="101">
        <f>Z$176+0.505*4</f>
        <v>81.4824</v>
      </c>
      <c r="AA180" s="101">
        <f t="shared" si="56"/>
        <v>836.5508</v>
      </c>
      <c r="AB180" s="110"/>
      <c r="AC180" s="109"/>
      <c r="AD180" s="74">
        <f t="shared" si="57"/>
        <v>9652118</v>
      </c>
      <c r="AE180" s="75">
        <f t="shared" si="62"/>
        <v>314442.8</v>
      </c>
      <c r="AF180" s="75">
        <f t="shared" si="62"/>
        <v>134988</v>
      </c>
      <c r="AG180" s="75">
        <f t="shared" si="58"/>
        <v>22355.2</v>
      </c>
    </row>
    <row r="181" ht="15" customHeight="1" spans="1:33">
      <c r="A181" s="106">
        <v>42546</v>
      </c>
      <c r="B181" s="21" t="s">
        <v>38</v>
      </c>
      <c r="C181" s="9">
        <v>58395</v>
      </c>
      <c r="D181" s="38">
        <f>23098+8808</f>
        <v>31906</v>
      </c>
      <c r="E181" s="38">
        <v>92624</v>
      </c>
      <c r="F181" s="9">
        <v>4555</v>
      </c>
      <c r="G181" s="38">
        <v>3220</v>
      </c>
      <c r="H181" s="25"/>
      <c r="I181" s="37"/>
      <c r="J181" s="9">
        <f t="shared" si="54"/>
        <v>60718</v>
      </c>
      <c r="K181" s="38">
        <f t="shared" si="55"/>
        <v>1376.7</v>
      </c>
      <c r="L181" s="38">
        <v>778</v>
      </c>
      <c r="M181" s="38">
        <f t="shared" si="75"/>
        <v>168.3</v>
      </c>
      <c r="N181" s="78">
        <f t="shared" si="72"/>
        <v>1325224</v>
      </c>
      <c r="O181" s="79">
        <f t="shared" si="73"/>
        <v>809280</v>
      </c>
      <c r="P181" s="79">
        <f t="shared" si="74"/>
        <v>2198079</v>
      </c>
      <c r="Q181" s="80">
        <f t="shared" si="70"/>
        <v>9238727</v>
      </c>
      <c r="R181" s="80">
        <f t="shared" si="70"/>
        <v>4453655</v>
      </c>
      <c r="S181" s="80">
        <f t="shared" si="70"/>
        <v>14166491</v>
      </c>
      <c r="T181" s="84">
        <f>N181/'2015'!M181-1</f>
        <v>0.0590168231349271</v>
      </c>
      <c r="U181" s="84">
        <f>O181/'2015'!N181-1</f>
        <v>0.0758340146363836</v>
      </c>
      <c r="V181" s="84">
        <f>P181/'2015'!O181-1</f>
        <v>0.0593687873362267</v>
      </c>
      <c r="W181" s="85">
        <f>Q181/'2015'!P181-1</f>
        <v>-0.0251916121163009</v>
      </c>
      <c r="X181" s="85">
        <f>R181/'2015'!Q181-1</f>
        <v>0.0687424529515319</v>
      </c>
      <c r="Y181" s="85">
        <f>S181/'2015'!R181-1</f>
        <v>0.0168622739155155</v>
      </c>
      <c r="Z181" s="54">
        <f>Z$176+0.505*5</f>
        <v>81.9874</v>
      </c>
      <c r="AA181" s="101">
        <f t="shared" si="56"/>
        <v>841.8853</v>
      </c>
      <c r="AB181" s="109"/>
      <c r="AC181" s="109"/>
      <c r="AD181" s="9">
        <f t="shared" si="57"/>
        <v>9712836</v>
      </c>
      <c r="AE181" s="38">
        <f t="shared" si="62"/>
        <v>315819.5</v>
      </c>
      <c r="AF181" s="38">
        <f t="shared" si="62"/>
        <v>135766</v>
      </c>
      <c r="AG181" s="38">
        <f t="shared" si="58"/>
        <v>22523.4999999999</v>
      </c>
    </row>
    <row r="182" ht="15" customHeight="1" spans="1:33">
      <c r="A182" s="106">
        <v>42547</v>
      </c>
      <c r="B182" s="21" t="s">
        <v>1</v>
      </c>
      <c r="C182" s="9">
        <v>46046</v>
      </c>
      <c r="D182" s="38">
        <f>24712+8455</f>
        <v>33167</v>
      </c>
      <c r="E182" s="38">
        <v>80859</v>
      </c>
      <c r="F182" s="9">
        <v>3960</v>
      </c>
      <c r="G182" s="38">
        <v>2970</v>
      </c>
      <c r="H182" s="25"/>
      <c r="I182" s="37"/>
      <c r="J182" s="9">
        <f t="shared" si="54"/>
        <v>47692</v>
      </c>
      <c r="K182" s="38">
        <f t="shared" si="55"/>
        <v>697.7</v>
      </c>
      <c r="L182" s="38">
        <v>780</v>
      </c>
      <c r="M182" s="38">
        <f t="shared" si="75"/>
        <v>168.3</v>
      </c>
      <c r="N182" s="78">
        <f t="shared" si="72"/>
        <v>1371270</v>
      </c>
      <c r="O182" s="79">
        <f t="shared" si="73"/>
        <v>842447</v>
      </c>
      <c r="P182" s="79">
        <f t="shared" si="74"/>
        <v>2278938</v>
      </c>
      <c r="Q182" s="80">
        <f t="shared" si="70"/>
        <v>9284773</v>
      </c>
      <c r="R182" s="80">
        <f t="shared" si="70"/>
        <v>4486822</v>
      </c>
      <c r="S182" s="80">
        <f t="shared" si="70"/>
        <v>14247350</v>
      </c>
      <c r="T182" s="84">
        <f>N182/'2015'!M182-1</f>
        <v>0.0430089942763696</v>
      </c>
      <c r="U182" s="84">
        <f>O182/'2015'!N182-1</f>
        <v>0.0709598437889321</v>
      </c>
      <c r="V182" s="84">
        <f>P182/'2015'!O182-1</f>
        <v>0.0476098537765317</v>
      </c>
      <c r="W182" s="85">
        <f>Q182/'2015'!P182-1</f>
        <v>-0.026838327429062</v>
      </c>
      <c r="X182" s="85">
        <f>R182/'2015'!Q182-1</f>
        <v>0.0678879518086626</v>
      </c>
      <c r="Y182" s="85">
        <f>S182/'2015'!R182-1</f>
        <v>0.0153436629737629</v>
      </c>
      <c r="Z182" s="54">
        <f>Z$176+0.505*6</f>
        <v>82.4924</v>
      </c>
      <c r="AA182" s="101">
        <f t="shared" si="56"/>
        <v>845.9849</v>
      </c>
      <c r="AB182" s="109"/>
      <c r="AC182" s="109"/>
      <c r="AD182" s="9">
        <f t="shared" si="57"/>
        <v>9760528</v>
      </c>
      <c r="AE182" s="38">
        <f t="shared" si="62"/>
        <v>316517.2</v>
      </c>
      <c r="AF182" s="38">
        <f t="shared" si="62"/>
        <v>136546</v>
      </c>
      <c r="AG182" s="38">
        <f t="shared" si="58"/>
        <v>22691.7999999999</v>
      </c>
    </row>
    <row r="183" ht="15" customHeight="1" spans="1:33">
      <c r="A183" s="106">
        <v>42548</v>
      </c>
      <c r="B183" s="21" t="s">
        <v>39</v>
      </c>
      <c r="C183" s="9">
        <v>52086</v>
      </c>
      <c r="D183" s="38">
        <v>34834</v>
      </c>
      <c r="E183" s="38">
        <v>88891</v>
      </c>
      <c r="F183" s="9">
        <v>4510</v>
      </c>
      <c r="G183" s="38">
        <v>2810</v>
      </c>
      <c r="H183" s="25"/>
      <c r="I183" s="37"/>
      <c r="J183" s="9">
        <f t="shared" si="54"/>
        <v>54057</v>
      </c>
      <c r="K183" s="38">
        <f t="shared" si="55"/>
        <v>1023.7</v>
      </c>
      <c r="L183" s="38">
        <v>779</v>
      </c>
      <c r="M183" s="38">
        <f t="shared" si="75"/>
        <v>168.3</v>
      </c>
      <c r="N183" s="78">
        <f t="shared" si="72"/>
        <v>1423356</v>
      </c>
      <c r="O183" s="79">
        <f t="shared" si="73"/>
        <v>877281</v>
      </c>
      <c r="P183" s="79">
        <f t="shared" si="74"/>
        <v>2367829</v>
      </c>
      <c r="Q183" s="80">
        <f t="shared" si="70"/>
        <v>9336859</v>
      </c>
      <c r="R183" s="80">
        <f t="shared" si="70"/>
        <v>4521656</v>
      </c>
      <c r="S183" s="80">
        <f t="shared" si="70"/>
        <v>14336241</v>
      </c>
      <c r="T183" s="84">
        <f>N183/'2015'!M183-1</f>
        <v>0.0336960168719742</v>
      </c>
      <c r="U183" s="84">
        <f>O183/'2015'!N183-1</f>
        <v>0.0674336261650403</v>
      </c>
      <c r="V183" s="84">
        <f>P183/'2015'!O183-1</f>
        <v>0.0412552429316617</v>
      </c>
      <c r="W183" s="85">
        <f>Q183/'2015'!P183-1</f>
        <v>-0.0277210424254087</v>
      </c>
      <c r="X183" s="85">
        <f>R183/'2015'!Q183-1</f>
        <v>0.0672294791113235</v>
      </c>
      <c r="Y183" s="85">
        <f>S183/'2015'!R183-1</f>
        <v>0.014546279828334</v>
      </c>
      <c r="Z183" s="54">
        <f>Z$176+0.505*7</f>
        <v>82.9974</v>
      </c>
      <c r="AA183" s="101">
        <f t="shared" si="56"/>
        <v>850.6885</v>
      </c>
      <c r="AB183" s="109"/>
      <c r="AC183" s="109"/>
      <c r="AD183" s="9">
        <f t="shared" si="57"/>
        <v>9814585</v>
      </c>
      <c r="AE183" s="38">
        <f t="shared" si="62"/>
        <v>317540.9</v>
      </c>
      <c r="AF183" s="38">
        <f t="shared" si="62"/>
        <v>137325</v>
      </c>
      <c r="AG183" s="38">
        <f t="shared" si="58"/>
        <v>22860.0999999999</v>
      </c>
    </row>
    <row r="184" ht="15" customHeight="1" spans="1:33">
      <c r="A184" s="106">
        <v>42549</v>
      </c>
      <c r="B184" s="21" t="s">
        <v>34</v>
      </c>
      <c r="C184" s="9">
        <v>56264</v>
      </c>
      <c r="D184" s="38">
        <v>35854</v>
      </c>
      <c r="E184" s="38">
        <v>93776</v>
      </c>
      <c r="F184" s="9">
        <v>4740</v>
      </c>
      <c r="G184" s="38">
        <v>3052</v>
      </c>
      <c r="H184" s="25"/>
      <c r="I184" s="37"/>
      <c r="J184" s="9">
        <f t="shared" si="54"/>
        <v>57922</v>
      </c>
      <c r="K184" s="38">
        <f t="shared" si="55"/>
        <v>709.7</v>
      </c>
      <c r="L184" s="38">
        <v>780</v>
      </c>
      <c r="M184" s="38">
        <f t="shared" si="75"/>
        <v>168.3</v>
      </c>
      <c r="N184" s="78">
        <f t="shared" si="72"/>
        <v>1479620</v>
      </c>
      <c r="O184" s="79">
        <f t="shared" si="73"/>
        <v>913135</v>
      </c>
      <c r="P184" s="79">
        <f t="shared" si="74"/>
        <v>2461605</v>
      </c>
      <c r="Q184" s="80">
        <f t="shared" si="70"/>
        <v>9393123</v>
      </c>
      <c r="R184" s="80">
        <f t="shared" si="70"/>
        <v>4557510</v>
      </c>
      <c r="S184" s="80">
        <f t="shared" si="70"/>
        <v>14430017</v>
      </c>
      <c r="T184" s="84">
        <f>N184/'2015'!M184-1</f>
        <v>0.0324193145487099</v>
      </c>
      <c r="U184" s="84">
        <f>O184/'2015'!N184-1</f>
        <v>0.0677206657008322</v>
      </c>
      <c r="V184" s="84">
        <f>P184/'2015'!O184-1</f>
        <v>0.0409507748335354</v>
      </c>
      <c r="W184" s="85">
        <f>Q184/'2015'!P184-1</f>
        <v>-0.027553128778108</v>
      </c>
      <c r="X184" s="85">
        <f>R184/'2015'!Q184-1</f>
        <v>0.0672885614082417</v>
      </c>
      <c r="Y184" s="85">
        <f>S184/'2015'!R184-1</f>
        <v>0.0146660915726982</v>
      </c>
      <c r="Z184" s="54">
        <f>Z$176+0.505*8</f>
        <v>83.5024</v>
      </c>
      <c r="AA184" s="101">
        <f t="shared" si="56"/>
        <v>855.8099</v>
      </c>
      <c r="AB184" s="109"/>
      <c r="AC184" s="109"/>
      <c r="AD184" s="9">
        <f t="shared" si="57"/>
        <v>9872507</v>
      </c>
      <c r="AE184" s="38">
        <f t="shared" si="62"/>
        <v>318250.6</v>
      </c>
      <c r="AF184" s="38">
        <f t="shared" si="62"/>
        <v>138105</v>
      </c>
      <c r="AG184" s="38">
        <f t="shared" si="58"/>
        <v>23028.3999999999</v>
      </c>
    </row>
    <row r="185" ht="15" customHeight="1" spans="1:33">
      <c r="A185" s="106">
        <v>42550</v>
      </c>
      <c r="B185" s="15" t="s">
        <v>35</v>
      </c>
      <c r="C185" s="33">
        <v>50566</v>
      </c>
      <c r="D185" s="34">
        <v>38262</v>
      </c>
      <c r="E185" s="34">
        <v>90780</v>
      </c>
      <c r="F185" s="33">
        <v>4619</v>
      </c>
      <c r="G185" s="34">
        <v>3107</v>
      </c>
      <c r="H185" s="20"/>
      <c r="I185" s="20"/>
      <c r="J185" s="33">
        <f t="shared" si="54"/>
        <v>52518</v>
      </c>
      <c r="K185" s="34">
        <f t="shared" si="55"/>
        <v>998.7</v>
      </c>
      <c r="L185" s="34">
        <v>785</v>
      </c>
      <c r="M185" s="34">
        <f t="shared" si="75"/>
        <v>168.3</v>
      </c>
      <c r="N185" s="81">
        <f t="shared" si="72"/>
        <v>1530186</v>
      </c>
      <c r="O185" s="82">
        <f t="shared" si="73"/>
        <v>951397</v>
      </c>
      <c r="P185" s="82">
        <f t="shared" si="74"/>
        <v>2552385</v>
      </c>
      <c r="Q185" s="81">
        <f t="shared" si="70"/>
        <v>9443689</v>
      </c>
      <c r="R185" s="81">
        <f t="shared" si="70"/>
        <v>4595772</v>
      </c>
      <c r="S185" s="81">
        <f t="shared" si="70"/>
        <v>14520797</v>
      </c>
      <c r="T185" s="86">
        <f>N185/'2015'!M185-1</f>
        <v>0.0217335709521065</v>
      </c>
      <c r="U185" s="86">
        <f>O185/'2015'!N185-1</f>
        <v>0.0707961215313535</v>
      </c>
      <c r="V185" s="86">
        <f>P185/'2015'!O185-1</f>
        <v>0.0361022290293</v>
      </c>
      <c r="W185" s="86">
        <f>Q185/'2015'!P185-1</f>
        <v>-0.0288012489015292</v>
      </c>
      <c r="X185" s="86">
        <f>R185/'2015'!Q185-1</f>
        <v>0.0679268642940598</v>
      </c>
      <c r="Y185" s="86">
        <f>S185/'2015'!R185-1</f>
        <v>0.0140131438778441</v>
      </c>
      <c r="Z185" s="53">
        <f>Z$176+0.505*9</f>
        <v>84.0074</v>
      </c>
      <c r="AA185" s="53">
        <f t="shared" si="56"/>
        <v>860.3615</v>
      </c>
      <c r="AB185" s="34">
        <v>4230.1</v>
      </c>
      <c r="AC185" s="34">
        <f t="shared" si="64"/>
        <v>2033.90345381906</v>
      </c>
      <c r="AD185" s="33">
        <f t="shared" si="57"/>
        <v>9925025</v>
      </c>
      <c r="AE185" s="34">
        <f t="shared" si="62"/>
        <v>319249.3</v>
      </c>
      <c r="AF185" s="34">
        <f t="shared" si="62"/>
        <v>138890</v>
      </c>
      <c r="AG185" s="34">
        <f t="shared" si="58"/>
        <v>23196.6999999999</v>
      </c>
    </row>
    <row r="186" s="1" customFormat="1" ht="15" customHeight="1" spans="1:33">
      <c r="A186" s="26">
        <v>42551</v>
      </c>
      <c r="B186" s="26" t="s">
        <v>36</v>
      </c>
      <c r="C186" s="43">
        <v>51762</v>
      </c>
      <c r="D186" s="44">
        <v>39035</v>
      </c>
      <c r="E186" s="44">
        <v>92651</v>
      </c>
      <c r="F186" s="43">
        <v>4637</v>
      </c>
      <c r="G186" s="44">
        <v>2899</v>
      </c>
      <c r="H186" s="31"/>
      <c r="I186" s="31"/>
      <c r="J186" s="43">
        <f t="shared" si="54"/>
        <v>53616</v>
      </c>
      <c r="K186" s="44">
        <f t="shared" si="55"/>
        <v>900.7</v>
      </c>
      <c r="L186" s="44">
        <v>785</v>
      </c>
      <c r="M186" s="44">
        <f t="shared" si="75"/>
        <v>168.3</v>
      </c>
      <c r="N186" s="91">
        <f t="shared" si="72"/>
        <v>1581948</v>
      </c>
      <c r="O186" s="92">
        <v>996425</v>
      </c>
      <c r="P186" s="92">
        <v>2651030</v>
      </c>
      <c r="Q186" s="91">
        <f t="shared" si="70"/>
        <v>9495451</v>
      </c>
      <c r="R186" s="91">
        <f t="shared" si="70"/>
        <v>4640800</v>
      </c>
      <c r="S186" s="91">
        <f t="shared" si="70"/>
        <v>14619442</v>
      </c>
      <c r="T186" s="93">
        <f>N186/'2015'!M186-1</f>
        <v>0.0117053423251441</v>
      </c>
      <c r="U186" s="93">
        <f>O186/'2015'!N186-1</f>
        <v>0.0767168524003463</v>
      </c>
      <c r="V186" s="93">
        <f>P186/'2015'!O186-1</f>
        <v>0.0322975818186846</v>
      </c>
      <c r="W186" s="93">
        <f>Q186/'2015'!P186-1</f>
        <v>-0.0300622497830129</v>
      </c>
      <c r="X186" s="93">
        <f>R186/'2015'!Q186-1</f>
        <v>0.069213659798921</v>
      </c>
      <c r="Y186" s="93">
        <f>S186/'2015'!R186-1</f>
        <v>0.0134960257584786</v>
      </c>
      <c r="Z186" s="56">
        <v>84.507</v>
      </c>
      <c r="AA186" s="56">
        <f t="shared" si="56"/>
        <v>865.0381</v>
      </c>
      <c r="AB186" s="44">
        <v>4233.1</v>
      </c>
      <c r="AC186" s="44">
        <f t="shared" si="64"/>
        <v>2043.50972100824</v>
      </c>
      <c r="AD186" s="43">
        <f t="shared" si="57"/>
        <v>9978642</v>
      </c>
      <c r="AE186" s="44">
        <v>320153</v>
      </c>
      <c r="AF186" s="44">
        <v>139673</v>
      </c>
      <c r="AG186" s="44">
        <f t="shared" si="58"/>
        <v>23365</v>
      </c>
    </row>
    <row r="187" ht="15" customHeight="1" spans="1:33">
      <c r="A187" s="106">
        <v>42552</v>
      </c>
      <c r="B187" s="21" t="s">
        <v>37</v>
      </c>
      <c r="C187" s="74">
        <v>52702</v>
      </c>
      <c r="D187" s="75">
        <v>42073</v>
      </c>
      <c r="E187" s="75">
        <v>96231</v>
      </c>
      <c r="F187" s="74">
        <v>4699</v>
      </c>
      <c r="G187" s="75">
        <v>3127</v>
      </c>
      <c r="H187" s="25"/>
      <c r="I187" s="25"/>
      <c r="J187" s="74">
        <f t="shared" si="54"/>
        <v>54158</v>
      </c>
      <c r="K187" s="75">
        <f t="shared" si="55"/>
        <v>472.7</v>
      </c>
      <c r="L187" s="75">
        <v>782</v>
      </c>
      <c r="M187" s="75">
        <f>(AG$196-AG$186)/10</f>
        <v>201.3</v>
      </c>
      <c r="N187" s="78">
        <f>C187</f>
        <v>52702</v>
      </c>
      <c r="O187" s="79">
        <f>D187</f>
        <v>42073</v>
      </c>
      <c r="P187" s="79">
        <f>E187</f>
        <v>96231</v>
      </c>
      <c r="Q187" s="80">
        <f t="shared" ref="Q187:S202" si="76">Q$186+N187</f>
        <v>9548153</v>
      </c>
      <c r="R187" s="80">
        <f t="shared" si="76"/>
        <v>4682873</v>
      </c>
      <c r="S187" s="80">
        <f t="shared" si="76"/>
        <v>14715673</v>
      </c>
      <c r="T187" s="84">
        <f>N187/'2015'!M187-1</f>
        <v>0.102875319131126</v>
      </c>
      <c r="U187" s="84">
        <f>O187/'2015'!N187-1</f>
        <v>0.0771653140121356</v>
      </c>
      <c r="V187" s="84">
        <f>P187/'2015'!O187-1</f>
        <v>0.0836336201072023</v>
      </c>
      <c r="W187" s="85">
        <f>Q187/'2015'!P187-1</f>
        <v>-0.0294165034568097</v>
      </c>
      <c r="X187" s="85">
        <f>R187/'2015'!Q187-1</f>
        <v>0.0692845782970217</v>
      </c>
      <c r="Y187" s="85">
        <f>S187/'2015'!R187-1</f>
        <v>0.0139251758130616</v>
      </c>
      <c r="Z187" s="101">
        <f>Z$186+0.374*1</f>
        <v>84.881</v>
      </c>
      <c r="AA187" s="101">
        <f t="shared" si="56"/>
        <v>869.9343</v>
      </c>
      <c r="AB187" s="110"/>
      <c r="AC187" s="109"/>
      <c r="AD187" s="74">
        <f t="shared" si="57"/>
        <v>10032800</v>
      </c>
      <c r="AE187" s="75">
        <f t="shared" si="62"/>
        <v>320625.7</v>
      </c>
      <c r="AF187" s="75">
        <f t="shared" si="62"/>
        <v>140455</v>
      </c>
      <c r="AG187" s="75">
        <f t="shared" si="58"/>
        <v>23566.3</v>
      </c>
    </row>
    <row r="188" ht="15" customHeight="1" spans="1:33">
      <c r="A188" s="106">
        <v>42553</v>
      </c>
      <c r="B188" s="21" t="s">
        <v>38</v>
      </c>
      <c r="C188" s="9">
        <v>54478</v>
      </c>
      <c r="D188" s="38">
        <v>42336</v>
      </c>
      <c r="E188" s="38">
        <v>98576</v>
      </c>
      <c r="F188" s="9">
        <v>4901</v>
      </c>
      <c r="G188" s="38">
        <v>3257</v>
      </c>
      <c r="H188" s="25"/>
      <c r="I188" s="37"/>
      <c r="J188" s="9">
        <f t="shared" si="54"/>
        <v>56240</v>
      </c>
      <c r="K188" s="38">
        <f t="shared" si="55"/>
        <v>783.7</v>
      </c>
      <c r="L188" s="38">
        <v>777</v>
      </c>
      <c r="M188" s="38">
        <f t="shared" ref="M188:M196" si="77">(AG$196-AG$186)/10</f>
        <v>201.3</v>
      </c>
      <c r="N188" s="78">
        <f t="shared" ref="N188:N217" si="78">C188+N187</f>
        <v>107180</v>
      </c>
      <c r="O188" s="79">
        <f t="shared" ref="O188:O217" si="79">D188+O187</f>
        <v>84409</v>
      </c>
      <c r="P188" s="79">
        <f t="shared" ref="P188:P216" si="80">E188+P187</f>
        <v>194807</v>
      </c>
      <c r="Q188" s="80">
        <f t="shared" si="76"/>
        <v>9602631</v>
      </c>
      <c r="R188" s="80">
        <f t="shared" si="76"/>
        <v>4725209</v>
      </c>
      <c r="S188" s="80">
        <f t="shared" si="76"/>
        <v>14814249</v>
      </c>
      <c r="T188" s="84">
        <f>N188/'2015'!M188-1</f>
        <v>0.162170367800139</v>
      </c>
      <c r="U188" s="84">
        <f>O188/'2015'!N188-1</f>
        <v>0.0505164903546982</v>
      </c>
      <c r="V188" s="84">
        <f>P188/'2015'!O188-1</f>
        <v>0.108104572189167</v>
      </c>
      <c r="W188" s="85">
        <f>Q188/'2015'!P188-1</f>
        <v>-0.0282682301324927</v>
      </c>
      <c r="X188" s="85">
        <f>R188/'2015'!Q188-1</f>
        <v>0.0688738255349335</v>
      </c>
      <c r="Y188" s="85">
        <f>S188/'2015'!R188-1</f>
        <v>0.014635185058224</v>
      </c>
      <c r="Z188" s="54">
        <f>Z$186+0.374*2</f>
        <v>85.255</v>
      </c>
      <c r="AA188" s="101">
        <f t="shared" si="56"/>
        <v>875.0081</v>
      </c>
      <c r="AB188" s="109"/>
      <c r="AC188" s="109"/>
      <c r="AD188" s="9">
        <f t="shared" si="57"/>
        <v>10089040</v>
      </c>
      <c r="AE188" s="38">
        <f t="shared" si="62"/>
        <v>321409.4</v>
      </c>
      <c r="AF188" s="38">
        <f t="shared" si="62"/>
        <v>141232</v>
      </c>
      <c r="AG188" s="38">
        <f t="shared" si="58"/>
        <v>23767.6</v>
      </c>
    </row>
    <row r="189" ht="15" customHeight="1" spans="1:33">
      <c r="A189" s="106">
        <v>42554</v>
      </c>
      <c r="B189" s="21" t="s">
        <v>1</v>
      </c>
      <c r="C189" s="9">
        <v>51889</v>
      </c>
      <c r="D189" s="38">
        <v>41685</v>
      </c>
      <c r="E189" s="38">
        <v>94939</v>
      </c>
      <c r="F189" s="9">
        <v>4510</v>
      </c>
      <c r="G189" s="38">
        <v>3279</v>
      </c>
      <c r="H189" s="25"/>
      <c r="I189" s="37"/>
      <c r="J189" s="9">
        <f t="shared" si="54"/>
        <v>53254</v>
      </c>
      <c r="K189" s="38">
        <f t="shared" si="55"/>
        <v>386.7</v>
      </c>
      <c r="L189" s="38">
        <v>777</v>
      </c>
      <c r="M189" s="38">
        <f t="shared" si="77"/>
        <v>201.3</v>
      </c>
      <c r="N189" s="78">
        <f t="shared" si="78"/>
        <v>159069</v>
      </c>
      <c r="O189" s="79">
        <f t="shared" si="79"/>
        <v>126094</v>
      </c>
      <c r="P189" s="79">
        <f t="shared" si="80"/>
        <v>289746</v>
      </c>
      <c r="Q189" s="80">
        <f t="shared" si="76"/>
        <v>9654520</v>
      </c>
      <c r="R189" s="80">
        <f t="shared" si="76"/>
        <v>4766894</v>
      </c>
      <c r="S189" s="80">
        <f t="shared" si="76"/>
        <v>14909188</v>
      </c>
      <c r="T189" s="84">
        <f>N189/'2015'!M189-1</f>
        <v>0.167264722069345</v>
      </c>
      <c r="U189" s="84">
        <f>O189/'2015'!N189-1</f>
        <v>0.0531089489288845</v>
      </c>
      <c r="V189" s="84">
        <f>P189/'2015'!O189-1</f>
        <v>0.106369492418544</v>
      </c>
      <c r="W189" s="85">
        <f>Q189/'2015'!P189-1</f>
        <v>-0.0273531366222219</v>
      </c>
      <c r="X189" s="85">
        <f>R189/'2015'!Q189-1</f>
        <v>0.0687813178162655</v>
      </c>
      <c r="Y189" s="85">
        <f>S189/'2015'!R189-1</f>
        <v>0.0151521238261623</v>
      </c>
      <c r="Z189" s="54">
        <f>Z$186+0.374*3</f>
        <v>85.629</v>
      </c>
      <c r="AA189" s="101">
        <f t="shared" si="56"/>
        <v>879.823</v>
      </c>
      <c r="AB189" s="109"/>
      <c r="AC189" s="109"/>
      <c r="AD189" s="9">
        <f t="shared" si="57"/>
        <v>10142294</v>
      </c>
      <c r="AE189" s="38">
        <f t="shared" si="62"/>
        <v>321796.1</v>
      </c>
      <c r="AF189" s="38">
        <f t="shared" si="62"/>
        <v>142009</v>
      </c>
      <c r="AG189" s="38">
        <f t="shared" si="58"/>
        <v>23968.9</v>
      </c>
    </row>
    <row r="190" ht="15" customHeight="1" spans="1:33">
      <c r="A190" s="106">
        <v>42555</v>
      </c>
      <c r="B190" s="21" t="s">
        <v>39</v>
      </c>
      <c r="C190" s="9">
        <v>59754</v>
      </c>
      <c r="D190" s="38">
        <v>42673</v>
      </c>
      <c r="E190" s="38">
        <v>104641</v>
      </c>
      <c r="F190" s="9">
        <v>5257</v>
      </c>
      <c r="G190" s="38">
        <v>3257</v>
      </c>
      <c r="H190" s="25"/>
      <c r="I190" s="37"/>
      <c r="J190" s="9">
        <f t="shared" si="54"/>
        <v>61968</v>
      </c>
      <c r="K190" s="38">
        <f t="shared" si="55"/>
        <v>1238.7</v>
      </c>
      <c r="L190" s="38">
        <v>774</v>
      </c>
      <c r="M190" s="38">
        <f t="shared" si="77"/>
        <v>201.3</v>
      </c>
      <c r="N190" s="78">
        <f t="shared" si="78"/>
        <v>218823</v>
      </c>
      <c r="O190" s="79">
        <f t="shared" si="79"/>
        <v>168767</v>
      </c>
      <c r="P190" s="79">
        <f t="shared" si="80"/>
        <v>394387</v>
      </c>
      <c r="Q190" s="80">
        <f t="shared" si="76"/>
        <v>9714274</v>
      </c>
      <c r="R190" s="80">
        <f t="shared" si="76"/>
        <v>4809567</v>
      </c>
      <c r="S190" s="80">
        <f t="shared" si="76"/>
        <v>15013829</v>
      </c>
      <c r="T190" s="84">
        <f>N190/'2015'!M190-1</f>
        <v>0.241098267863017</v>
      </c>
      <c r="U190" s="84">
        <f>O190/'2015'!N190-1</f>
        <v>0.0830060578058422</v>
      </c>
      <c r="V190" s="84">
        <f>P190/'2015'!O190-1</f>
        <v>0.156532984563412</v>
      </c>
      <c r="W190" s="85">
        <f>Q190/'2015'!P190-1</f>
        <v>-0.0252650318325173</v>
      </c>
      <c r="X190" s="85">
        <f>R190/'2015'!Q190-1</f>
        <v>0.0696916830989955</v>
      </c>
      <c r="Y190" s="85">
        <f>S190/'2015'!R190-1</f>
        <v>0.0167993914033489</v>
      </c>
      <c r="Z190" s="54">
        <f>Z$186+0.374*4</f>
        <v>86.003</v>
      </c>
      <c r="AA190" s="101">
        <f t="shared" si="56"/>
        <v>885.4244</v>
      </c>
      <c r="AB190" s="109"/>
      <c r="AC190" s="109"/>
      <c r="AD190" s="9">
        <f t="shared" si="57"/>
        <v>10204262</v>
      </c>
      <c r="AE190" s="38">
        <f t="shared" si="62"/>
        <v>323034.8</v>
      </c>
      <c r="AF190" s="38">
        <f t="shared" si="62"/>
        <v>142783</v>
      </c>
      <c r="AG190" s="38">
        <f t="shared" si="58"/>
        <v>24170.2</v>
      </c>
    </row>
    <row r="191" ht="15" customHeight="1" spans="1:33">
      <c r="A191" s="106">
        <v>42556</v>
      </c>
      <c r="B191" s="21" t="s">
        <v>34</v>
      </c>
      <c r="C191" s="9">
        <v>60696</v>
      </c>
      <c r="D191" s="38">
        <v>43664</v>
      </c>
      <c r="E191" s="38">
        <v>107756</v>
      </c>
      <c r="F191" s="9">
        <v>5424</v>
      </c>
      <c r="G191" s="38">
        <v>3505</v>
      </c>
      <c r="H191" s="25"/>
      <c r="I191" s="37"/>
      <c r="J191" s="9">
        <f t="shared" si="54"/>
        <v>64092</v>
      </c>
      <c r="K191" s="38">
        <f t="shared" si="55"/>
        <v>2419.7</v>
      </c>
      <c r="L191" s="38">
        <v>775</v>
      </c>
      <c r="M191" s="38">
        <f t="shared" si="77"/>
        <v>201.3</v>
      </c>
      <c r="N191" s="78">
        <f t="shared" si="78"/>
        <v>279519</v>
      </c>
      <c r="O191" s="79">
        <f t="shared" si="79"/>
        <v>212431</v>
      </c>
      <c r="P191" s="79">
        <f t="shared" si="80"/>
        <v>502143</v>
      </c>
      <c r="Q191" s="80">
        <f t="shared" si="76"/>
        <v>9774970</v>
      </c>
      <c r="R191" s="80">
        <f t="shared" si="76"/>
        <v>4853231</v>
      </c>
      <c r="S191" s="80">
        <f t="shared" si="76"/>
        <v>15121585</v>
      </c>
      <c r="T191" s="84">
        <f>N191/'2015'!M191-1</f>
        <v>0.345737023788317</v>
      </c>
      <c r="U191" s="84">
        <f>O191/'2015'!N191-1</f>
        <v>0.107773096097286</v>
      </c>
      <c r="V191" s="84">
        <f>P191/'2015'!O191-1</f>
        <v>0.219782542157963</v>
      </c>
      <c r="W191" s="85">
        <f>Q191/'2015'!P191-1</f>
        <v>-0.0222546526817812</v>
      </c>
      <c r="X191" s="85">
        <f>R191/'2015'!Q191-1</f>
        <v>0.0708451838531381</v>
      </c>
      <c r="Y191" s="85">
        <f>S191/'2015'!R191-1</f>
        <v>0.0192198514588853</v>
      </c>
      <c r="Z191" s="54">
        <f>Z$186+0.374*5</f>
        <v>86.377</v>
      </c>
      <c r="AA191" s="101">
        <f t="shared" si="56"/>
        <v>891.12</v>
      </c>
      <c r="AB191" s="109"/>
      <c r="AC191" s="109"/>
      <c r="AD191" s="9">
        <f t="shared" si="57"/>
        <v>10268354</v>
      </c>
      <c r="AE191" s="38">
        <f t="shared" si="62"/>
        <v>325454.5</v>
      </c>
      <c r="AF191" s="38">
        <f t="shared" si="62"/>
        <v>143558</v>
      </c>
      <c r="AG191" s="38">
        <f t="shared" si="58"/>
        <v>24371.4999999999</v>
      </c>
    </row>
    <row r="192" ht="15" customHeight="1" spans="1:33">
      <c r="A192" s="106">
        <v>42557</v>
      </c>
      <c r="B192" s="15" t="s">
        <v>35</v>
      </c>
      <c r="C192" s="33">
        <v>63220</v>
      </c>
      <c r="D192" s="34">
        <v>42723</v>
      </c>
      <c r="E192" s="34">
        <v>109204</v>
      </c>
      <c r="F192" s="63">
        <v>5406</v>
      </c>
      <c r="G192" s="34">
        <v>3550</v>
      </c>
      <c r="H192" s="20"/>
      <c r="I192" s="20"/>
      <c r="J192" s="33">
        <f t="shared" si="54"/>
        <v>66481</v>
      </c>
      <c r="K192" s="34">
        <f t="shared" si="55"/>
        <v>2286.7</v>
      </c>
      <c r="L192" s="34">
        <v>773</v>
      </c>
      <c r="M192" s="34">
        <f t="shared" si="77"/>
        <v>201.3</v>
      </c>
      <c r="N192" s="81">
        <f t="shared" si="78"/>
        <v>342739</v>
      </c>
      <c r="O192" s="82">
        <f t="shared" si="79"/>
        <v>255154</v>
      </c>
      <c r="P192" s="82">
        <f t="shared" si="80"/>
        <v>611347</v>
      </c>
      <c r="Q192" s="81">
        <f t="shared" si="76"/>
        <v>9838190</v>
      </c>
      <c r="R192" s="81">
        <f t="shared" si="76"/>
        <v>4895954</v>
      </c>
      <c r="S192" s="81">
        <f t="shared" si="76"/>
        <v>15230789</v>
      </c>
      <c r="T192" s="86">
        <f>N192/'2015'!M192-1</f>
        <v>0.415668473052903</v>
      </c>
      <c r="U192" s="86">
        <f>O192/'2015'!N192-1</f>
        <v>0.118767730535325</v>
      </c>
      <c r="V192" s="86">
        <f>P192/'2015'!O192-1</f>
        <v>0.257568900755759</v>
      </c>
      <c r="W192" s="86">
        <f>Q192/'2015'!P192-1</f>
        <v>-0.019305199426188</v>
      </c>
      <c r="X192" s="86">
        <f>R192/'2015'!Q192-1</f>
        <v>0.0716875055954389</v>
      </c>
      <c r="Y192" s="86">
        <f>S192/'2015'!R192-1</f>
        <v>0.0214534348331379</v>
      </c>
      <c r="Z192" s="53">
        <f>Z$186+0.374*6</f>
        <v>86.751</v>
      </c>
      <c r="AA192" s="53">
        <f t="shared" si="56"/>
        <v>897.068</v>
      </c>
      <c r="AB192" s="34">
        <v>4233.1</v>
      </c>
      <c r="AC192" s="34">
        <f t="shared" si="64"/>
        <v>2119.1750726418</v>
      </c>
      <c r="AD192" s="33">
        <f t="shared" si="57"/>
        <v>10334835</v>
      </c>
      <c r="AE192" s="34">
        <f t="shared" si="62"/>
        <v>327741.2</v>
      </c>
      <c r="AF192" s="34">
        <f t="shared" si="62"/>
        <v>144331</v>
      </c>
      <c r="AG192" s="34">
        <f t="shared" si="58"/>
        <v>24572.7999999999</v>
      </c>
    </row>
    <row r="193" ht="15" customHeight="1" spans="1:33">
      <c r="A193" s="106">
        <v>42558</v>
      </c>
      <c r="B193" s="21" t="s">
        <v>36</v>
      </c>
      <c r="C193" s="9">
        <v>61702</v>
      </c>
      <c r="D193" s="38">
        <v>43508</v>
      </c>
      <c r="E193" s="38">
        <v>109416</v>
      </c>
      <c r="F193" s="59">
        <v>5439</v>
      </c>
      <c r="G193" s="38">
        <v>3619</v>
      </c>
      <c r="H193" s="25"/>
      <c r="I193" s="37"/>
      <c r="J193" s="9">
        <f t="shared" ref="J193:J256" si="81">E193-D193</f>
        <v>65908</v>
      </c>
      <c r="K193" s="38">
        <f t="shared" si="55"/>
        <v>3261.7</v>
      </c>
      <c r="L193" s="38">
        <v>743</v>
      </c>
      <c r="M193" s="38">
        <f t="shared" si="77"/>
        <v>201.3</v>
      </c>
      <c r="N193" s="78">
        <f t="shared" si="78"/>
        <v>404441</v>
      </c>
      <c r="O193" s="79">
        <f t="shared" si="79"/>
        <v>298662</v>
      </c>
      <c r="P193" s="79">
        <f t="shared" si="80"/>
        <v>720763</v>
      </c>
      <c r="Q193" s="80">
        <f t="shared" si="76"/>
        <v>9899892</v>
      </c>
      <c r="R193" s="80">
        <f t="shared" si="76"/>
        <v>4939462</v>
      </c>
      <c r="S193" s="80">
        <f t="shared" si="76"/>
        <v>15340205</v>
      </c>
      <c r="T193" s="84">
        <f>N193/'2015'!M193-1</f>
        <v>0.466157454567865</v>
      </c>
      <c r="U193" s="84">
        <f>O193/'2015'!N193-1</f>
        <v>0.124988699713726</v>
      </c>
      <c r="V193" s="84">
        <f>P193/'2015'!O193-1</f>
        <v>0.283425897402567</v>
      </c>
      <c r="W193" s="85">
        <f>Q193/'2015'!P193-1</f>
        <v>-0.0164631948564636</v>
      </c>
      <c r="X193" s="85">
        <f>R193/'2015'!Q193-1</f>
        <v>0.0724285074728619</v>
      </c>
      <c r="Y193" s="85">
        <f>S193/'2015'!R193-1</f>
        <v>0.0236112736663572</v>
      </c>
      <c r="Z193" s="54">
        <f>Z$186+0.374*7</f>
        <v>87.125</v>
      </c>
      <c r="AA193" s="101">
        <f t="shared" si="56"/>
        <v>902.8642</v>
      </c>
      <c r="AB193" s="109">
        <v>4233.1</v>
      </c>
      <c r="AC193" s="109">
        <f t="shared" si="64"/>
        <v>2132.86763837377</v>
      </c>
      <c r="AD193" s="9">
        <f t="shared" si="57"/>
        <v>10400743</v>
      </c>
      <c r="AE193" s="38">
        <f t="shared" si="62"/>
        <v>331002.9</v>
      </c>
      <c r="AF193" s="38">
        <f t="shared" si="62"/>
        <v>145074</v>
      </c>
      <c r="AG193" s="38">
        <f t="shared" si="58"/>
        <v>24774.0999999999</v>
      </c>
    </row>
    <row r="194" ht="15" customHeight="1" spans="1:33">
      <c r="A194" s="106">
        <v>42559</v>
      </c>
      <c r="B194" s="21" t="s">
        <v>37</v>
      </c>
      <c r="C194" s="74">
        <v>59348</v>
      </c>
      <c r="D194" s="75">
        <f>31223+11277</f>
        <v>42500</v>
      </c>
      <c r="E194" s="75">
        <v>106407</v>
      </c>
      <c r="F194" s="111">
        <v>5293.4</v>
      </c>
      <c r="G194" s="75">
        <v>3546.5</v>
      </c>
      <c r="H194" s="25"/>
      <c r="I194" s="25"/>
      <c r="J194" s="74">
        <f t="shared" si="81"/>
        <v>63907</v>
      </c>
      <c r="K194" s="75">
        <f t="shared" si="55"/>
        <v>3589.7</v>
      </c>
      <c r="L194" s="75">
        <v>768</v>
      </c>
      <c r="M194" s="75">
        <f t="shared" si="77"/>
        <v>201.3</v>
      </c>
      <c r="N194" s="78">
        <f t="shared" si="78"/>
        <v>463789</v>
      </c>
      <c r="O194" s="79">
        <f t="shared" si="79"/>
        <v>341162</v>
      </c>
      <c r="P194" s="79">
        <f t="shared" si="80"/>
        <v>827170</v>
      </c>
      <c r="Q194" s="80">
        <f t="shared" si="76"/>
        <v>9959240</v>
      </c>
      <c r="R194" s="80">
        <f t="shared" si="76"/>
        <v>4981962</v>
      </c>
      <c r="S194" s="80">
        <f t="shared" si="76"/>
        <v>15446612</v>
      </c>
      <c r="T194" s="84">
        <f>N194/'2015'!M194-1</f>
        <v>0.490434704364397</v>
      </c>
      <c r="U194" s="84">
        <f>O194/'2015'!N194-1</f>
        <v>0.130019741113187</v>
      </c>
      <c r="V194" s="84">
        <f>P194/'2015'!O194-1</f>
        <v>0.296457964681524</v>
      </c>
      <c r="W194" s="85">
        <f>Q194/'2015'!P194-1</f>
        <v>-0.0140274212374504</v>
      </c>
      <c r="X194" s="85">
        <f>R194/'2015'!Q194-1</f>
        <v>0.0731681362705594</v>
      </c>
      <c r="Y194" s="85">
        <f>S194/'2015'!R194-1</f>
        <v>0.0254816040695787</v>
      </c>
      <c r="Z194" s="101">
        <f>Z$186+0.374*8</f>
        <v>87.499</v>
      </c>
      <c r="AA194" s="101">
        <f t="shared" si="56"/>
        <v>908.425</v>
      </c>
      <c r="AB194" s="110"/>
      <c r="AC194" s="109"/>
      <c r="AD194" s="74">
        <f t="shared" si="57"/>
        <v>10464650</v>
      </c>
      <c r="AE194" s="75">
        <f t="shared" si="62"/>
        <v>334592.6</v>
      </c>
      <c r="AF194" s="75">
        <f t="shared" si="62"/>
        <v>145842</v>
      </c>
      <c r="AG194" s="75">
        <f t="shared" si="58"/>
        <v>24975.3999999999</v>
      </c>
    </row>
    <row r="195" ht="15" customHeight="1" spans="1:33">
      <c r="A195" s="106">
        <v>42560</v>
      </c>
      <c r="B195" s="21" t="s">
        <v>38</v>
      </c>
      <c r="C195" s="9">
        <v>66859</v>
      </c>
      <c r="D195" s="38">
        <f>19918+10380</f>
        <v>30298</v>
      </c>
      <c r="E195" s="38">
        <v>101470</v>
      </c>
      <c r="F195" s="59">
        <v>5000.6</v>
      </c>
      <c r="G195" s="38">
        <v>3473.6</v>
      </c>
      <c r="H195" s="25"/>
      <c r="I195" s="37"/>
      <c r="J195" s="9">
        <f t="shared" si="81"/>
        <v>71172</v>
      </c>
      <c r="K195" s="38">
        <f t="shared" si="55"/>
        <v>3354.7</v>
      </c>
      <c r="L195" s="38">
        <v>757</v>
      </c>
      <c r="M195" s="38">
        <f t="shared" si="77"/>
        <v>201.3</v>
      </c>
      <c r="N195" s="78">
        <f t="shared" si="78"/>
        <v>530648</v>
      </c>
      <c r="O195" s="79">
        <f t="shared" si="79"/>
        <v>371460</v>
      </c>
      <c r="P195" s="79">
        <f t="shared" si="80"/>
        <v>928640</v>
      </c>
      <c r="Q195" s="80">
        <f t="shared" si="76"/>
        <v>10026099</v>
      </c>
      <c r="R195" s="80">
        <f t="shared" si="76"/>
        <v>5012260</v>
      </c>
      <c r="S195" s="80">
        <f t="shared" si="76"/>
        <v>15548082</v>
      </c>
      <c r="T195" s="84">
        <f>N195/'2015'!M195-1</f>
        <v>0.521828782503707</v>
      </c>
      <c r="U195" s="84">
        <f>O195/'2015'!N195-1</f>
        <v>0.0978280465422821</v>
      </c>
      <c r="V195" s="84">
        <f>P195/'2015'!O195-1</f>
        <v>0.295906334819529</v>
      </c>
      <c r="W195" s="85">
        <f>Q195/'2015'!P195-1</f>
        <v>-0.0110810889718382</v>
      </c>
      <c r="X195" s="85">
        <f>R195/'2015'!Q195-1</f>
        <v>0.0712830043099164</v>
      </c>
      <c r="Y195" s="85">
        <f>S195/'2015'!R195-1</f>
        <v>0.0268616557561541</v>
      </c>
      <c r="Z195" s="54">
        <f>Z$186+0.374*9</f>
        <v>87.873</v>
      </c>
      <c r="AA195" s="101">
        <f t="shared" si="56"/>
        <v>914.7369</v>
      </c>
      <c r="AB195" s="109"/>
      <c r="AC195" s="109"/>
      <c r="AD195" s="9">
        <f t="shared" si="57"/>
        <v>10535822</v>
      </c>
      <c r="AE195" s="38">
        <f t="shared" si="62"/>
        <v>337947.3</v>
      </c>
      <c r="AF195" s="38">
        <f t="shared" si="62"/>
        <v>146599</v>
      </c>
      <c r="AG195" s="38">
        <f t="shared" si="58"/>
        <v>25176.6999999999</v>
      </c>
    </row>
    <row r="196" ht="15" customHeight="1" spans="1:33">
      <c r="A196" s="106">
        <v>42561</v>
      </c>
      <c r="B196" s="21" t="s">
        <v>1</v>
      </c>
      <c r="C196" s="9">
        <v>64613</v>
      </c>
      <c r="D196" s="38">
        <f>16787+10732</f>
        <v>27519</v>
      </c>
      <c r="E196" s="38">
        <v>95183</v>
      </c>
      <c r="F196" s="59">
        <v>4572.4</v>
      </c>
      <c r="G196" s="38">
        <v>3322.4</v>
      </c>
      <c r="H196" s="25"/>
      <c r="I196" s="37"/>
      <c r="J196" s="9">
        <f t="shared" si="81"/>
        <v>67664</v>
      </c>
      <c r="K196" s="38">
        <f t="shared" si="55"/>
        <v>2081.7</v>
      </c>
      <c r="L196" s="38">
        <v>768</v>
      </c>
      <c r="M196" s="38">
        <f t="shared" si="77"/>
        <v>201.3</v>
      </c>
      <c r="N196" s="78">
        <f t="shared" si="78"/>
        <v>595261</v>
      </c>
      <c r="O196" s="79">
        <f t="shared" si="79"/>
        <v>398979</v>
      </c>
      <c r="P196" s="79">
        <f t="shared" si="80"/>
        <v>1023823</v>
      </c>
      <c r="Q196" s="80">
        <f t="shared" si="76"/>
        <v>10090712</v>
      </c>
      <c r="R196" s="80">
        <f t="shared" si="76"/>
        <v>5039779</v>
      </c>
      <c r="S196" s="80">
        <f t="shared" si="76"/>
        <v>15643265</v>
      </c>
      <c r="T196" s="84">
        <f>N196/'2015'!M196-1</f>
        <v>0.543866792888359</v>
      </c>
      <c r="U196" s="84">
        <f>O196/'2015'!N196-1</f>
        <v>0.074068889397386</v>
      </c>
      <c r="V196" s="84">
        <f>P196/'2015'!O196-1</f>
        <v>0.293517522991069</v>
      </c>
      <c r="W196" s="85">
        <f>Q196/'2015'!P196-1</f>
        <v>-0.00831482613123247</v>
      </c>
      <c r="X196" s="85">
        <f>R196/'2015'!Q196-1</f>
        <v>0.0695964282401969</v>
      </c>
      <c r="Y196" s="85">
        <f>S196/'2015'!R196-1</f>
        <v>0.0280618743045273</v>
      </c>
      <c r="Z196" s="54">
        <v>88.2478</v>
      </c>
      <c r="AA196" s="101">
        <f t="shared" si="56"/>
        <v>920.8234</v>
      </c>
      <c r="AB196" s="109">
        <v>4233.1</v>
      </c>
      <c r="AC196" s="109">
        <f t="shared" si="64"/>
        <v>2175.29328388179</v>
      </c>
      <c r="AD196" s="9">
        <f t="shared" si="57"/>
        <v>10603486</v>
      </c>
      <c r="AE196" s="38">
        <v>340018</v>
      </c>
      <c r="AF196" s="38">
        <v>147378</v>
      </c>
      <c r="AG196" s="38">
        <f t="shared" si="58"/>
        <v>25378</v>
      </c>
    </row>
    <row r="197" ht="15" customHeight="1" spans="1:33">
      <c r="A197" s="106">
        <v>42562</v>
      </c>
      <c r="B197" s="21" t="s">
        <v>39</v>
      </c>
      <c r="C197" s="9">
        <v>63073</v>
      </c>
      <c r="D197" s="38">
        <f>26713+11472</f>
        <v>38185</v>
      </c>
      <c r="E197" s="38">
        <v>103149</v>
      </c>
      <c r="F197" s="59">
        <v>5182.7</v>
      </c>
      <c r="G197" s="38">
        <v>3303.5</v>
      </c>
      <c r="H197" s="25"/>
      <c r="I197" s="37"/>
      <c r="J197" s="9">
        <f t="shared" si="81"/>
        <v>64964</v>
      </c>
      <c r="K197" s="38">
        <f t="shared" si="55"/>
        <v>812.698095238102</v>
      </c>
      <c r="L197" s="38">
        <v>768</v>
      </c>
      <c r="M197" s="38">
        <f>(AG$217-AG$196)/21</f>
        <v>310.301904761898</v>
      </c>
      <c r="N197" s="78">
        <f t="shared" si="78"/>
        <v>658334</v>
      </c>
      <c r="O197" s="79">
        <f t="shared" si="79"/>
        <v>437164</v>
      </c>
      <c r="P197" s="79">
        <f t="shared" si="80"/>
        <v>1126972</v>
      </c>
      <c r="Q197" s="80">
        <f t="shared" si="76"/>
        <v>10153785</v>
      </c>
      <c r="R197" s="80">
        <f t="shared" si="76"/>
        <v>5077964</v>
      </c>
      <c r="S197" s="80">
        <f t="shared" si="76"/>
        <v>15746414</v>
      </c>
      <c r="T197" s="84">
        <f>N197/'2015'!M197-1</f>
        <v>0.571116621283319</v>
      </c>
      <c r="U197" s="84">
        <f>O197/'2015'!N197-1</f>
        <v>0.109784269822653</v>
      </c>
      <c r="V197" s="84">
        <f>P197/'2015'!O197-1</f>
        <v>0.323579084347085</v>
      </c>
      <c r="W197" s="85">
        <f>Q197/'2015'!P197-1</f>
        <v>-0.0053866398870932</v>
      </c>
      <c r="X197" s="85">
        <f>R197/'2015'!Q197-1</f>
        <v>0.0725893394256052</v>
      </c>
      <c r="Y197" s="85">
        <f>S197/'2015'!R197-1</f>
        <v>0.030779270504234</v>
      </c>
      <c r="Z197" s="54">
        <f>Z$196+0.552*1</f>
        <v>88.7998</v>
      </c>
      <c r="AA197" s="101">
        <f t="shared" si="56"/>
        <v>926.5787</v>
      </c>
      <c r="AB197" s="109"/>
      <c r="AC197" s="109"/>
      <c r="AD197" s="9">
        <f t="shared" si="57"/>
        <v>10668450</v>
      </c>
      <c r="AE197" s="38">
        <f t="shared" si="62"/>
        <v>340830.698095238</v>
      </c>
      <c r="AF197" s="38">
        <f t="shared" si="62"/>
        <v>148146</v>
      </c>
      <c r="AG197" s="38">
        <f t="shared" si="58"/>
        <v>25688.3019047619</v>
      </c>
    </row>
    <row r="198" ht="15" customHeight="1" spans="1:33">
      <c r="A198" s="106">
        <v>42563</v>
      </c>
      <c r="B198" s="21" t="s">
        <v>34</v>
      </c>
      <c r="C198" s="9">
        <v>64121</v>
      </c>
      <c r="D198" s="38">
        <f>31717+11658</f>
        <v>43375</v>
      </c>
      <c r="E198" s="38">
        <v>109289</v>
      </c>
      <c r="F198" s="59">
        <v>5411.8</v>
      </c>
      <c r="G198" s="38">
        <v>3482.4</v>
      </c>
      <c r="H198" s="25"/>
      <c r="I198" s="37"/>
      <c r="J198" s="9">
        <f t="shared" si="81"/>
        <v>65914</v>
      </c>
      <c r="K198" s="38">
        <f t="shared" ref="K198:K261" si="82">J198-C198-M198-L198</f>
        <v>716.698095238102</v>
      </c>
      <c r="L198" s="38">
        <v>766</v>
      </c>
      <c r="M198" s="38">
        <f t="shared" ref="M198:M217" si="83">(AG$217-AG$196)/21</f>
        <v>310.301904761898</v>
      </c>
      <c r="N198" s="78">
        <f t="shared" si="78"/>
        <v>722455</v>
      </c>
      <c r="O198" s="79">
        <f t="shared" si="79"/>
        <v>480539</v>
      </c>
      <c r="P198" s="79">
        <f t="shared" si="80"/>
        <v>1236261</v>
      </c>
      <c r="Q198" s="80">
        <f t="shared" si="76"/>
        <v>10217906</v>
      </c>
      <c r="R198" s="80">
        <f t="shared" si="76"/>
        <v>5121339</v>
      </c>
      <c r="S198" s="80">
        <f t="shared" si="76"/>
        <v>15855703</v>
      </c>
      <c r="T198" s="84">
        <f>N198/'2015'!M198-1</f>
        <v>0.559889451467683</v>
      </c>
      <c r="U198" s="84">
        <f>O198/'2015'!N198-1</f>
        <v>0.14894140993915</v>
      </c>
      <c r="V198" s="84">
        <f>P198/'2015'!O198-1</f>
        <v>0.339944570956005</v>
      </c>
      <c r="W198" s="85">
        <f>Q198/'2015'!P198-1</f>
        <v>-0.00341288872668</v>
      </c>
      <c r="X198" s="85">
        <f>R198/'2015'!Q198-1</f>
        <v>0.0762210812311357</v>
      </c>
      <c r="Y198" s="85">
        <f>S198/'2015'!R198-1</f>
        <v>0.0331207542444036</v>
      </c>
      <c r="Z198" s="54">
        <f>Z$196+0.552*2</f>
        <v>89.3518</v>
      </c>
      <c r="AA198" s="101">
        <f t="shared" ref="AA198:AA261" si="84">Q198/10000-Z198</f>
        <v>932.4388</v>
      </c>
      <c r="AB198" s="109"/>
      <c r="AC198" s="109"/>
      <c r="AD198" s="9">
        <f t="shared" ref="AD198:AD261" si="85">S198-R198</f>
        <v>10734364</v>
      </c>
      <c r="AE198" s="38">
        <f t="shared" si="62"/>
        <v>341547.396190476</v>
      </c>
      <c r="AF198" s="38">
        <f t="shared" si="62"/>
        <v>148912</v>
      </c>
      <c r="AG198" s="38">
        <f t="shared" ref="AG198:AG261" si="86">AD198-Q198-AE198-AF198</f>
        <v>25998.6038095237</v>
      </c>
    </row>
    <row r="199" ht="15" customHeight="1" spans="1:33">
      <c r="A199" s="106">
        <v>42564</v>
      </c>
      <c r="B199" s="15" t="s">
        <v>35</v>
      </c>
      <c r="C199" s="33">
        <v>70308</v>
      </c>
      <c r="D199" s="34">
        <v>41578</v>
      </c>
      <c r="E199" s="34">
        <v>114980</v>
      </c>
      <c r="F199" s="63">
        <v>5684</v>
      </c>
      <c r="G199" s="34">
        <v>3674</v>
      </c>
      <c r="H199" s="20"/>
      <c r="I199" s="20"/>
      <c r="J199" s="33">
        <f t="shared" si="81"/>
        <v>73402</v>
      </c>
      <c r="K199" s="34">
        <f t="shared" si="82"/>
        <v>2018.6980952381</v>
      </c>
      <c r="L199" s="34">
        <v>765</v>
      </c>
      <c r="M199" s="34">
        <f t="shared" si="83"/>
        <v>310.301904761898</v>
      </c>
      <c r="N199" s="81">
        <f t="shared" si="78"/>
        <v>792763</v>
      </c>
      <c r="O199" s="82">
        <f t="shared" si="79"/>
        <v>522117</v>
      </c>
      <c r="P199" s="82">
        <f t="shared" si="80"/>
        <v>1351241</v>
      </c>
      <c r="Q199" s="81">
        <f t="shared" si="76"/>
        <v>10288214</v>
      </c>
      <c r="R199" s="81">
        <f t="shared" si="76"/>
        <v>5162917</v>
      </c>
      <c r="S199" s="81">
        <f t="shared" si="76"/>
        <v>15970683</v>
      </c>
      <c r="T199" s="86">
        <f>N199/'2015'!M199-1</f>
        <v>0.535017775127214</v>
      </c>
      <c r="U199" s="86">
        <f>O199/'2015'!N199-1</f>
        <v>0.156889594979958</v>
      </c>
      <c r="V199" s="86">
        <f>P199/'2015'!O199-1</f>
        <v>0.336149194844234</v>
      </c>
      <c r="W199" s="86">
        <f>Q199/'2015'!P199-1</f>
        <v>-0.00174564740367578</v>
      </c>
      <c r="X199" s="86">
        <f>R199/'2015'!Q199-1</f>
        <v>0.0774715095716612</v>
      </c>
      <c r="Y199" s="86">
        <f>S199/'2015'!R199-1</f>
        <v>0.0346346800932362</v>
      </c>
      <c r="Z199" s="53">
        <f>Z$196+0.552*3</f>
        <v>89.9038</v>
      </c>
      <c r="AA199" s="53">
        <f t="shared" si="84"/>
        <v>938.9176</v>
      </c>
      <c r="AB199" s="34">
        <v>4233.1</v>
      </c>
      <c r="AC199" s="34">
        <f t="shared" si="64"/>
        <v>2218.03784460561</v>
      </c>
      <c r="AD199" s="33">
        <f t="shared" si="85"/>
        <v>10807766</v>
      </c>
      <c r="AE199" s="34">
        <f t="shared" ref="AE199:AF262" si="87">AE198+K199</f>
        <v>343566.094285714</v>
      </c>
      <c r="AF199" s="34">
        <f t="shared" si="87"/>
        <v>149677</v>
      </c>
      <c r="AG199" s="34">
        <f t="shared" si="86"/>
        <v>26308.9057142856</v>
      </c>
    </row>
    <row r="200" ht="15" customHeight="1" spans="1:33">
      <c r="A200" s="106">
        <v>42565</v>
      </c>
      <c r="B200" s="21" t="s">
        <v>36</v>
      </c>
      <c r="C200" s="9">
        <v>70257</v>
      </c>
      <c r="D200" s="38">
        <v>43334</v>
      </c>
      <c r="E200" s="38">
        <v>115434</v>
      </c>
      <c r="F200" s="59">
        <v>5731</v>
      </c>
      <c r="G200" s="38">
        <v>3797</v>
      </c>
      <c r="H200" s="25"/>
      <c r="I200" s="37"/>
      <c r="J200" s="9">
        <f t="shared" si="81"/>
        <v>72100</v>
      </c>
      <c r="K200" s="38">
        <f t="shared" si="82"/>
        <v>768.698095238102</v>
      </c>
      <c r="L200" s="38">
        <v>764</v>
      </c>
      <c r="M200" s="38">
        <f t="shared" si="83"/>
        <v>310.301904761898</v>
      </c>
      <c r="N200" s="78">
        <f t="shared" si="78"/>
        <v>863020</v>
      </c>
      <c r="O200" s="79">
        <f t="shared" si="79"/>
        <v>565451</v>
      </c>
      <c r="P200" s="79">
        <f t="shared" si="80"/>
        <v>1466675</v>
      </c>
      <c r="Q200" s="80">
        <f t="shared" si="76"/>
        <v>10358471</v>
      </c>
      <c r="R200" s="80">
        <f t="shared" si="76"/>
        <v>5206251</v>
      </c>
      <c r="S200" s="80">
        <f t="shared" si="76"/>
        <v>16086117</v>
      </c>
      <c r="T200" s="84">
        <f>N200/'2015'!M200-1</f>
        <v>0.498603014848502</v>
      </c>
      <c r="U200" s="84">
        <f>O200/'2015'!N200-1</f>
        <v>0.161436156555853</v>
      </c>
      <c r="V200" s="84">
        <f>P200/'2015'!O200-1</f>
        <v>0.324297163371593</v>
      </c>
      <c r="W200" s="85">
        <f>Q200/'2015'!P200-1</f>
        <v>-0.000691226278831336</v>
      </c>
      <c r="X200" s="85">
        <f>R200/'2015'!Q200-1</f>
        <v>0.0785148286567834</v>
      </c>
      <c r="Y200" s="85">
        <f>S200/'2015'!R200-1</f>
        <v>0.0356573604758659</v>
      </c>
      <c r="Z200" s="54">
        <f>Z$196+0.552*4</f>
        <v>90.4558</v>
      </c>
      <c r="AA200" s="101">
        <f t="shared" si="84"/>
        <v>945.3913</v>
      </c>
      <c r="AB200" s="109">
        <v>4233.1</v>
      </c>
      <c r="AC200" s="109">
        <f t="shared" si="64"/>
        <v>2233.3308922539</v>
      </c>
      <c r="AD200" s="9">
        <f t="shared" si="85"/>
        <v>10879866</v>
      </c>
      <c r="AE200" s="38">
        <f t="shared" si="87"/>
        <v>344334.792380953</v>
      </c>
      <c r="AF200" s="38">
        <f t="shared" si="87"/>
        <v>150441</v>
      </c>
      <c r="AG200" s="38">
        <f t="shared" si="86"/>
        <v>26619.2076190475</v>
      </c>
    </row>
    <row r="201" ht="15" customHeight="1" spans="1:33">
      <c r="A201" s="106">
        <v>42566</v>
      </c>
      <c r="B201" s="21" t="s">
        <v>37</v>
      </c>
      <c r="C201" s="74">
        <v>73242</v>
      </c>
      <c r="D201" s="75">
        <f>31936+11531</f>
        <v>43467</v>
      </c>
      <c r="E201" s="75">
        <v>118759</v>
      </c>
      <c r="F201" s="111">
        <v>5856.3</v>
      </c>
      <c r="G201" s="75">
        <v>3792.9</v>
      </c>
      <c r="H201" s="25"/>
      <c r="I201" s="25"/>
      <c r="J201" s="74">
        <f t="shared" si="81"/>
        <v>75292</v>
      </c>
      <c r="K201" s="75">
        <f t="shared" si="82"/>
        <v>975.698095238102</v>
      </c>
      <c r="L201" s="75">
        <v>764</v>
      </c>
      <c r="M201" s="75">
        <f t="shared" si="83"/>
        <v>310.301904761898</v>
      </c>
      <c r="N201" s="78">
        <f t="shared" si="78"/>
        <v>936262</v>
      </c>
      <c r="O201" s="79">
        <f t="shared" si="79"/>
        <v>608918</v>
      </c>
      <c r="P201" s="79">
        <f t="shared" si="80"/>
        <v>1585434</v>
      </c>
      <c r="Q201" s="80">
        <f t="shared" si="76"/>
        <v>10431713</v>
      </c>
      <c r="R201" s="80">
        <f t="shared" si="76"/>
        <v>5249718</v>
      </c>
      <c r="S201" s="80">
        <f t="shared" si="76"/>
        <v>16204876</v>
      </c>
      <c r="T201" s="84">
        <f>N201/'2015'!M201-1</f>
        <v>0.475125256026469</v>
      </c>
      <c r="U201" s="84">
        <f>O201/'2015'!N201-1</f>
        <v>0.161046875238342</v>
      </c>
      <c r="V201" s="84">
        <f>P201/'2015'!O201-1</f>
        <v>0.315281712633618</v>
      </c>
      <c r="W201" s="85">
        <f>Q201/'2015'!P201-1</f>
        <v>0.000696439419890948</v>
      </c>
      <c r="X201" s="85">
        <f>R201/'2015'!Q201-1</f>
        <v>0.0791137718347277</v>
      </c>
      <c r="Y201" s="85">
        <f>S201/'2015'!R201-1</f>
        <v>0.036769681180487</v>
      </c>
      <c r="Z201" s="101">
        <f>Z$196+0.552*5</f>
        <v>91.0078</v>
      </c>
      <c r="AA201" s="101">
        <f t="shared" si="84"/>
        <v>952.1635</v>
      </c>
      <c r="AB201" s="110"/>
      <c r="AC201" s="109"/>
      <c r="AD201" s="74">
        <f t="shared" si="85"/>
        <v>10955158</v>
      </c>
      <c r="AE201" s="75">
        <f t="shared" si="87"/>
        <v>345310.490476191</v>
      </c>
      <c r="AF201" s="75">
        <f t="shared" si="87"/>
        <v>151205</v>
      </c>
      <c r="AG201" s="75">
        <f t="shared" si="86"/>
        <v>26929.5095238094</v>
      </c>
    </row>
    <row r="202" ht="15" customHeight="1" spans="1:33">
      <c r="A202" s="106">
        <v>42567</v>
      </c>
      <c r="B202" s="21" t="s">
        <v>38</v>
      </c>
      <c r="C202" s="9">
        <v>63749</v>
      </c>
      <c r="D202" s="38">
        <f>30344+11690</f>
        <v>42034</v>
      </c>
      <c r="E202" s="38">
        <v>107196</v>
      </c>
      <c r="F202" s="59">
        <v>5184.3</v>
      </c>
      <c r="G202" s="38">
        <v>3862.4</v>
      </c>
      <c r="H202" s="25"/>
      <c r="I202" s="37"/>
      <c r="J202" s="9">
        <f t="shared" si="81"/>
        <v>65162</v>
      </c>
      <c r="K202" s="38">
        <f t="shared" si="82"/>
        <v>340.698095238102</v>
      </c>
      <c r="L202" s="38">
        <v>762</v>
      </c>
      <c r="M202" s="38">
        <f t="shared" si="83"/>
        <v>310.301904761898</v>
      </c>
      <c r="N202" s="78">
        <f t="shared" si="78"/>
        <v>1000011</v>
      </c>
      <c r="O202" s="79">
        <f t="shared" si="79"/>
        <v>650952</v>
      </c>
      <c r="P202" s="79">
        <f t="shared" si="80"/>
        <v>1692630</v>
      </c>
      <c r="Q202" s="80">
        <f t="shared" si="76"/>
        <v>10495462</v>
      </c>
      <c r="R202" s="80">
        <f t="shared" si="76"/>
        <v>5291752</v>
      </c>
      <c r="S202" s="80">
        <f t="shared" si="76"/>
        <v>16312072</v>
      </c>
      <c r="T202" s="84">
        <f>N202/'2015'!M202-1</f>
        <v>0.437125722686648</v>
      </c>
      <c r="U202" s="84">
        <f>O202/'2015'!N202-1</f>
        <v>0.162773499670434</v>
      </c>
      <c r="V202" s="84">
        <f>P202/'2015'!O202-1</f>
        <v>0.299160925468813</v>
      </c>
      <c r="W202" s="85">
        <f>Q202/'2015'!P202-1</f>
        <v>0.000941100713989007</v>
      </c>
      <c r="X202" s="85">
        <f>R202/'2015'!Q202-1</f>
        <v>0.0799024450569801</v>
      </c>
      <c r="Y202" s="85">
        <f>S202/'2015'!R202-1</f>
        <v>0.037160273808595</v>
      </c>
      <c r="Z202" s="54">
        <f>Z$196+0.552*6</f>
        <v>91.5598</v>
      </c>
      <c r="AA202" s="101">
        <f t="shared" si="84"/>
        <v>957.9864</v>
      </c>
      <c r="AB202" s="109"/>
      <c r="AC202" s="109"/>
      <c r="AD202" s="9">
        <f t="shared" si="85"/>
        <v>11020320</v>
      </c>
      <c r="AE202" s="38">
        <f t="shared" si="87"/>
        <v>345651.188571429</v>
      </c>
      <c r="AF202" s="38">
        <f t="shared" si="87"/>
        <v>151967</v>
      </c>
      <c r="AG202" s="38">
        <f t="shared" si="86"/>
        <v>27239.8114285712</v>
      </c>
    </row>
    <row r="203" ht="15" customHeight="1" spans="1:33">
      <c r="A203" s="106">
        <v>42568</v>
      </c>
      <c r="B203" s="21" t="s">
        <v>1</v>
      </c>
      <c r="C203" s="9">
        <v>56955</v>
      </c>
      <c r="D203" s="38">
        <f>31061+11476</f>
        <v>42537</v>
      </c>
      <c r="E203" s="38">
        <v>100767</v>
      </c>
      <c r="F203" s="59">
        <v>4765.5</v>
      </c>
      <c r="G203" s="38">
        <v>3467.8</v>
      </c>
      <c r="H203" s="25"/>
      <c r="I203" s="37"/>
      <c r="J203" s="9">
        <f t="shared" si="81"/>
        <v>58230</v>
      </c>
      <c r="K203" s="38">
        <f t="shared" si="82"/>
        <v>203.698095238102</v>
      </c>
      <c r="L203" s="38">
        <v>761</v>
      </c>
      <c r="M203" s="38">
        <f t="shared" si="83"/>
        <v>310.301904761898</v>
      </c>
      <c r="N203" s="78">
        <f t="shared" si="78"/>
        <v>1056966</v>
      </c>
      <c r="O203" s="79">
        <f t="shared" si="79"/>
        <v>693489</v>
      </c>
      <c r="P203" s="79">
        <f t="shared" si="80"/>
        <v>1793397</v>
      </c>
      <c r="Q203" s="80">
        <f t="shared" ref="Q203:S217" si="88">Q$186+N203</f>
        <v>10552417</v>
      </c>
      <c r="R203" s="80">
        <f t="shared" si="88"/>
        <v>5334289</v>
      </c>
      <c r="S203" s="80">
        <f t="shared" si="88"/>
        <v>16412839</v>
      </c>
      <c r="T203" s="84">
        <f>N203/'2015'!M203-1</f>
        <v>0.408407275983418</v>
      </c>
      <c r="U203" s="84">
        <f>O203/'2015'!N203-1</f>
        <v>0.154875701096442</v>
      </c>
      <c r="V203" s="84">
        <f>P203/'2015'!O203-1</f>
        <v>0.281618526686495</v>
      </c>
      <c r="W203" s="85">
        <f>Q203/'2015'!P203-1</f>
        <v>0.00115699650348922</v>
      </c>
      <c r="X203" s="85">
        <f>R203/'2015'!Q203-1</f>
        <v>0.0796245765425307</v>
      </c>
      <c r="Y203" s="85">
        <f>S203/'2015'!R203-1</f>
        <v>0.0372060644004295</v>
      </c>
      <c r="Z203" s="54">
        <f>Z$196+0.552*7</f>
        <v>92.1118</v>
      </c>
      <c r="AA203" s="101">
        <f t="shared" si="84"/>
        <v>963.1299</v>
      </c>
      <c r="AB203" s="109"/>
      <c r="AC203" s="109"/>
      <c r="AD203" s="9">
        <f t="shared" si="85"/>
        <v>11078550</v>
      </c>
      <c r="AE203" s="38">
        <f t="shared" si="87"/>
        <v>345854.886666667</v>
      </c>
      <c r="AF203" s="38">
        <f t="shared" si="87"/>
        <v>152728</v>
      </c>
      <c r="AG203" s="38">
        <f t="shared" si="86"/>
        <v>27550.1133333331</v>
      </c>
    </row>
    <row r="204" ht="15" customHeight="1" spans="1:33">
      <c r="A204" s="106">
        <v>42569</v>
      </c>
      <c r="B204" s="21" t="s">
        <v>39</v>
      </c>
      <c r="C204" s="9">
        <v>64186</v>
      </c>
      <c r="D204" s="38">
        <f>30540+11151</f>
        <v>41691</v>
      </c>
      <c r="E204" s="38">
        <v>107478</v>
      </c>
      <c r="F204" s="59">
        <v>5464.3</v>
      </c>
      <c r="G204" s="38">
        <v>3497</v>
      </c>
      <c r="H204" s="25"/>
      <c r="I204" s="37"/>
      <c r="J204" s="9">
        <f t="shared" si="81"/>
        <v>65787</v>
      </c>
      <c r="K204" s="38">
        <f t="shared" si="82"/>
        <v>527.698095238102</v>
      </c>
      <c r="L204" s="38">
        <v>763</v>
      </c>
      <c r="M204" s="38">
        <f t="shared" si="83"/>
        <v>310.301904761898</v>
      </c>
      <c r="N204" s="78">
        <f t="shared" si="78"/>
        <v>1121152</v>
      </c>
      <c r="O204" s="79">
        <f t="shared" si="79"/>
        <v>735180</v>
      </c>
      <c r="P204" s="79">
        <f t="shared" si="80"/>
        <v>1900875</v>
      </c>
      <c r="Q204" s="80">
        <f t="shared" si="88"/>
        <v>10616603</v>
      </c>
      <c r="R204" s="80">
        <f t="shared" si="88"/>
        <v>5375980</v>
      </c>
      <c r="S204" s="80">
        <f t="shared" si="88"/>
        <v>16520317</v>
      </c>
      <c r="T204" s="84">
        <f>N204/'2015'!M204-1</f>
        <v>0.395837457405339</v>
      </c>
      <c r="U204" s="84">
        <f>O204/'2015'!N204-1</f>
        <v>0.14928621006622</v>
      </c>
      <c r="V204" s="84">
        <f>P204/'2015'!O204-1</f>
        <v>0.273482422978055</v>
      </c>
      <c r="W204" s="85">
        <f>Q204/'2015'!P204-1</f>
        <v>0.00223157560055909</v>
      </c>
      <c r="X204" s="85">
        <f>R204/'2015'!Q204-1</f>
        <v>0.0794988825458276</v>
      </c>
      <c r="Y204" s="85">
        <f>S204/'2015'!R204-1</f>
        <v>0.0378762920432352</v>
      </c>
      <c r="Z204" s="54">
        <f>Z$196+0.552*8</f>
        <v>92.6638</v>
      </c>
      <c r="AA204" s="101">
        <f t="shared" si="84"/>
        <v>968.9965</v>
      </c>
      <c r="AB204" s="109"/>
      <c r="AC204" s="109"/>
      <c r="AD204" s="9">
        <f t="shared" si="85"/>
        <v>11144337</v>
      </c>
      <c r="AE204" s="38">
        <f t="shared" si="87"/>
        <v>346382.584761905</v>
      </c>
      <c r="AF204" s="38">
        <f t="shared" si="87"/>
        <v>153491</v>
      </c>
      <c r="AG204" s="38">
        <f t="shared" si="86"/>
        <v>27860.415238095</v>
      </c>
    </row>
    <row r="205" ht="15" customHeight="1" spans="1:33">
      <c r="A205" s="106">
        <v>42570</v>
      </c>
      <c r="B205" s="21" t="s">
        <v>34</v>
      </c>
      <c r="C205" s="9">
        <v>67415</v>
      </c>
      <c r="D205" s="38">
        <f>30631+11089</f>
        <v>41720</v>
      </c>
      <c r="E205" s="38">
        <v>110450</v>
      </c>
      <c r="F205" s="59">
        <v>5544.7</v>
      </c>
      <c r="G205" s="38">
        <v>3494</v>
      </c>
      <c r="H205" s="25"/>
      <c r="I205" s="37"/>
      <c r="J205" s="9">
        <f t="shared" si="81"/>
        <v>68730</v>
      </c>
      <c r="K205" s="38">
        <f t="shared" si="82"/>
        <v>243.698095238102</v>
      </c>
      <c r="L205" s="38">
        <v>761</v>
      </c>
      <c r="M205" s="38">
        <f t="shared" si="83"/>
        <v>310.301904761898</v>
      </c>
      <c r="N205" s="78">
        <f t="shared" si="78"/>
        <v>1188567</v>
      </c>
      <c r="O205" s="79">
        <f t="shared" si="79"/>
        <v>776900</v>
      </c>
      <c r="P205" s="79">
        <f t="shared" si="80"/>
        <v>2011325</v>
      </c>
      <c r="Q205" s="80">
        <f t="shared" si="88"/>
        <v>10684018</v>
      </c>
      <c r="R205" s="80">
        <f t="shared" si="88"/>
        <v>5417700</v>
      </c>
      <c r="S205" s="80">
        <f t="shared" si="88"/>
        <v>16630767</v>
      </c>
      <c r="T205" s="84">
        <f>N205/'2015'!M205-1</f>
        <v>0.393321110467665</v>
      </c>
      <c r="U205" s="84">
        <f>O205/'2015'!N205-1</f>
        <v>0.146171118671274</v>
      </c>
      <c r="V205" s="84">
        <f>P205/'2015'!O205-1</f>
        <v>0.271325713353842</v>
      </c>
      <c r="W205" s="85">
        <f>Q205/'2015'!P205-1</f>
        <v>0.0038729473327459</v>
      </c>
      <c r="X205" s="85">
        <f>R205/'2015'!Q205-1</f>
        <v>0.0796084976947946</v>
      </c>
      <c r="Y205" s="85">
        <f>S205/'2015'!R205-1</f>
        <v>0.0389791635247794</v>
      </c>
      <c r="Z205" s="54">
        <f>Z$196+0.552*9</f>
        <v>93.2158</v>
      </c>
      <c r="AA205" s="101">
        <f t="shared" si="84"/>
        <v>975.186</v>
      </c>
      <c r="AB205" s="109"/>
      <c r="AC205" s="109"/>
      <c r="AD205" s="9">
        <f t="shared" si="85"/>
        <v>11213067</v>
      </c>
      <c r="AE205" s="38">
        <f t="shared" si="87"/>
        <v>346626.282857143</v>
      </c>
      <c r="AF205" s="38">
        <f t="shared" si="87"/>
        <v>154252</v>
      </c>
      <c r="AG205" s="38">
        <f t="shared" si="86"/>
        <v>28170.7171428569</v>
      </c>
    </row>
    <row r="206" ht="15" customHeight="1" spans="1:33">
      <c r="A206" s="106">
        <v>42571</v>
      </c>
      <c r="B206" s="15" t="s">
        <v>35</v>
      </c>
      <c r="C206" s="33">
        <v>73216</v>
      </c>
      <c r="D206" s="34">
        <f>31178+11085</f>
        <v>42263</v>
      </c>
      <c r="E206" s="34">
        <v>116889</v>
      </c>
      <c r="F206" s="63">
        <v>5747.1</v>
      </c>
      <c r="G206" s="34">
        <v>3676.5</v>
      </c>
      <c r="H206" s="20"/>
      <c r="I206" s="20"/>
      <c r="J206" s="33">
        <f t="shared" si="81"/>
        <v>74626</v>
      </c>
      <c r="K206" s="34">
        <f t="shared" si="82"/>
        <v>341.698095238102</v>
      </c>
      <c r="L206" s="34">
        <v>758</v>
      </c>
      <c r="M206" s="34">
        <f t="shared" si="83"/>
        <v>310.301904761898</v>
      </c>
      <c r="N206" s="81">
        <f t="shared" si="78"/>
        <v>1261783</v>
      </c>
      <c r="O206" s="82">
        <f t="shared" si="79"/>
        <v>819163</v>
      </c>
      <c r="P206" s="82">
        <f t="shared" si="80"/>
        <v>2128214</v>
      </c>
      <c r="Q206" s="81">
        <f t="shared" si="88"/>
        <v>10757234</v>
      </c>
      <c r="R206" s="81">
        <f t="shared" si="88"/>
        <v>5459963</v>
      </c>
      <c r="S206" s="81">
        <f t="shared" si="88"/>
        <v>16747656</v>
      </c>
      <c r="T206" s="86">
        <f>N206/'2015'!M206-1</f>
        <v>0.388097055892066</v>
      </c>
      <c r="U206" s="86">
        <f>O206/'2015'!N206-1</f>
        <v>0.141730373880623</v>
      </c>
      <c r="V206" s="86">
        <f>P206/'2015'!O206-1</f>
        <v>0.26730096800625</v>
      </c>
      <c r="W206" s="86">
        <f>Q206/'2015'!P206-1</f>
        <v>0.00546596309570591</v>
      </c>
      <c r="X206" s="86">
        <f>R206/'2015'!Q206-1</f>
        <v>0.0795004054085313</v>
      </c>
      <c r="Y206" s="86">
        <f>S206/'2015'!R206-1</f>
        <v>0.0399626976818874</v>
      </c>
      <c r="Z206" s="53">
        <v>93.7665</v>
      </c>
      <c r="AA206" s="53">
        <f t="shared" si="84"/>
        <v>981.9569</v>
      </c>
      <c r="AB206" s="34">
        <v>4233.1</v>
      </c>
      <c r="AC206" s="34">
        <f t="shared" ref="AC206:AC263" si="89">AA206*10000/AB206</f>
        <v>2319.71108643784</v>
      </c>
      <c r="AD206" s="33">
        <f t="shared" si="85"/>
        <v>11287693</v>
      </c>
      <c r="AE206" s="34">
        <f t="shared" si="87"/>
        <v>346967.980952381</v>
      </c>
      <c r="AF206" s="34">
        <f t="shared" si="87"/>
        <v>155010</v>
      </c>
      <c r="AG206" s="34">
        <f t="shared" si="86"/>
        <v>28481.0190476187</v>
      </c>
    </row>
    <row r="207" ht="15" customHeight="1" spans="1:33">
      <c r="A207" s="106">
        <v>42572</v>
      </c>
      <c r="B207" s="21" t="s">
        <v>36</v>
      </c>
      <c r="C207" s="9">
        <v>76413</v>
      </c>
      <c r="D207" s="38">
        <v>44286</v>
      </c>
      <c r="E207" s="38">
        <v>122815</v>
      </c>
      <c r="F207" s="59">
        <v>6052</v>
      </c>
      <c r="G207" s="38">
        <v>3917</v>
      </c>
      <c r="H207" s="25"/>
      <c r="I207" s="37"/>
      <c r="J207" s="9">
        <f t="shared" si="81"/>
        <v>78529</v>
      </c>
      <c r="K207" s="38">
        <f t="shared" si="82"/>
        <v>1046.6980952381</v>
      </c>
      <c r="L207" s="38">
        <v>759</v>
      </c>
      <c r="M207" s="38">
        <f t="shared" si="83"/>
        <v>310.301904761898</v>
      </c>
      <c r="N207" s="78">
        <f t="shared" si="78"/>
        <v>1338196</v>
      </c>
      <c r="O207" s="79">
        <f t="shared" si="79"/>
        <v>863449</v>
      </c>
      <c r="P207" s="79">
        <f t="shared" si="80"/>
        <v>2251029</v>
      </c>
      <c r="Q207" s="80">
        <f t="shared" si="88"/>
        <v>10833647</v>
      </c>
      <c r="R207" s="80">
        <f t="shared" si="88"/>
        <v>5504249</v>
      </c>
      <c r="S207" s="80">
        <f t="shared" si="88"/>
        <v>16870471</v>
      </c>
      <c r="T207" s="84">
        <f>N207/'2015'!M207-1</f>
        <v>0.391672403787956</v>
      </c>
      <c r="U207" s="84">
        <f>O207/'2015'!N207-1</f>
        <v>0.138477949010053</v>
      </c>
      <c r="V207" s="84">
        <f>P207/'2015'!O207-1</f>
        <v>0.268722146665998</v>
      </c>
      <c r="W207" s="85">
        <f>Q207/'2015'!P207-1</f>
        <v>0.00765672925770011</v>
      </c>
      <c r="X207" s="85">
        <f>R207/'2015'!Q207-1</f>
        <v>0.0795163969632129</v>
      </c>
      <c r="Y207" s="85">
        <f>S207/'2015'!R207-1</f>
        <v>0.0414504858135192</v>
      </c>
      <c r="Z207" s="54">
        <f>Z$206+0.71*1</f>
        <v>94.4765</v>
      </c>
      <c r="AA207" s="101">
        <f t="shared" si="84"/>
        <v>988.8882</v>
      </c>
      <c r="AB207" s="109">
        <v>4233.1</v>
      </c>
      <c r="AC207" s="109">
        <f t="shared" si="89"/>
        <v>2336.08513855094</v>
      </c>
      <c r="AD207" s="9">
        <f t="shared" si="85"/>
        <v>11366222</v>
      </c>
      <c r="AE207" s="38">
        <f t="shared" si="87"/>
        <v>348014.679047619</v>
      </c>
      <c r="AF207" s="38">
        <f t="shared" si="87"/>
        <v>155769</v>
      </c>
      <c r="AG207" s="38">
        <f t="shared" si="86"/>
        <v>28791.3209523806</v>
      </c>
    </row>
    <row r="208" ht="15" customHeight="1" spans="1:33">
      <c r="A208" s="106">
        <v>42573</v>
      </c>
      <c r="B208" s="21" t="s">
        <v>37</v>
      </c>
      <c r="C208" s="74">
        <v>79952</v>
      </c>
      <c r="D208" s="75">
        <f>34315+10896</f>
        <v>45211</v>
      </c>
      <c r="E208" s="75">
        <v>127197</v>
      </c>
      <c r="F208" s="111">
        <v>3228.8</v>
      </c>
      <c r="G208" s="75">
        <v>4115.2</v>
      </c>
      <c r="H208" s="25"/>
      <c r="I208" s="25"/>
      <c r="J208" s="74">
        <f t="shared" si="81"/>
        <v>81986</v>
      </c>
      <c r="K208" s="75">
        <f t="shared" si="82"/>
        <v>968.698095238102</v>
      </c>
      <c r="L208" s="75">
        <v>755</v>
      </c>
      <c r="M208" s="75">
        <f t="shared" si="83"/>
        <v>310.301904761898</v>
      </c>
      <c r="N208" s="78">
        <f t="shared" si="78"/>
        <v>1418148</v>
      </c>
      <c r="O208" s="79">
        <f t="shared" si="79"/>
        <v>908660</v>
      </c>
      <c r="P208" s="79">
        <f t="shared" si="80"/>
        <v>2378226</v>
      </c>
      <c r="Q208" s="80">
        <f t="shared" si="88"/>
        <v>10913599</v>
      </c>
      <c r="R208" s="80">
        <f t="shared" si="88"/>
        <v>5549460</v>
      </c>
      <c r="S208" s="80">
        <f t="shared" si="88"/>
        <v>16997668</v>
      </c>
      <c r="T208" s="84">
        <f>N208/'2015'!M208-1</f>
        <v>0.395996330231881</v>
      </c>
      <c r="U208" s="84">
        <f>O208/'2015'!N208-1</f>
        <v>0.136253935860787</v>
      </c>
      <c r="V208" s="84">
        <f>P208/'2015'!O208-1</f>
        <v>0.271080534914782</v>
      </c>
      <c r="W208" s="85">
        <f>Q208/'2015'!P208-1</f>
        <v>0.00999276210039191</v>
      </c>
      <c r="X208" s="85">
        <f>R208/'2015'!Q208-1</f>
        <v>0.079643834614376</v>
      </c>
      <c r="Y208" s="85">
        <f>S208/'2015'!R208-1</f>
        <v>0.0430709964879277</v>
      </c>
      <c r="Z208" s="101">
        <f>Z$206+0.71*2</f>
        <v>95.1865</v>
      </c>
      <c r="AA208" s="101">
        <f t="shared" si="84"/>
        <v>996.1734</v>
      </c>
      <c r="AB208" s="110"/>
      <c r="AC208" s="109"/>
      <c r="AD208" s="74">
        <f t="shared" si="85"/>
        <v>11448208</v>
      </c>
      <c r="AE208" s="75">
        <f t="shared" si="87"/>
        <v>348983.377142858</v>
      </c>
      <c r="AF208" s="75">
        <f t="shared" si="87"/>
        <v>156524</v>
      </c>
      <c r="AG208" s="75">
        <f t="shared" si="86"/>
        <v>29101.6228571425</v>
      </c>
    </row>
    <row r="209" ht="15" customHeight="1" spans="1:33">
      <c r="A209" s="106">
        <v>42574</v>
      </c>
      <c r="B209" s="21" t="s">
        <v>38</v>
      </c>
      <c r="C209" s="9">
        <v>78303</v>
      </c>
      <c r="D209" s="38">
        <f>35314+10731</f>
        <v>46045</v>
      </c>
      <c r="E209" s="38">
        <v>126589</v>
      </c>
      <c r="F209" s="59">
        <v>6105.1</v>
      </c>
      <c r="G209" s="38">
        <v>4186.1</v>
      </c>
      <c r="H209" s="25"/>
      <c r="I209" s="37"/>
      <c r="J209" s="9">
        <f t="shared" si="81"/>
        <v>80544</v>
      </c>
      <c r="K209" s="38">
        <f t="shared" si="82"/>
        <v>1176.6980952381</v>
      </c>
      <c r="L209" s="38">
        <v>754</v>
      </c>
      <c r="M209" s="38">
        <f t="shared" si="83"/>
        <v>310.301904761898</v>
      </c>
      <c r="N209" s="78">
        <f t="shared" si="78"/>
        <v>1496451</v>
      </c>
      <c r="O209" s="79">
        <f t="shared" si="79"/>
        <v>954705</v>
      </c>
      <c r="P209" s="79">
        <f t="shared" si="80"/>
        <v>2504815</v>
      </c>
      <c r="Q209" s="80">
        <f t="shared" si="88"/>
        <v>10991902</v>
      </c>
      <c r="R209" s="80">
        <f t="shared" si="88"/>
        <v>5595505</v>
      </c>
      <c r="S209" s="80">
        <f t="shared" si="88"/>
        <v>17124257</v>
      </c>
      <c r="T209" s="84">
        <f>N209/'2015'!M209-1</f>
        <v>0.398853024481898</v>
      </c>
      <c r="U209" s="84">
        <f>O209/'2015'!N209-1</f>
        <v>0.135160297301764</v>
      </c>
      <c r="V209" s="84">
        <f>P209/'2015'!O209-1</f>
        <v>0.272312188025566</v>
      </c>
      <c r="W209" s="85">
        <f>Q209/'2015'!P209-1</f>
        <v>0.012190130266311</v>
      </c>
      <c r="X209" s="85">
        <f>R209/'2015'!Q209-1</f>
        <v>0.0799179066267008</v>
      </c>
      <c r="Y209" s="85">
        <f>S209/'2015'!R209-1</f>
        <v>0.0445775502401078</v>
      </c>
      <c r="Z209" s="54">
        <f>Z$206+0.71*3</f>
        <v>95.8965</v>
      </c>
      <c r="AA209" s="101">
        <f t="shared" si="84"/>
        <v>1003.2937</v>
      </c>
      <c r="AB209" s="109"/>
      <c r="AC209" s="109"/>
      <c r="AD209" s="9">
        <f t="shared" si="85"/>
        <v>11528752</v>
      </c>
      <c r="AE209" s="38">
        <f t="shared" si="87"/>
        <v>350160.075238096</v>
      </c>
      <c r="AF209" s="38">
        <f t="shared" si="87"/>
        <v>157278</v>
      </c>
      <c r="AG209" s="38">
        <f t="shared" si="86"/>
        <v>29411.9247619043</v>
      </c>
    </row>
    <row r="210" ht="15" customHeight="1" spans="1:33">
      <c r="A210" s="106">
        <v>42575</v>
      </c>
      <c r="B210" s="21" t="s">
        <v>1</v>
      </c>
      <c r="C210" s="9">
        <v>76185</v>
      </c>
      <c r="D210" s="38">
        <f>32660+10660</f>
        <v>43320</v>
      </c>
      <c r="E210" s="38">
        <v>121680</v>
      </c>
      <c r="F210" s="59">
        <v>5730.9</v>
      </c>
      <c r="G210" s="38">
        <v>4197.1</v>
      </c>
      <c r="H210" s="25"/>
      <c r="I210" s="37"/>
      <c r="J210" s="9">
        <f t="shared" si="81"/>
        <v>78360</v>
      </c>
      <c r="K210" s="38">
        <f t="shared" si="82"/>
        <v>1109.6980952381</v>
      </c>
      <c r="L210" s="38">
        <v>755</v>
      </c>
      <c r="M210" s="38">
        <f t="shared" si="83"/>
        <v>310.301904761898</v>
      </c>
      <c r="N210" s="78">
        <f t="shared" si="78"/>
        <v>1572636</v>
      </c>
      <c r="O210" s="79">
        <f t="shared" si="79"/>
        <v>998025</v>
      </c>
      <c r="P210" s="79">
        <f t="shared" si="80"/>
        <v>2626495</v>
      </c>
      <c r="Q210" s="80">
        <f t="shared" si="88"/>
        <v>11068087</v>
      </c>
      <c r="R210" s="80">
        <f t="shared" si="88"/>
        <v>5638825</v>
      </c>
      <c r="S210" s="80">
        <f t="shared" si="88"/>
        <v>17245937</v>
      </c>
      <c r="T210" s="84">
        <f>N210/'2015'!M210-1</f>
        <v>0.396716733928267</v>
      </c>
      <c r="U210" s="84">
        <f>O210/'2015'!N210-1</f>
        <v>0.131043650618262</v>
      </c>
      <c r="V210" s="84">
        <f>P210/'2015'!O210-1</f>
        <v>0.2698878154842</v>
      </c>
      <c r="W210" s="85">
        <f>Q210/'2015'!P210-1</f>
        <v>0.0139598862373067</v>
      </c>
      <c r="X210" s="85">
        <f>R210/'2015'!Q210-1</f>
        <v>0.0796598898785494</v>
      </c>
      <c r="Y210" s="85">
        <f>S210/'2015'!R210-1</f>
        <v>0.0456484893580049</v>
      </c>
      <c r="Z210" s="54">
        <f>Z$206+0.71*4</f>
        <v>96.6065</v>
      </c>
      <c r="AA210" s="101">
        <f t="shared" si="84"/>
        <v>1010.2022</v>
      </c>
      <c r="AB210" s="109"/>
      <c r="AC210" s="109"/>
      <c r="AD210" s="9">
        <f t="shared" si="85"/>
        <v>11607112</v>
      </c>
      <c r="AE210" s="38">
        <f t="shared" si="87"/>
        <v>351269.773333334</v>
      </c>
      <c r="AF210" s="38">
        <f t="shared" si="87"/>
        <v>158033</v>
      </c>
      <c r="AG210" s="38">
        <f t="shared" si="86"/>
        <v>29722.2266666662</v>
      </c>
    </row>
    <row r="211" ht="15" customHeight="1" spans="1:33">
      <c r="A211" s="106">
        <v>42576</v>
      </c>
      <c r="B211" s="21" t="s">
        <v>39</v>
      </c>
      <c r="C211" s="9">
        <v>80791</v>
      </c>
      <c r="D211" s="38">
        <f>34291+10753</f>
        <v>45044</v>
      </c>
      <c r="E211" s="38">
        <v>127772</v>
      </c>
      <c r="F211" s="59">
        <v>6249.7</v>
      </c>
      <c r="G211" s="38">
        <v>4092.8</v>
      </c>
      <c r="H211" s="25"/>
      <c r="I211" s="37"/>
      <c r="J211" s="9">
        <f t="shared" si="81"/>
        <v>82728</v>
      </c>
      <c r="K211" s="38">
        <f t="shared" si="82"/>
        <v>875.698095238102</v>
      </c>
      <c r="L211" s="38">
        <v>751</v>
      </c>
      <c r="M211" s="38">
        <f t="shared" si="83"/>
        <v>310.301904761898</v>
      </c>
      <c r="N211" s="78">
        <f t="shared" si="78"/>
        <v>1653427</v>
      </c>
      <c r="O211" s="79">
        <f t="shared" si="79"/>
        <v>1043069</v>
      </c>
      <c r="P211" s="79">
        <f t="shared" si="80"/>
        <v>2754267</v>
      </c>
      <c r="Q211" s="80">
        <f t="shared" si="88"/>
        <v>11148878</v>
      </c>
      <c r="R211" s="80">
        <f t="shared" si="88"/>
        <v>5683869</v>
      </c>
      <c r="S211" s="80">
        <f t="shared" si="88"/>
        <v>17373709</v>
      </c>
      <c r="T211" s="84">
        <f>N211/'2015'!M211-1</f>
        <v>0.395768191794699</v>
      </c>
      <c r="U211" s="84">
        <f>O211/'2015'!N211-1</f>
        <v>0.130467720399528</v>
      </c>
      <c r="V211" s="84">
        <f>P211/'2015'!O211-1</f>
        <v>0.269765904419961</v>
      </c>
      <c r="W211" s="85">
        <f>Q211/'2015'!P211-1</f>
        <v>0.0159029876294301</v>
      </c>
      <c r="X211" s="85">
        <f>R211/'2015'!Q211-1</f>
        <v>0.0799523244400515</v>
      </c>
      <c r="Y211" s="85">
        <f>S211/'2015'!R211-1</f>
        <v>0.0469950395564533</v>
      </c>
      <c r="Z211" s="54">
        <f>Z$206+0.71*5</f>
        <v>97.3165</v>
      </c>
      <c r="AA211" s="101">
        <f t="shared" si="84"/>
        <v>1017.5713</v>
      </c>
      <c r="AB211" s="109">
        <v>4233.1</v>
      </c>
      <c r="AC211" s="109">
        <f t="shared" si="89"/>
        <v>2403.84422763459</v>
      </c>
      <c r="AD211" s="9">
        <f t="shared" si="85"/>
        <v>11689840</v>
      </c>
      <c r="AE211" s="38">
        <f t="shared" si="87"/>
        <v>352145.471428572</v>
      </c>
      <c r="AF211" s="38">
        <f t="shared" si="87"/>
        <v>158784</v>
      </c>
      <c r="AG211" s="38">
        <f t="shared" si="86"/>
        <v>30032.5285714281</v>
      </c>
    </row>
    <row r="212" ht="15" customHeight="1" spans="1:33">
      <c r="A212" s="106">
        <v>42577</v>
      </c>
      <c r="B212" s="21" t="s">
        <v>34</v>
      </c>
      <c r="C212" s="9">
        <v>82261</v>
      </c>
      <c r="D212" s="38">
        <f>35227+10753</f>
        <v>45980</v>
      </c>
      <c r="E212" s="38">
        <v>130148</v>
      </c>
      <c r="F212" s="59">
        <v>6395</v>
      </c>
      <c r="G212" s="38">
        <v>4256</v>
      </c>
      <c r="H212" s="25"/>
      <c r="I212" s="37"/>
      <c r="J212" s="9">
        <f t="shared" si="81"/>
        <v>84168</v>
      </c>
      <c r="K212" s="38">
        <f t="shared" si="82"/>
        <v>845.698095238102</v>
      </c>
      <c r="L212" s="38">
        <v>751</v>
      </c>
      <c r="M212" s="38">
        <f t="shared" si="83"/>
        <v>310.301904761898</v>
      </c>
      <c r="N212" s="78">
        <f t="shared" si="78"/>
        <v>1735688</v>
      </c>
      <c r="O212" s="79">
        <f t="shared" si="79"/>
        <v>1089049</v>
      </c>
      <c r="P212" s="79">
        <f t="shared" si="80"/>
        <v>2884415</v>
      </c>
      <c r="Q212" s="80">
        <f t="shared" si="88"/>
        <v>11231139</v>
      </c>
      <c r="R212" s="80">
        <f t="shared" si="88"/>
        <v>5729849</v>
      </c>
      <c r="S212" s="80">
        <f t="shared" si="88"/>
        <v>17503857</v>
      </c>
      <c r="T212" s="84">
        <f>N212/'2015'!M212-1</f>
        <v>0.397191751544955</v>
      </c>
      <c r="U212" s="84">
        <f>O212/'2015'!N212-1</f>
        <v>0.130782800830242</v>
      </c>
      <c r="V212" s="84">
        <f>P212/'2015'!O212-1</f>
        <v>0.271407841923799</v>
      </c>
      <c r="W212" s="85">
        <f>Q212/'2015'!P212-1</f>
        <v>0.0180490031655123</v>
      </c>
      <c r="X212" s="85">
        <f>R212/'2015'!Q212-1</f>
        <v>0.0803943977151602</v>
      </c>
      <c r="Y212" s="85">
        <f>S212/'2015'!R212-1</f>
        <v>0.0485468456087819</v>
      </c>
      <c r="Z212" s="54">
        <f>Z$206+0.71*6</f>
        <v>98.0265</v>
      </c>
      <c r="AA212" s="101">
        <f t="shared" si="84"/>
        <v>1025.0874</v>
      </c>
      <c r="AB212" s="109"/>
      <c r="AC212" s="109"/>
      <c r="AD212" s="9">
        <f t="shared" si="85"/>
        <v>11774008</v>
      </c>
      <c r="AE212" s="38">
        <f t="shared" si="87"/>
        <v>352991.16952381</v>
      </c>
      <c r="AF212" s="38">
        <f t="shared" si="87"/>
        <v>159535</v>
      </c>
      <c r="AG212" s="38">
        <f t="shared" si="86"/>
        <v>30342.83047619</v>
      </c>
    </row>
    <row r="213" ht="15" customHeight="1" spans="1:33">
      <c r="A213" s="106">
        <v>42578</v>
      </c>
      <c r="B213" s="15" t="s">
        <v>35</v>
      </c>
      <c r="C213" s="33">
        <v>80409</v>
      </c>
      <c r="D213" s="34">
        <f>37574+10772</f>
        <v>48346</v>
      </c>
      <c r="E213" s="34">
        <v>130825</v>
      </c>
      <c r="F213" s="63">
        <v>6547</v>
      </c>
      <c r="G213" s="34">
        <v>4291</v>
      </c>
      <c r="H213" s="20"/>
      <c r="I213" s="20"/>
      <c r="J213" s="33">
        <f t="shared" si="81"/>
        <v>82479</v>
      </c>
      <c r="K213" s="34">
        <f t="shared" si="82"/>
        <v>1012.6980952381</v>
      </c>
      <c r="L213" s="34">
        <v>747</v>
      </c>
      <c r="M213" s="34">
        <f t="shared" si="83"/>
        <v>310.301904761898</v>
      </c>
      <c r="N213" s="81">
        <f t="shared" si="78"/>
        <v>1816097</v>
      </c>
      <c r="O213" s="82">
        <f t="shared" si="79"/>
        <v>1137395</v>
      </c>
      <c r="P213" s="82">
        <f t="shared" si="80"/>
        <v>3015240</v>
      </c>
      <c r="Q213" s="81">
        <f t="shared" si="88"/>
        <v>11311548</v>
      </c>
      <c r="R213" s="81">
        <f t="shared" si="88"/>
        <v>5778195</v>
      </c>
      <c r="S213" s="81">
        <f t="shared" si="88"/>
        <v>17634682</v>
      </c>
      <c r="T213" s="86">
        <f>N213/'2015'!M213-1</f>
        <v>0.385815229418004</v>
      </c>
      <c r="U213" s="86">
        <f>O213/'2015'!N213-1</f>
        <v>0.132458612906341</v>
      </c>
      <c r="V213" s="86">
        <f>P213/'2015'!O213-1</f>
        <v>0.266943761418393</v>
      </c>
      <c r="W213" s="86">
        <f>Q213/'2015'!P213-1</f>
        <v>0.0190360697509055</v>
      </c>
      <c r="X213" s="86">
        <f>R213/'2015'!Q213-1</f>
        <v>0.0810983498745028</v>
      </c>
      <c r="Y213" s="86">
        <f>S213/'2015'!R213-1</f>
        <v>0.049390060409896</v>
      </c>
      <c r="Z213" s="53">
        <f>Z$206+0.71*7</f>
        <v>98.7365</v>
      </c>
      <c r="AA213" s="53">
        <f t="shared" si="84"/>
        <v>1032.4183</v>
      </c>
      <c r="AB213" s="34">
        <v>4233.1</v>
      </c>
      <c r="AC213" s="34">
        <f t="shared" si="89"/>
        <v>2438.91781436772</v>
      </c>
      <c r="AD213" s="33">
        <f t="shared" si="85"/>
        <v>11856487</v>
      </c>
      <c r="AE213" s="34">
        <f t="shared" si="87"/>
        <v>354003.867619048</v>
      </c>
      <c r="AF213" s="34">
        <f t="shared" si="87"/>
        <v>160282</v>
      </c>
      <c r="AG213" s="34">
        <f t="shared" si="86"/>
        <v>30653.1323809518</v>
      </c>
    </row>
    <row r="214" ht="15" customHeight="1" spans="1:33">
      <c r="A214" s="106">
        <v>42579</v>
      </c>
      <c r="B214" s="21" t="s">
        <v>36</v>
      </c>
      <c r="C214" s="9">
        <v>80721</v>
      </c>
      <c r="D214" s="38">
        <v>47885</v>
      </c>
      <c r="E214" s="38">
        <v>130003</v>
      </c>
      <c r="F214" s="59">
        <v>6448</v>
      </c>
      <c r="G214" s="38">
        <v>4253</v>
      </c>
      <c r="H214" s="25"/>
      <c r="I214" s="37"/>
      <c r="J214" s="9">
        <f t="shared" si="81"/>
        <v>82118</v>
      </c>
      <c r="K214" s="38">
        <f t="shared" si="82"/>
        <v>334.698095238102</v>
      </c>
      <c r="L214" s="38">
        <v>752</v>
      </c>
      <c r="M214" s="38">
        <f t="shared" si="83"/>
        <v>310.301904761898</v>
      </c>
      <c r="N214" s="78">
        <f t="shared" si="78"/>
        <v>1896818</v>
      </c>
      <c r="O214" s="79">
        <f t="shared" si="79"/>
        <v>1185280</v>
      </c>
      <c r="P214" s="79">
        <f t="shared" si="80"/>
        <v>3145243</v>
      </c>
      <c r="Q214" s="80">
        <f t="shared" si="88"/>
        <v>11392269</v>
      </c>
      <c r="R214" s="80">
        <f t="shared" si="88"/>
        <v>5826080</v>
      </c>
      <c r="S214" s="80">
        <f t="shared" si="88"/>
        <v>17764685</v>
      </c>
      <c r="T214" s="84">
        <f>N214/'2015'!M214-1</f>
        <v>0.371732511805842</v>
      </c>
      <c r="U214" s="84">
        <f>O214/'2015'!N214-1</f>
        <v>0.134345613272824</v>
      </c>
      <c r="V214" s="84">
        <f>P214/'2015'!O214-1</f>
        <v>0.261098614702993</v>
      </c>
      <c r="W214" s="85">
        <f>Q214/'2015'!P214-1</f>
        <v>0.0196666058926782</v>
      </c>
      <c r="X214" s="85">
        <f>R214/'2015'!Q214-1</f>
        <v>0.0818511470510026</v>
      </c>
      <c r="Y214" s="85">
        <f>S214/'2015'!R214-1</f>
        <v>0.04999581826505</v>
      </c>
      <c r="Z214" s="54">
        <f>Z$206+0.71*8</f>
        <v>99.4465</v>
      </c>
      <c r="AA214" s="101">
        <f t="shared" si="84"/>
        <v>1039.7804</v>
      </c>
      <c r="AB214" s="109">
        <v>4233</v>
      </c>
      <c r="AC214" s="109">
        <f t="shared" si="89"/>
        <v>2456.36758799905</v>
      </c>
      <c r="AD214" s="9">
        <f t="shared" si="85"/>
        <v>11938605</v>
      </c>
      <c r="AE214" s="38">
        <f t="shared" si="87"/>
        <v>354338.565714286</v>
      </c>
      <c r="AF214" s="38">
        <f t="shared" si="87"/>
        <v>161034</v>
      </c>
      <c r="AG214" s="38">
        <f t="shared" si="86"/>
        <v>30963.4342857137</v>
      </c>
    </row>
    <row r="215" ht="15" customHeight="1" spans="1:33">
      <c r="A215" s="106">
        <v>42580</v>
      </c>
      <c r="B215" s="21" t="s">
        <v>37</v>
      </c>
      <c r="C215" s="74">
        <v>81268</v>
      </c>
      <c r="D215" s="75">
        <f>36736+10755</f>
        <v>47491</v>
      </c>
      <c r="E215" s="75">
        <v>130151</v>
      </c>
      <c r="F215" s="111">
        <v>6419.2</v>
      </c>
      <c r="G215" s="75">
        <v>4309.5</v>
      </c>
      <c r="H215" s="25"/>
      <c r="I215" s="25"/>
      <c r="J215" s="74">
        <f t="shared" si="81"/>
        <v>82660</v>
      </c>
      <c r="K215" s="75">
        <f t="shared" si="82"/>
        <v>335.698095238102</v>
      </c>
      <c r="L215" s="75">
        <v>746</v>
      </c>
      <c r="M215" s="75">
        <f t="shared" si="83"/>
        <v>310.301904761898</v>
      </c>
      <c r="N215" s="78">
        <f t="shared" si="78"/>
        <v>1978086</v>
      </c>
      <c r="O215" s="79">
        <f t="shared" si="79"/>
        <v>1232771</v>
      </c>
      <c r="P215" s="79">
        <f t="shared" si="80"/>
        <v>3275394</v>
      </c>
      <c r="Q215" s="80">
        <f t="shared" si="88"/>
        <v>11473537</v>
      </c>
      <c r="R215" s="80">
        <f t="shared" si="88"/>
        <v>5873571</v>
      </c>
      <c r="S215" s="80">
        <f t="shared" si="88"/>
        <v>17894836</v>
      </c>
      <c r="T215" s="84">
        <f>N215/'2015'!M215-1</f>
        <v>0.36213994036593</v>
      </c>
      <c r="U215" s="84">
        <f>O215/'2015'!N215-1</f>
        <v>0.135638687425785</v>
      </c>
      <c r="V215" s="84">
        <f>P215/'2015'!O215-1</f>
        <v>0.257089805287739</v>
      </c>
      <c r="W215" s="85">
        <f>Q215/'2015'!P215-1</f>
        <v>0.0206008872309706</v>
      </c>
      <c r="X215" s="85">
        <f>R215/'2015'!Q215-1</f>
        <v>0.0825029207044634</v>
      </c>
      <c r="Y215" s="85">
        <f>S215/'2015'!R215-1</f>
        <v>0.0507644550284545</v>
      </c>
      <c r="Z215" s="101">
        <f>Z$206+0.71*9</f>
        <v>100.1565</v>
      </c>
      <c r="AA215" s="101">
        <f t="shared" si="84"/>
        <v>1047.1972</v>
      </c>
      <c r="AB215" s="110"/>
      <c r="AC215" s="109"/>
      <c r="AD215" s="74">
        <f t="shared" si="85"/>
        <v>12021265</v>
      </c>
      <c r="AE215" s="75">
        <f t="shared" si="87"/>
        <v>354674.263809524</v>
      </c>
      <c r="AF215" s="75">
        <f t="shared" si="87"/>
        <v>161780</v>
      </c>
      <c r="AG215" s="75">
        <f t="shared" si="86"/>
        <v>31273.7361904756</v>
      </c>
    </row>
    <row r="216" ht="15" customHeight="1" spans="1:33">
      <c r="A216" s="106">
        <v>42581</v>
      </c>
      <c r="B216" s="21" t="s">
        <v>38</v>
      </c>
      <c r="C216" s="9">
        <v>77715</v>
      </c>
      <c r="D216" s="38">
        <f>36471+10851</f>
        <v>47322</v>
      </c>
      <c r="E216" s="38">
        <v>126460</v>
      </c>
      <c r="F216" s="59">
        <v>6155.6</v>
      </c>
      <c r="G216" s="38">
        <v>4278.2</v>
      </c>
      <c r="H216" s="25"/>
      <c r="I216" s="37"/>
      <c r="J216" s="9">
        <f t="shared" si="81"/>
        <v>79138</v>
      </c>
      <c r="K216" s="38">
        <f t="shared" si="82"/>
        <v>369.698095238102</v>
      </c>
      <c r="L216" s="38">
        <v>743</v>
      </c>
      <c r="M216" s="38">
        <f t="shared" si="83"/>
        <v>310.301904761898</v>
      </c>
      <c r="N216" s="78">
        <f t="shared" si="78"/>
        <v>2055801</v>
      </c>
      <c r="O216" s="79">
        <f t="shared" si="79"/>
        <v>1280093</v>
      </c>
      <c r="P216" s="79">
        <f t="shared" si="80"/>
        <v>3401854</v>
      </c>
      <c r="Q216" s="80">
        <f t="shared" si="88"/>
        <v>11551252</v>
      </c>
      <c r="R216" s="80">
        <f t="shared" si="88"/>
        <v>5920893</v>
      </c>
      <c r="S216" s="80">
        <f t="shared" si="88"/>
        <v>18021296</v>
      </c>
      <c r="T216" s="84">
        <f>N216/'2015'!M216-1</f>
        <v>0.354006098886262</v>
      </c>
      <c r="U216" s="84">
        <f>O216/'2015'!N216-1</f>
        <v>0.137851341633711</v>
      </c>
      <c r="V216" s="84">
        <f>P216/'2015'!O216-1</f>
        <v>0.254125390640697</v>
      </c>
      <c r="W216" s="85">
        <f>Q216/'2015'!P216-1</f>
        <v>0.021505805194046</v>
      </c>
      <c r="X216" s="85">
        <f>R216/'2015'!Q216-1</f>
        <v>0.0833421921013944</v>
      </c>
      <c r="Y216" s="85">
        <f>S216/'2015'!R216-1</f>
        <v>0.051583400321731</v>
      </c>
      <c r="Z216" s="54">
        <f>Z$206+0.71*10</f>
        <v>100.8665</v>
      </c>
      <c r="AA216" s="101">
        <f t="shared" si="84"/>
        <v>1054.2587</v>
      </c>
      <c r="AB216" s="109"/>
      <c r="AC216" s="109"/>
      <c r="AD216" s="9">
        <f t="shared" si="85"/>
        <v>12100403</v>
      </c>
      <c r="AE216" s="38">
        <f t="shared" si="87"/>
        <v>355043.961904763</v>
      </c>
      <c r="AF216" s="38">
        <f t="shared" si="87"/>
        <v>162523</v>
      </c>
      <c r="AG216" s="38">
        <f t="shared" si="86"/>
        <v>31584.0380952375</v>
      </c>
    </row>
    <row r="217" s="105" customFormat="1" ht="15" customHeight="1" spans="1:33">
      <c r="A217" s="112">
        <v>42582</v>
      </c>
      <c r="B217" s="26" t="s">
        <v>1</v>
      </c>
      <c r="C217" s="43">
        <v>71139</v>
      </c>
      <c r="D217" s="44">
        <f>34333+10622</f>
        <v>44955</v>
      </c>
      <c r="E217" s="44">
        <v>117289</v>
      </c>
      <c r="F217" s="61">
        <v>5509.5</v>
      </c>
      <c r="G217" s="44">
        <v>4108.4</v>
      </c>
      <c r="H217" s="31"/>
      <c r="I217" s="31"/>
      <c r="J217" s="43">
        <f t="shared" si="81"/>
        <v>72334</v>
      </c>
      <c r="K217" s="44">
        <f t="shared" si="82"/>
        <v>137.698095238102</v>
      </c>
      <c r="L217" s="44">
        <v>747</v>
      </c>
      <c r="M217" s="44">
        <f t="shared" si="83"/>
        <v>310.301904761898</v>
      </c>
      <c r="N217" s="91">
        <f t="shared" si="78"/>
        <v>2126940</v>
      </c>
      <c r="O217" s="92">
        <f t="shared" si="79"/>
        <v>1325048</v>
      </c>
      <c r="P217" s="92">
        <f>3518459.18</f>
        <v>3518459.18</v>
      </c>
      <c r="Q217" s="91">
        <f t="shared" si="88"/>
        <v>11622391</v>
      </c>
      <c r="R217" s="91">
        <f t="shared" si="88"/>
        <v>5965848</v>
      </c>
      <c r="S217" s="91">
        <v>18137901.34</v>
      </c>
      <c r="T217" s="93">
        <f>N217/'2015'!M217-1</f>
        <v>0.340369579369196</v>
      </c>
      <c r="U217" s="93">
        <f>O217/'2015'!N217-1</f>
        <v>0.137688849507678</v>
      </c>
      <c r="V217" s="93">
        <f>P217/'2015'!O217-1</f>
        <v>0.246778635313461</v>
      </c>
      <c r="W217" s="93">
        <f>Q217/'2015'!P217-1</f>
        <v>0.0216063978431487</v>
      </c>
      <c r="X217" s="93">
        <f>R217/'2015'!Q217-1</f>
        <v>0.0837006613903184</v>
      </c>
      <c r="Y217" s="93">
        <f>S217/'2015'!R217-1</f>
        <v>0.0516673285283853</v>
      </c>
      <c r="Z217" s="56">
        <v>101.583816</v>
      </c>
      <c r="AA217" s="56">
        <f t="shared" si="84"/>
        <v>1060.655284</v>
      </c>
      <c r="AB217" s="44">
        <v>4234</v>
      </c>
      <c r="AC217" s="44">
        <f t="shared" si="89"/>
        <v>2505.09042040624</v>
      </c>
      <c r="AD217" s="43">
        <f t="shared" si="85"/>
        <v>12172053.34</v>
      </c>
      <c r="AE217" s="44">
        <v>354497</v>
      </c>
      <c r="AF217" s="44">
        <v>163271</v>
      </c>
      <c r="AG217" s="44">
        <f t="shared" si="86"/>
        <v>31894.3399999999</v>
      </c>
    </row>
    <row r="218" ht="15" customHeight="1" spans="1:33">
      <c r="A218" s="106">
        <v>42583</v>
      </c>
      <c r="B218" s="21" t="s">
        <v>39</v>
      </c>
      <c r="C218" s="9">
        <v>73365</v>
      </c>
      <c r="D218" s="38">
        <f>34785+10703</f>
        <v>45488</v>
      </c>
      <c r="E218" s="38">
        <v>120238</v>
      </c>
      <c r="F218" s="59">
        <v>5853.7</v>
      </c>
      <c r="G218" s="38">
        <v>3890.6</v>
      </c>
      <c r="H218" s="25"/>
      <c r="I218" s="37"/>
      <c r="J218" s="9">
        <f t="shared" si="81"/>
        <v>74750</v>
      </c>
      <c r="K218" s="38">
        <v>323</v>
      </c>
      <c r="L218" s="38">
        <v>747</v>
      </c>
      <c r="M218" s="38">
        <f>(AG$248-AG$217)/31</f>
        <v>624.903225806452</v>
      </c>
      <c r="N218" s="78">
        <f>C218</f>
        <v>73365</v>
      </c>
      <c r="O218" s="79">
        <f>D218</f>
        <v>45488</v>
      </c>
      <c r="P218" s="79">
        <f>E218</f>
        <v>120238</v>
      </c>
      <c r="Q218" s="80">
        <f>Q$217+N218</f>
        <v>11695756</v>
      </c>
      <c r="R218" s="80">
        <f>R$217+O218</f>
        <v>6011336</v>
      </c>
      <c r="S218" s="80">
        <f>S$217+P218</f>
        <v>18258139.34</v>
      </c>
      <c r="T218" s="84">
        <f>N218/'2015'!M218-1</f>
        <v>0.105310734463277</v>
      </c>
      <c r="U218" s="84">
        <f>O218/'2015'!N218-1</f>
        <v>0.179025945413545</v>
      </c>
      <c r="V218" s="84">
        <f>P218/'2015'!O218-1</f>
        <v>0.128486691444232</v>
      </c>
      <c r="W218" s="85">
        <f>Q218/'2015'!P218-1</f>
        <v>0.022091925698589</v>
      </c>
      <c r="X218" s="85">
        <f>R218/'2015'!Q218-1</f>
        <v>0.0843640770315448</v>
      </c>
      <c r="Y218" s="85">
        <f>S218/'2015'!R218-1</f>
        <v>0.0521389923895399</v>
      </c>
      <c r="Z218" s="54">
        <f>Z$217+0.449*1</f>
        <v>102.032816</v>
      </c>
      <c r="AA218" s="101">
        <f t="shared" si="84"/>
        <v>1067.542784</v>
      </c>
      <c r="AB218" s="109"/>
      <c r="AC218" s="109"/>
      <c r="AD218" s="9">
        <f t="shared" si="85"/>
        <v>12246803.34</v>
      </c>
      <c r="AE218" s="38">
        <f t="shared" si="87"/>
        <v>354820</v>
      </c>
      <c r="AF218" s="38">
        <f t="shared" si="87"/>
        <v>164018</v>
      </c>
      <c r="AG218" s="38">
        <f t="shared" si="86"/>
        <v>32209.3399999999</v>
      </c>
    </row>
    <row r="219" ht="15" customHeight="1" spans="1:33">
      <c r="A219" s="106">
        <v>42584</v>
      </c>
      <c r="B219" s="21" t="s">
        <v>34</v>
      </c>
      <c r="C219" s="9">
        <v>76756</v>
      </c>
      <c r="D219" s="38">
        <f>34093+10617</f>
        <v>44710</v>
      </c>
      <c r="E219" s="38">
        <v>122845</v>
      </c>
      <c r="F219" s="59">
        <v>6014.3</v>
      </c>
      <c r="G219" s="38">
        <v>4061.7</v>
      </c>
      <c r="H219" s="25"/>
      <c r="I219" s="37"/>
      <c r="J219" s="9">
        <f t="shared" si="81"/>
        <v>78135</v>
      </c>
      <c r="K219" s="38">
        <v>358</v>
      </c>
      <c r="L219" s="38">
        <v>747</v>
      </c>
      <c r="M219" s="38">
        <f t="shared" ref="M219:M248" si="90">(AG$248-AG$217)/31</f>
        <v>624.903225806452</v>
      </c>
      <c r="N219" s="78">
        <f t="shared" ref="N219:N248" si="91">N218+C219</f>
        <v>150121</v>
      </c>
      <c r="O219" s="79">
        <f t="shared" ref="O219:O248" si="92">O218+D219</f>
        <v>90198</v>
      </c>
      <c r="P219" s="79">
        <f t="shared" ref="P219:P248" si="93">P218+E219</f>
        <v>243083</v>
      </c>
      <c r="Q219" s="80">
        <f t="shared" ref="Q219:S248" si="94">Q$217+N219</f>
        <v>11772512</v>
      </c>
      <c r="R219" s="80">
        <f t="shared" si="94"/>
        <v>6056046</v>
      </c>
      <c r="S219" s="80">
        <f t="shared" si="94"/>
        <v>18380984.34</v>
      </c>
      <c r="T219" s="84">
        <f>N219/'2015'!M219-1</f>
        <v>0.146241830065359</v>
      </c>
      <c r="U219" s="84">
        <f>O219/'2015'!N219-1</f>
        <v>0.166192594124948</v>
      </c>
      <c r="V219" s="84">
        <f>P219/'2015'!O219-1</f>
        <v>0.151877440388188</v>
      </c>
      <c r="W219" s="85">
        <f>Q219/'2015'!P219-1</f>
        <v>0.0230248796616344</v>
      </c>
      <c r="X219" s="85">
        <f>R219/'2015'!Q219-1</f>
        <v>0.0848435820059208</v>
      </c>
      <c r="Y219" s="85">
        <f>S219/'2015'!R219-1</f>
        <v>0.0528786779255643</v>
      </c>
      <c r="Z219" s="54">
        <f>Z$217+0.449*2</f>
        <v>102.481816</v>
      </c>
      <c r="AA219" s="101">
        <f t="shared" si="84"/>
        <v>1074.769384</v>
      </c>
      <c r="AB219" s="109"/>
      <c r="AC219" s="109"/>
      <c r="AD219" s="9">
        <f t="shared" si="85"/>
        <v>12324938.34</v>
      </c>
      <c r="AE219" s="38">
        <f t="shared" si="87"/>
        <v>355178</v>
      </c>
      <c r="AF219" s="38">
        <f t="shared" si="87"/>
        <v>164765</v>
      </c>
      <c r="AG219" s="38">
        <f t="shared" si="86"/>
        <v>32483.3399999999</v>
      </c>
    </row>
    <row r="220" ht="15" customHeight="1" spans="1:33">
      <c r="A220" s="106">
        <v>42585</v>
      </c>
      <c r="B220" s="15" t="s">
        <v>35</v>
      </c>
      <c r="C220" s="33">
        <v>72355</v>
      </c>
      <c r="D220" s="34">
        <f>30915+10636</f>
        <v>41551</v>
      </c>
      <c r="E220" s="34">
        <v>115098</v>
      </c>
      <c r="F220" s="63">
        <v>5753.4</v>
      </c>
      <c r="G220" s="34">
        <v>3834.4</v>
      </c>
      <c r="H220" s="20"/>
      <c r="I220" s="20"/>
      <c r="J220" s="33">
        <f t="shared" si="81"/>
        <v>73547</v>
      </c>
      <c r="K220" s="34">
        <v>231</v>
      </c>
      <c r="L220" s="34">
        <v>754</v>
      </c>
      <c r="M220" s="34">
        <v>382</v>
      </c>
      <c r="N220" s="81">
        <f t="shared" si="91"/>
        <v>222476</v>
      </c>
      <c r="O220" s="82">
        <f t="shared" si="92"/>
        <v>131749</v>
      </c>
      <c r="P220" s="82">
        <f t="shared" si="93"/>
        <v>358181</v>
      </c>
      <c r="Q220" s="81">
        <f t="shared" si="94"/>
        <v>11844867</v>
      </c>
      <c r="R220" s="81">
        <f t="shared" si="94"/>
        <v>6097597</v>
      </c>
      <c r="S220" s="81">
        <f t="shared" si="94"/>
        <v>18496082.34</v>
      </c>
      <c r="T220" s="86">
        <f>N220/'2015'!M220-1</f>
        <v>0.0767711771709565</v>
      </c>
      <c r="U220" s="86">
        <f>O220/'2015'!N220-1</f>
        <v>0.135698707836596</v>
      </c>
      <c r="V220" s="86">
        <f>P220/'2015'!O220-1</f>
        <v>0.0955658123736378</v>
      </c>
      <c r="W220" s="86">
        <f>Q220/'2015'!P220-1</f>
        <v>0.0225903934302081</v>
      </c>
      <c r="X220" s="86">
        <f>R220/'2015'!Q220-1</f>
        <v>0.0847737897915293</v>
      </c>
      <c r="Y220" s="86">
        <f>S220/'2015'!R220-1</f>
        <v>0.0524840036914165</v>
      </c>
      <c r="Z220" s="53">
        <f>Z$217+0.449*3</f>
        <v>102.930816</v>
      </c>
      <c r="AA220" s="53">
        <f t="shared" si="84"/>
        <v>1081.555884</v>
      </c>
      <c r="AB220" s="34">
        <v>4233.1</v>
      </c>
      <c r="AC220" s="34">
        <f t="shared" si="89"/>
        <v>2554.99724551747</v>
      </c>
      <c r="AD220" s="33">
        <f t="shared" si="85"/>
        <v>12398485.34</v>
      </c>
      <c r="AE220" s="34">
        <f t="shared" si="87"/>
        <v>355409</v>
      </c>
      <c r="AF220" s="34">
        <f t="shared" si="87"/>
        <v>165519</v>
      </c>
      <c r="AG220" s="34">
        <f t="shared" si="86"/>
        <v>32690.3399999999</v>
      </c>
    </row>
    <row r="221" ht="15" customHeight="1" spans="1:33">
      <c r="A221" s="106">
        <v>42586</v>
      </c>
      <c r="B221" s="21" t="s">
        <v>36</v>
      </c>
      <c r="C221" s="9">
        <v>71610</v>
      </c>
      <c r="D221" s="38">
        <f>32489+10707</f>
        <v>43196</v>
      </c>
      <c r="E221" s="38">
        <v>115965</v>
      </c>
      <c r="F221" s="59">
        <v>5788.4</v>
      </c>
      <c r="G221" s="38">
        <v>3713.3</v>
      </c>
      <c r="H221" s="25"/>
      <c r="I221" s="37"/>
      <c r="J221" s="9">
        <f t="shared" si="81"/>
        <v>72769</v>
      </c>
      <c r="K221" s="38">
        <v>144</v>
      </c>
      <c r="L221" s="38">
        <v>747</v>
      </c>
      <c r="M221" s="38">
        <v>125</v>
      </c>
      <c r="N221" s="78">
        <f t="shared" si="91"/>
        <v>294086</v>
      </c>
      <c r="O221" s="79">
        <f t="shared" si="92"/>
        <v>174945</v>
      </c>
      <c r="P221" s="79">
        <f t="shared" si="93"/>
        <v>474146</v>
      </c>
      <c r="Q221" s="80">
        <f t="shared" si="94"/>
        <v>11916477</v>
      </c>
      <c r="R221" s="80">
        <f t="shared" si="94"/>
        <v>6140793</v>
      </c>
      <c r="S221" s="80">
        <f t="shared" si="94"/>
        <v>18612047.34</v>
      </c>
      <c r="T221" s="84">
        <f>N221/'2015'!M221-1</f>
        <v>0.0456725726334353</v>
      </c>
      <c r="U221" s="84">
        <f>O221/'2015'!N221-1</f>
        <v>0.122485643707292</v>
      </c>
      <c r="V221" s="84">
        <f>P221/'2015'!O221-1</f>
        <v>0.0692088261492148</v>
      </c>
      <c r="W221" s="85">
        <f>Q221/'2015'!P221-1</f>
        <v>0.0221869859943857</v>
      </c>
      <c r="X221" s="85">
        <f>R221/'2015'!Q221-1</f>
        <v>0.0847684786496907</v>
      </c>
      <c r="Y221" s="85">
        <f>S221/'2015'!R221-1</f>
        <v>0.0521070543903821</v>
      </c>
      <c r="Z221" s="54">
        <f>Z$217+0.449*4</f>
        <v>103.379816</v>
      </c>
      <c r="AA221" s="101">
        <f t="shared" si="84"/>
        <v>1088.267884</v>
      </c>
      <c r="AB221" s="109">
        <v>4234</v>
      </c>
      <c r="AC221" s="109">
        <f t="shared" si="89"/>
        <v>2570.30676428909</v>
      </c>
      <c r="AD221" s="9">
        <f t="shared" si="85"/>
        <v>12471254.34</v>
      </c>
      <c r="AE221" s="38">
        <f t="shared" si="87"/>
        <v>355553</v>
      </c>
      <c r="AF221" s="38">
        <f t="shared" si="87"/>
        <v>166266</v>
      </c>
      <c r="AG221" s="38">
        <f t="shared" si="86"/>
        <v>32958.3399999999</v>
      </c>
    </row>
    <row r="222" ht="15" customHeight="1" spans="1:33">
      <c r="A222" s="106">
        <v>42587</v>
      </c>
      <c r="B222" s="21" t="s">
        <v>37</v>
      </c>
      <c r="C222" s="74">
        <v>71959</v>
      </c>
      <c r="D222" s="75">
        <f>33958+10607</f>
        <v>44565</v>
      </c>
      <c r="E222" s="75">
        <v>118155</v>
      </c>
      <c r="F222" s="111">
        <v>5836.1</v>
      </c>
      <c r="G222" s="75">
        <v>3814.8</v>
      </c>
      <c r="H222" s="25"/>
      <c r="I222" s="25"/>
      <c r="J222" s="74">
        <f t="shared" si="81"/>
        <v>73590</v>
      </c>
      <c r="K222" s="75">
        <v>632</v>
      </c>
      <c r="L222" s="75">
        <v>752</v>
      </c>
      <c r="M222" s="75">
        <f t="shared" si="90"/>
        <v>624.903225806452</v>
      </c>
      <c r="N222" s="78">
        <f t="shared" si="91"/>
        <v>366045</v>
      </c>
      <c r="O222" s="79">
        <f t="shared" si="92"/>
        <v>219510</v>
      </c>
      <c r="P222" s="79">
        <f t="shared" si="93"/>
        <v>592301</v>
      </c>
      <c r="Q222" s="80">
        <f t="shared" si="94"/>
        <v>11988436</v>
      </c>
      <c r="R222" s="80">
        <f t="shared" si="94"/>
        <v>6185358</v>
      </c>
      <c r="S222" s="80">
        <f t="shared" si="94"/>
        <v>18730202.34</v>
      </c>
      <c r="T222" s="84">
        <f>N222/'2015'!M222-1</f>
        <v>0.0364672703487878</v>
      </c>
      <c r="U222" s="84">
        <f>O222/'2015'!N222-1</f>
        <v>0.116281198511015</v>
      </c>
      <c r="V222" s="84">
        <f>P222/'2015'!O222-1</f>
        <v>0.060247671146562</v>
      </c>
      <c r="W222" s="85">
        <f>Q222/'2015'!P222-1</f>
        <v>0.0220538374645667</v>
      </c>
      <c r="X222" s="85">
        <f>R222/'2015'!Q222-1</f>
        <v>0.0848243177402443</v>
      </c>
      <c r="Y222" s="85">
        <f>S222/'2015'!R222-1</f>
        <v>0.0519365358323736</v>
      </c>
      <c r="Z222" s="101">
        <f>Z$217+0.449*5</f>
        <v>103.828816</v>
      </c>
      <c r="AA222" s="101">
        <f t="shared" si="84"/>
        <v>1095.014784</v>
      </c>
      <c r="AB222" s="110"/>
      <c r="AC222" s="109"/>
      <c r="AD222" s="74">
        <f t="shared" si="85"/>
        <v>12544844.34</v>
      </c>
      <c r="AE222" s="75">
        <f t="shared" si="87"/>
        <v>356185</v>
      </c>
      <c r="AF222" s="75">
        <f t="shared" si="87"/>
        <v>167018</v>
      </c>
      <c r="AG222" s="75">
        <f t="shared" si="86"/>
        <v>33205.3399999999</v>
      </c>
    </row>
    <row r="223" ht="15" customHeight="1" spans="1:33">
      <c r="A223" s="106">
        <v>42588</v>
      </c>
      <c r="B223" s="21" t="s">
        <v>38</v>
      </c>
      <c r="C223" s="9">
        <v>71086</v>
      </c>
      <c r="D223" s="38">
        <f>32902+10476</f>
        <v>43378</v>
      </c>
      <c r="E223" s="38">
        <v>115713</v>
      </c>
      <c r="F223" s="59">
        <v>5661.4</v>
      </c>
      <c r="G223" s="38">
        <v>3945.1</v>
      </c>
      <c r="H223" s="25"/>
      <c r="I223" s="37"/>
      <c r="J223" s="9">
        <f t="shared" si="81"/>
        <v>72335</v>
      </c>
      <c r="K223" s="38">
        <v>292</v>
      </c>
      <c r="L223" s="38">
        <v>750</v>
      </c>
      <c r="M223" s="38">
        <v>400</v>
      </c>
      <c r="N223" s="78">
        <f t="shared" si="91"/>
        <v>437131</v>
      </c>
      <c r="O223" s="79">
        <f t="shared" si="92"/>
        <v>262888</v>
      </c>
      <c r="P223" s="79">
        <f t="shared" si="93"/>
        <v>708014</v>
      </c>
      <c r="Q223" s="80">
        <f t="shared" si="94"/>
        <v>12059522</v>
      </c>
      <c r="R223" s="80">
        <f t="shared" si="94"/>
        <v>6228736</v>
      </c>
      <c r="S223" s="80">
        <f t="shared" si="94"/>
        <v>18845915.34</v>
      </c>
      <c r="T223" s="84">
        <f>N223/'2015'!M223-1</f>
        <v>0.0368480725623583</v>
      </c>
      <c r="U223" s="84">
        <f>O223/'2015'!N223-1</f>
        <v>0.103259569503489</v>
      </c>
      <c r="V223" s="84">
        <f>P223/'2015'!O223-1</f>
        <v>0.0538792558092456</v>
      </c>
      <c r="W223" s="85">
        <f>Q223/'2015'!P223-1</f>
        <v>0.0221510436355439</v>
      </c>
      <c r="X223" s="85">
        <f>R223/'2015'!Q223-1</f>
        <v>0.0845121308058203</v>
      </c>
      <c r="Y223" s="85">
        <f>S223/'2015'!R223-1</f>
        <v>0.0517502595902744</v>
      </c>
      <c r="Z223" s="54">
        <f>Z$217+0.449*6</f>
        <v>104.277816</v>
      </c>
      <c r="AA223" s="101">
        <f t="shared" si="84"/>
        <v>1101.674384</v>
      </c>
      <c r="AB223" s="109"/>
      <c r="AC223" s="109"/>
      <c r="AD223" s="9">
        <f t="shared" si="85"/>
        <v>12617179.34</v>
      </c>
      <c r="AE223" s="38">
        <f t="shared" si="87"/>
        <v>356477</v>
      </c>
      <c r="AF223" s="38">
        <f t="shared" si="87"/>
        <v>167768</v>
      </c>
      <c r="AG223" s="38">
        <f t="shared" si="86"/>
        <v>33412.3399999999</v>
      </c>
    </row>
    <row r="224" ht="15" customHeight="1" spans="1:33">
      <c r="A224" s="106">
        <v>42589</v>
      </c>
      <c r="B224" s="21" t="s">
        <v>1</v>
      </c>
      <c r="C224" s="9">
        <v>66505</v>
      </c>
      <c r="D224" s="38">
        <f>31056+10599</f>
        <v>41655</v>
      </c>
      <c r="E224" s="38">
        <v>110382</v>
      </c>
      <c r="F224" s="59">
        <v>5217.8</v>
      </c>
      <c r="G224" s="38">
        <v>3782.1</v>
      </c>
      <c r="H224" s="25"/>
      <c r="I224" s="37"/>
      <c r="J224" s="9">
        <f t="shared" si="81"/>
        <v>68727</v>
      </c>
      <c r="K224" s="38">
        <v>690</v>
      </c>
      <c r="L224" s="38">
        <v>754</v>
      </c>
      <c r="M224" s="38">
        <v>750</v>
      </c>
      <c r="N224" s="78">
        <f t="shared" si="91"/>
        <v>503636</v>
      </c>
      <c r="O224" s="79">
        <f t="shared" si="92"/>
        <v>304543</v>
      </c>
      <c r="P224" s="79">
        <f t="shared" si="93"/>
        <v>818396</v>
      </c>
      <c r="Q224" s="80">
        <f t="shared" si="94"/>
        <v>12126027</v>
      </c>
      <c r="R224" s="80">
        <f t="shared" si="94"/>
        <v>6270391</v>
      </c>
      <c r="S224" s="80">
        <f t="shared" si="94"/>
        <v>18956297.34</v>
      </c>
      <c r="T224" s="84">
        <f>N224/'2015'!M224-1</f>
        <v>0.0351655714893522</v>
      </c>
      <c r="U224" s="84">
        <f>O224/'2015'!N224-1</f>
        <v>0.0921783101420168</v>
      </c>
      <c r="V224" s="84">
        <f>P224/'2015'!O224-1</f>
        <v>0.0479680793304444</v>
      </c>
      <c r="W224" s="85">
        <f>Q224/'2015'!P224-1</f>
        <v>0.0221624833485921</v>
      </c>
      <c r="X224" s="85">
        <f>R224/'2015'!Q224-1</f>
        <v>0.0841093654638472</v>
      </c>
      <c r="Y224" s="85">
        <f>S224/'2015'!R224-1</f>
        <v>0.0515070823349415</v>
      </c>
      <c r="Z224" s="54">
        <f>Z$217+0.449*7</f>
        <v>104.726816</v>
      </c>
      <c r="AA224" s="101">
        <f t="shared" si="84"/>
        <v>1107.875884</v>
      </c>
      <c r="AB224" s="109"/>
      <c r="AC224" s="109"/>
      <c r="AD224" s="9">
        <f t="shared" si="85"/>
        <v>12685906.34</v>
      </c>
      <c r="AE224" s="38">
        <f t="shared" si="87"/>
        <v>357167</v>
      </c>
      <c r="AF224" s="38">
        <f t="shared" si="87"/>
        <v>168522</v>
      </c>
      <c r="AG224" s="38">
        <f t="shared" si="86"/>
        <v>34190.3399999999</v>
      </c>
    </row>
    <row r="225" ht="15" customHeight="1" spans="1:33">
      <c r="A225" s="106">
        <v>42590</v>
      </c>
      <c r="B225" s="21" t="s">
        <v>39</v>
      </c>
      <c r="C225" s="9">
        <v>72830</v>
      </c>
      <c r="D225" s="38">
        <f>31603+10424</f>
        <v>42027</v>
      </c>
      <c r="E225" s="38">
        <v>116482</v>
      </c>
      <c r="F225" s="59">
        <v>5770.1</v>
      </c>
      <c r="G225" s="38">
        <v>3712.5</v>
      </c>
      <c r="H225" s="25"/>
      <c r="I225" s="37"/>
      <c r="J225" s="9">
        <f t="shared" si="81"/>
        <v>74455</v>
      </c>
      <c r="K225" s="38">
        <v>594</v>
      </c>
      <c r="L225" s="38">
        <v>754</v>
      </c>
      <c r="M225" s="38">
        <f t="shared" si="90"/>
        <v>624.903225806452</v>
      </c>
      <c r="N225" s="78">
        <f t="shared" si="91"/>
        <v>576466</v>
      </c>
      <c r="O225" s="79">
        <f t="shared" si="92"/>
        <v>346570</v>
      </c>
      <c r="P225" s="79">
        <f t="shared" si="93"/>
        <v>934878</v>
      </c>
      <c r="Q225" s="80">
        <f t="shared" si="94"/>
        <v>12198857</v>
      </c>
      <c r="R225" s="80">
        <f t="shared" si="94"/>
        <v>6312418</v>
      </c>
      <c r="S225" s="80">
        <f t="shared" si="94"/>
        <v>19072779.34</v>
      </c>
      <c r="T225" s="84">
        <f>N225/'2015'!M225-1</f>
        <v>0.0591466797973079</v>
      </c>
      <c r="U225" s="84">
        <f>O225/'2015'!N225-1</f>
        <v>0.0979913825877583</v>
      </c>
      <c r="V225" s="84">
        <f>P225/'2015'!O225-1</f>
        <v>0.0625485170683473</v>
      </c>
      <c r="W225" s="85">
        <f>Q225/'2015'!P225-1</f>
        <v>0.0233203851601957</v>
      </c>
      <c r="X225" s="85">
        <f>R225/'2015'!Q225-1</f>
        <v>0.0844756052096738</v>
      </c>
      <c r="Y225" s="85">
        <f>S225/'2015'!R225-1</f>
        <v>0.0521954878590363</v>
      </c>
      <c r="Z225" s="54">
        <f>Z$217+0.449*8</f>
        <v>105.175816</v>
      </c>
      <c r="AA225" s="101">
        <f t="shared" si="84"/>
        <v>1114.709884</v>
      </c>
      <c r="AB225" s="109"/>
      <c r="AC225" s="109"/>
      <c r="AD225" s="9">
        <f t="shared" si="85"/>
        <v>12760361.34</v>
      </c>
      <c r="AE225" s="38">
        <f t="shared" si="87"/>
        <v>357761</v>
      </c>
      <c r="AF225" s="38">
        <f t="shared" si="87"/>
        <v>169276</v>
      </c>
      <c r="AG225" s="38">
        <f t="shared" si="86"/>
        <v>34467.3399999999</v>
      </c>
    </row>
    <row r="226" ht="15" customHeight="1" spans="1:33">
      <c r="A226" s="106">
        <v>42591</v>
      </c>
      <c r="B226" s="21" t="s">
        <v>34</v>
      </c>
      <c r="C226" s="9">
        <v>67660</v>
      </c>
      <c r="D226" s="38">
        <f>32663+10696</f>
        <v>43359</v>
      </c>
      <c r="E226" s="38">
        <v>112798</v>
      </c>
      <c r="F226" s="59">
        <v>5473.3</v>
      </c>
      <c r="G226" s="38">
        <v>3819.8</v>
      </c>
      <c r="H226" s="25"/>
      <c r="I226" s="37"/>
      <c r="J226" s="9">
        <f t="shared" si="81"/>
        <v>69439</v>
      </c>
      <c r="K226" s="38">
        <v>285</v>
      </c>
      <c r="L226" s="38">
        <v>753</v>
      </c>
      <c r="M226" s="38">
        <f t="shared" si="90"/>
        <v>624.903225806452</v>
      </c>
      <c r="N226" s="78">
        <f t="shared" si="91"/>
        <v>644126</v>
      </c>
      <c r="O226" s="79">
        <f t="shared" si="92"/>
        <v>389929</v>
      </c>
      <c r="P226" s="79">
        <f t="shared" si="93"/>
        <v>1047676</v>
      </c>
      <c r="Q226" s="80">
        <f t="shared" si="94"/>
        <v>12266517</v>
      </c>
      <c r="R226" s="80">
        <f t="shared" si="94"/>
        <v>6355777</v>
      </c>
      <c r="S226" s="80">
        <f t="shared" si="94"/>
        <v>19185577.34</v>
      </c>
      <c r="T226" s="84">
        <f>N226/'2015'!M226-1</f>
        <v>0.0952772856040021</v>
      </c>
      <c r="U226" s="84">
        <f>O226/'2015'!N226-1</f>
        <v>0.107170947087468</v>
      </c>
      <c r="V226" s="84">
        <f>P226/'2015'!O226-1</f>
        <v>0.0866114619029048</v>
      </c>
      <c r="W226" s="85">
        <f>Q226/'2015'!P226-1</f>
        <v>0.0252275071673471</v>
      </c>
      <c r="X226" s="85">
        <f>R226/'2015'!Q226-1</f>
        <v>0.0851118826139547</v>
      </c>
      <c r="Y226" s="85">
        <f>S226/'2015'!R226-1</f>
        <v>0.0535174227099233</v>
      </c>
      <c r="Z226" s="54">
        <f>Z$217+0.449*9</f>
        <v>105.624816</v>
      </c>
      <c r="AA226" s="101">
        <f t="shared" si="84"/>
        <v>1121.026884</v>
      </c>
      <c r="AB226" s="109"/>
      <c r="AC226" s="109"/>
      <c r="AD226" s="9">
        <f t="shared" si="85"/>
        <v>12829800.34</v>
      </c>
      <c r="AE226" s="38">
        <f t="shared" si="87"/>
        <v>358046</v>
      </c>
      <c r="AF226" s="38">
        <f t="shared" si="87"/>
        <v>170029</v>
      </c>
      <c r="AG226" s="38">
        <f t="shared" si="86"/>
        <v>35208.3399999999</v>
      </c>
    </row>
    <row r="227" ht="15" customHeight="1" spans="1:33">
      <c r="A227" s="106">
        <v>42592</v>
      </c>
      <c r="B227" s="15" t="s">
        <v>35</v>
      </c>
      <c r="C227" s="33">
        <v>71180</v>
      </c>
      <c r="D227" s="34">
        <f>33077+10800</f>
        <v>43877</v>
      </c>
      <c r="E227" s="34">
        <v>117045</v>
      </c>
      <c r="F227" s="63">
        <v>5779.7</v>
      </c>
      <c r="G227" s="34">
        <v>3739.7</v>
      </c>
      <c r="H227" s="20"/>
      <c r="I227" s="20"/>
      <c r="J227" s="33">
        <f t="shared" si="81"/>
        <v>73168</v>
      </c>
      <c r="K227" s="34">
        <v>434</v>
      </c>
      <c r="L227" s="34">
        <v>752</v>
      </c>
      <c r="M227" s="34">
        <f t="shared" si="90"/>
        <v>624.903225806452</v>
      </c>
      <c r="N227" s="81">
        <f t="shared" si="91"/>
        <v>715306</v>
      </c>
      <c r="O227" s="82">
        <f t="shared" si="92"/>
        <v>433806</v>
      </c>
      <c r="P227" s="82">
        <f t="shared" si="93"/>
        <v>1164721</v>
      </c>
      <c r="Q227" s="81">
        <f t="shared" si="94"/>
        <v>12337697</v>
      </c>
      <c r="R227" s="81">
        <f t="shared" si="94"/>
        <v>6399654</v>
      </c>
      <c r="S227" s="81">
        <f t="shared" si="94"/>
        <v>19302622.34</v>
      </c>
      <c r="T227" s="86">
        <f>N227/'2015'!M227-1</f>
        <v>0.128337226929065</v>
      </c>
      <c r="U227" s="86">
        <f>O227/'2015'!N227-1</f>
        <v>0.114583681261225</v>
      </c>
      <c r="V227" s="86">
        <f>P227/'2015'!O227-1</f>
        <v>0.107900126226235</v>
      </c>
      <c r="W227" s="86">
        <f>Q227/'2015'!P227-1</f>
        <v>0.0272399280264961</v>
      </c>
      <c r="X227" s="86">
        <f>R227/'2015'!Q227-1</f>
        <v>0.0857399183174057</v>
      </c>
      <c r="Y227" s="86">
        <f>S227/'2015'!R227-1</f>
        <v>0.0548980921070896</v>
      </c>
      <c r="Z227" s="53">
        <f>Z$217+0.449*10</f>
        <v>106.073816</v>
      </c>
      <c r="AA227" s="53">
        <f t="shared" si="84"/>
        <v>1127.695884</v>
      </c>
      <c r="AB227" s="34">
        <v>4233.1</v>
      </c>
      <c r="AC227" s="34">
        <f t="shared" si="89"/>
        <v>2663.99537927287</v>
      </c>
      <c r="AD227" s="33">
        <f t="shared" si="85"/>
        <v>12902968.34</v>
      </c>
      <c r="AE227" s="34">
        <f t="shared" si="87"/>
        <v>358480</v>
      </c>
      <c r="AF227" s="34">
        <f t="shared" si="87"/>
        <v>170781</v>
      </c>
      <c r="AG227" s="34">
        <f t="shared" si="86"/>
        <v>36010.3399999999</v>
      </c>
    </row>
    <row r="228" ht="15" customHeight="1" spans="1:33">
      <c r="A228" s="106">
        <v>42593</v>
      </c>
      <c r="B228" s="21" t="s">
        <v>36</v>
      </c>
      <c r="C228" s="9">
        <v>73674</v>
      </c>
      <c r="D228" s="38">
        <f>31840+10770</f>
        <v>42610</v>
      </c>
      <c r="E228" s="38">
        <v>118240</v>
      </c>
      <c r="F228" s="59">
        <v>5782.3</v>
      </c>
      <c r="G228" s="38">
        <v>3864</v>
      </c>
      <c r="H228" s="25"/>
      <c r="I228" s="37"/>
      <c r="J228" s="9">
        <f t="shared" si="81"/>
        <v>75630</v>
      </c>
      <c r="K228" s="38">
        <v>390</v>
      </c>
      <c r="L228" s="38">
        <v>751</v>
      </c>
      <c r="M228" s="38">
        <f t="shared" si="90"/>
        <v>624.903225806452</v>
      </c>
      <c r="N228" s="78">
        <f t="shared" si="91"/>
        <v>788980</v>
      </c>
      <c r="O228" s="79">
        <f t="shared" si="92"/>
        <v>476416</v>
      </c>
      <c r="P228" s="79">
        <f t="shared" si="93"/>
        <v>1282961</v>
      </c>
      <c r="Q228" s="80">
        <f t="shared" si="94"/>
        <v>12411371</v>
      </c>
      <c r="R228" s="80">
        <f t="shared" si="94"/>
        <v>6442264</v>
      </c>
      <c r="S228" s="80">
        <f t="shared" si="94"/>
        <v>19420862.34</v>
      </c>
      <c r="T228" s="84">
        <f>N228/'2015'!M228-1</f>
        <v>0.158943850758327</v>
      </c>
      <c r="U228" s="84">
        <f>O228/'2015'!N228-1</f>
        <v>0.112624973434752</v>
      </c>
      <c r="V228" s="84">
        <f>P228/'2015'!O228-1</f>
        <v>0.12389009194629</v>
      </c>
      <c r="W228" s="85">
        <f>Q228/'2015'!P228-1</f>
        <v>0.029360658499096</v>
      </c>
      <c r="X228" s="85">
        <f>R228/'2015'!Q228-1</f>
        <v>0.0857880683152148</v>
      </c>
      <c r="Y228" s="85">
        <f>S228/'2015'!R228-1</f>
        <v>0.0561508697277258</v>
      </c>
      <c r="Z228" s="54">
        <f>Z$217+0.449*11</f>
        <v>106.522816</v>
      </c>
      <c r="AA228" s="101">
        <f t="shared" si="84"/>
        <v>1134.614284</v>
      </c>
      <c r="AB228" s="109">
        <v>4234</v>
      </c>
      <c r="AC228" s="109">
        <f t="shared" si="89"/>
        <v>2679.76921114785</v>
      </c>
      <c r="AD228" s="9">
        <f t="shared" si="85"/>
        <v>12978598.34</v>
      </c>
      <c r="AE228" s="38">
        <f t="shared" si="87"/>
        <v>358870</v>
      </c>
      <c r="AF228" s="38">
        <f t="shared" si="87"/>
        <v>171532</v>
      </c>
      <c r="AG228" s="38">
        <f t="shared" si="86"/>
        <v>36825.3399999999</v>
      </c>
    </row>
    <row r="229" ht="15" customHeight="1" spans="1:33">
      <c r="A229" s="106">
        <v>42594</v>
      </c>
      <c r="B229" s="21" t="s">
        <v>37</v>
      </c>
      <c r="C229" s="74">
        <v>77234</v>
      </c>
      <c r="D229" s="75">
        <f>31348+10715</f>
        <v>42063</v>
      </c>
      <c r="E229" s="75">
        <v>121398</v>
      </c>
      <c r="F229" s="111">
        <v>5980.2</v>
      </c>
      <c r="G229" s="75">
        <v>3914.5</v>
      </c>
      <c r="H229" s="25"/>
      <c r="I229" s="25"/>
      <c r="J229" s="74">
        <f t="shared" si="81"/>
        <v>79335</v>
      </c>
      <c r="K229" s="75">
        <v>1046</v>
      </c>
      <c r="L229" s="75">
        <v>751</v>
      </c>
      <c r="M229" s="75">
        <v>1045</v>
      </c>
      <c r="N229" s="78">
        <f t="shared" si="91"/>
        <v>866214</v>
      </c>
      <c r="O229" s="79">
        <f t="shared" si="92"/>
        <v>518479</v>
      </c>
      <c r="P229" s="79">
        <f t="shared" si="93"/>
        <v>1404359</v>
      </c>
      <c r="Q229" s="80">
        <f t="shared" si="94"/>
        <v>12488605</v>
      </c>
      <c r="R229" s="80">
        <f t="shared" si="94"/>
        <v>6484327</v>
      </c>
      <c r="S229" s="80">
        <f t="shared" si="94"/>
        <v>19542260.34</v>
      </c>
      <c r="T229" s="84">
        <f>N229/'2015'!M229-1</f>
        <v>0.18590409692987</v>
      </c>
      <c r="U229" s="84">
        <f>O229/'2015'!N229-1</f>
        <v>0.112076546567544</v>
      </c>
      <c r="V229" s="84">
        <f>P229/'2015'!O229-1</f>
        <v>0.138637454514792</v>
      </c>
      <c r="W229" s="85">
        <f>Q229/'2015'!P229-1</f>
        <v>0.0315186021584688</v>
      </c>
      <c r="X229" s="85">
        <f>R229/'2015'!Q229-1</f>
        <v>0.085916189718279</v>
      </c>
      <c r="Y229" s="85">
        <f>S229/'2015'!R229-1</f>
        <v>0.057471720638113</v>
      </c>
      <c r="Z229" s="101">
        <f>Z$217+0.449*12</f>
        <v>106.971816</v>
      </c>
      <c r="AA229" s="101">
        <f t="shared" si="84"/>
        <v>1141.888684</v>
      </c>
      <c r="AB229" s="110"/>
      <c r="AC229" s="109"/>
      <c r="AD229" s="74">
        <f t="shared" si="85"/>
        <v>13057933.34</v>
      </c>
      <c r="AE229" s="75">
        <f t="shared" si="87"/>
        <v>359916</v>
      </c>
      <c r="AF229" s="75">
        <f t="shared" si="87"/>
        <v>172283</v>
      </c>
      <c r="AG229" s="75">
        <f t="shared" si="86"/>
        <v>37129.3399999999</v>
      </c>
    </row>
    <row r="230" ht="15" customHeight="1" spans="1:33">
      <c r="A230" s="106">
        <v>42595</v>
      </c>
      <c r="B230" s="21" t="s">
        <v>38</v>
      </c>
      <c r="C230" s="9">
        <v>76094</v>
      </c>
      <c r="D230" s="38">
        <f>30954+10657</f>
        <v>41611</v>
      </c>
      <c r="E230" s="38">
        <v>119950</v>
      </c>
      <c r="F230" s="59">
        <v>5835.9</v>
      </c>
      <c r="G230" s="38">
        <v>3982.4</v>
      </c>
      <c r="H230" s="25"/>
      <c r="I230" s="37"/>
      <c r="J230" s="9">
        <f t="shared" si="81"/>
        <v>78339</v>
      </c>
      <c r="K230" s="38">
        <v>1184</v>
      </c>
      <c r="L230" s="38">
        <v>750</v>
      </c>
      <c r="M230" s="38">
        <f>625+121</f>
        <v>746</v>
      </c>
      <c r="N230" s="78">
        <f t="shared" si="91"/>
        <v>942308</v>
      </c>
      <c r="O230" s="79">
        <f t="shared" si="92"/>
        <v>560090</v>
      </c>
      <c r="P230" s="79">
        <f t="shared" si="93"/>
        <v>1524309</v>
      </c>
      <c r="Q230" s="80">
        <f t="shared" si="94"/>
        <v>12564699</v>
      </c>
      <c r="R230" s="80">
        <f t="shared" si="94"/>
        <v>6525938</v>
      </c>
      <c r="S230" s="80">
        <f t="shared" si="94"/>
        <v>19662210.34</v>
      </c>
      <c r="T230" s="84">
        <f>N230/'2015'!M230-1</f>
        <v>0.208793858973964</v>
      </c>
      <c r="U230" s="84">
        <f>O230/'2015'!N230-1</f>
        <v>0.109875912032688</v>
      </c>
      <c r="V230" s="84">
        <f>P230/'2015'!O230-1</f>
        <v>0.15017796225857</v>
      </c>
      <c r="W230" s="85">
        <f>Q230/'2015'!P230-1</f>
        <v>0.0336102910400418</v>
      </c>
      <c r="X230" s="85">
        <f>R230/'2015'!Q230-1</f>
        <v>0.0858986254249787</v>
      </c>
      <c r="Y230" s="85">
        <f>S230/'2015'!R230-1</f>
        <v>0.05869692505193</v>
      </c>
      <c r="Z230" s="54">
        <f>Z$217+0.449*13</f>
        <v>107.420816</v>
      </c>
      <c r="AA230" s="101">
        <f t="shared" si="84"/>
        <v>1149.049084</v>
      </c>
      <c r="AB230" s="109"/>
      <c r="AC230" s="109"/>
      <c r="AD230" s="9">
        <f t="shared" si="85"/>
        <v>13136272.34</v>
      </c>
      <c r="AE230" s="38">
        <f t="shared" si="87"/>
        <v>361100</v>
      </c>
      <c r="AF230" s="38">
        <f t="shared" si="87"/>
        <v>173033</v>
      </c>
      <c r="AG230" s="38">
        <f t="shared" si="86"/>
        <v>37440.3399999999</v>
      </c>
    </row>
    <row r="231" ht="15" customHeight="1" spans="1:33">
      <c r="A231" s="106">
        <v>42596</v>
      </c>
      <c r="B231" s="21" t="s">
        <v>1</v>
      </c>
      <c r="C231" s="9">
        <v>69988</v>
      </c>
      <c r="D231" s="38">
        <f>32230+11188</f>
        <v>43418</v>
      </c>
      <c r="E231" s="38">
        <v>115301</v>
      </c>
      <c r="F231" s="59">
        <v>5448</v>
      </c>
      <c r="G231" s="38">
        <v>3912.7</v>
      </c>
      <c r="H231" s="25"/>
      <c r="I231" s="37"/>
      <c r="J231" s="9">
        <f t="shared" si="81"/>
        <v>71883</v>
      </c>
      <c r="K231" s="38">
        <v>361</v>
      </c>
      <c r="L231" s="38">
        <v>752</v>
      </c>
      <c r="M231" s="38">
        <f>625</f>
        <v>625</v>
      </c>
      <c r="N231" s="78">
        <f t="shared" si="91"/>
        <v>1012296</v>
      </c>
      <c r="O231" s="79">
        <f t="shared" si="92"/>
        <v>603508</v>
      </c>
      <c r="P231" s="79">
        <f t="shared" si="93"/>
        <v>1639610</v>
      </c>
      <c r="Q231" s="80">
        <f t="shared" si="94"/>
        <v>12634687</v>
      </c>
      <c r="R231" s="80">
        <f t="shared" si="94"/>
        <v>6569356</v>
      </c>
      <c r="S231" s="80">
        <f t="shared" si="94"/>
        <v>19777511.34</v>
      </c>
      <c r="T231" s="84">
        <f>N231/'2015'!M231-1</f>
        <v>0.224451879322733</v>
      </c>
      <c r="U231" s="84">
        <f>O231/'2015'!N231-1</f>
        <v>0.111003111135657</v>
      </c>
      <c r="V231" s="84">
        <f>P231/'2015'!O231-1</f>
        <v>0.158229944963927</v>
      </c>
      <c r="W231" s="85">
        <f>Q231/'2015'!P231-1</f>
        <v>0.0353485011207608</v>
      </c>
      <c r="X231" s="85">
        <f>R231/'2015'!Q231-1</f>
        <v>0.0861527574781591</v>
      </c>
      <c r="Y231" s="85">
        <f>S231/'2015'!R231-1</f>
        <v>0.0597505157690679</v>
      </c>
      <c r="Z231" s="54">
        <f>Z$217+0.449*14</f>
        <v>107.869816</v>
      </c>
      <c r="AA231" s="101">
        <f t="shared" si="84"/>
        <v>1155.598884</v>
      </c>
      <c r="AB231" s="109"/>
      <c r="AC231" s="109"/>
      <c r="AD231" s="9">
        <f t="shared" si="85"/>
        <v>13208155.34</v>
      </c>
      <c r="AE231" s="38">
        <f t="shared" si="87"/>
        <v>361461</v>
      </c>
      <c r="AF231" s="38">
        <f t="shared" si="87"/>
        <v>173785</v>
      </c>
      <c r="AG231" s="38">
        <f t="shared" si="86"/>
        <v>38222.3399999999</v>
      </c>
    </row>
    <row r="232" ht="15" customHeight="1" spans="1:33">
      <c r="A232" s="106">
        <v>42597</v>
      </c>
      <c r="B232" s="21" t="s">
        <v>39</v>
      </c>
      <c r="C232" s="9">
        <v>75894</v>
      </c>
      <c r="D232" s="38">
        <f>34691+10842</f>
        <v>45533</v>
      </c>
      <c r="E232" s="38">
        <v>123363</v>
      </c>
      <c r="F232" s="59">
        <v>6110.3</v>
      </c>
      <c r="G232" s="38">
        <v>3853</v>
      </c>
      <c r="H232" s="25"/>
      <c r="I232" s="37"/>
      <c r="J232" s="9">
        <f t="shared" si="81"/>
        <v>77830</v>
      </c>
      <c r="K232" s="38">
        <v>388</v>
      </c>
      <c r="L232" s="38">
        <v>750</v>
      </c>
      <c r="M232" s="38">
        <f>625+121</f>
        <v>746</v>
      </c>
      <c r="N232" s="78">
        <f t="shared" si="91"/>
        <v>1088190</v>
      </c>
      <c r="O232" s="79">
        <f t="shared" si="92"/>
        <v>649041</v>
      </c>
      <c r="P232" s="79">
        <f t="shared" si="93"/>
        <v>1762973</v>
      </c>
      <c r="Q232" s="80">
        <f t="shared" si="94"/>
        <v>12710581</v>
      </c>
      <c r="R232" s="80">
        <f t="shared" si="94"/>
        <v>6614889</v>
      </c>
      <c r="S232" s="80">
        <f t="shared" si="94"/>
        <v>19900874.34</v>
      </c>
      <c r="T232" s="84">
        <f>N232/'2015'!M232-1</f>
        <v>0.243451025382312</v>
      </c>
      <c r="U232" s="84">
        <f>O232/'2015'!N232-1</f>
        <v>0.11815517773065</v>
      </c>
      <c r="V232" s="84">
        <f>P232/'2015'!O232-1</f>
        <v>0.170600155905346</v>
      </c>
      <c r="W232" s="85">
        <f>Q232/'2015'!P232-1</f>
        <v>0.0374526974618505</v>
      </c>
      <c r="X232" s="85">
        <f>R232/'2015'!Q232-1</f>
        <v>0.0869870431928081</v>
      </c>
      <c r="Y232" s="85">
        <f>S232/'2015'!R232-1</f>
        <v>0.0612188293329541</v>
      </c>
      <c r="Z232" s="54">
        <f>Z$217+0.449*15</f>
        <v>108.318816</v>
      </c>
      <c r="AA232" s="101">
        <f t="shared" si="84"/>
        <v>1162.739284</v>
      </c>
      <c r="AB232" s="109">
        <v>4234</v>
      </c>
      <c r="AC232" s="109">
        <f t="shared" si="89"/>
        <v>2746.19575814832</v>
      </c>
      <c r="AD232" s="9">
        <f t="shared" si="85"/>
        <v>13285985.34</v>
      </c>
      <c r="AE232" s="38">
        <f t="shared" si="87"/>
        <v>361849</v>
      </c>
      <c r="AF232" s="38">
        <f t="shared" si="87"/>
        <v>174535</v>
      </c>
      <c r="AG232" s="38">
        <f t="shared" si="86"/>
        <v>39020.3399999999</v>
      </c>
    </row>
    <row r="233" ht="15" customHeight="1" spans="1:33">
      <c r="A233" s="106">
        <v>42598</v>
      </c>
      <c r="B233" s="21" t="s">
        <v>34</v>
      </c>
      <c r="C233" s="9">
        <v>77259</v>
      </c>
      <c r="D233" s="38">
        <f>35231+10796</f>
        <v>46027</v>
      </c>
      <c r="E233" s="38">
        <v>124841</v>
      </c>
      <c r="F233" s="59">
        <v>6112.1</v>
      </c>
      <c r="G233" s="38">
        <v>4074</v>
      </c>
      <c r="H233" s="25"/>
      <c r="I233" s="37"/>
      <c r="J233" s="9">
        <f t="shared" si="81"/>
        <v>78814</v>
      </c>
      <c r="K233" s="38">
        <v>506</v>
      </c>
      <c r="L233" s="38">
        <v>751</v>
      </c>
      <c r="M233" s="38">
        <f t="shared" si="90"/>
        <v>624.903225806452</v>
      </c>
      <c r="N233" s="78">
        <f t="shared" si="91"/>
        <v>1165449</v>
      </c>
      <c r="O233" s="79">
        <f t="shared" si="92"/>
        <v>695068</v>
      </c>
      <c r="P233" s="79">
        <f t="shared" si="93"/>
        <v>1887814</v>
      </c>
      <c r="Q233" s="80">
        <f t="shared" si="94"/>
        <v>12787840</v>
      </c>
      <c r="R233" s="80">
        <f t="shared" si="94"/>
        <v>6660916</v>
      </c>
      <c r="S233" s="80">
        <f t="shared" si="94"/>
        <v>20025715.34</v>
      </c>
      <c r="T233" s="84">
        <f>N233/'2015'!M233-1</f>
        <v>0.274426482986673</v>
      </c>
      <c r="U233" s="84">
        <f>O233/'2015'!N233-1</f>
        <v>0.122754307239522</v>
      </c>
      <c r="V233" s="84">
        <f>P233/'2015'!O233-1</f>
        <v>0.18842855128373</v>
      </c>
      <c r="W233" s="85">
        <f>Q233/'2015'!P233-1</f>
        <v>0.0404168944403795</v>
      </c>
      <c r="X233" s="85">
        <f>R233/'2015'!Q233-1</f>
        <v>0.0876484942222129</v>
      </c>
      <c r="Y233" s="85">
        <f>S233/'2015'!R233-1</f>
        <v>0.0632012379308406</v>
      </c>
      <c r="Z233" s="54">
        <f>Z$217+0.449*16</f>
        <v>108.767816</v>
      </c>
      <c r="AA233" s="101">
        <f t="shared" si="84"/>
        <v>1170.016184</v>
      </c>
      <c r="AB233" s="109"/>
      <c r="AC233" s="109"/>
      <c r="AD233" s="9">
        <f t="shared" si="85"/>
        <v>13364799.34</v>
      </c>
      <c r="AE233" s="38">
        <f t="shared" si="87"/>
        <v>362355</v>
      </c>
      <c r="AF233" s="38">
        <f t="shared" si="87"/>
        <v>175286</v>
      </c>
      <c r="AG233" s="38">
        <f t="shared" si="86"/>
        <v>39318.3399999999</v>
      </c>
    </row>
    <row r="234" ht="15" customHeight="1" spans="1:33">
      <c r="A234" s="106">
        <v>42599</v>
      </c>
      <c r="B234" s="15" t="s">
        <v>35</v>
      </c>
      <c r="C234" s="33">
        <v>80227</v>
      </c>
      <c r="D234" s="34">
        <f>28694+11085</f>
        <v>39779</v>
      </c>
      <c r="E234" s="34">
        <v>125672</v>
      </c>
      <c r="F234" s="63">
        <v>6130</v>
      </c>
      <c r="G234" s="34">
        <v>4120</v>
      </c>
      <c r="H234" s="20"/>
      <c r="I234" s="20"/>
      <c r="J234" s="33">
        <f t="shared" si="81"/>
        <v>85893</v>
      </c>
      <c r="K234" s="34">
        <v>582</v>
      </c>
      <c r="L234" s="34">
        <v>751</v>
      </c>
      <c r="M234" s="34">
        <f t="shared" si="90"/>
        <v>624.903225806452</v>
      </c>
      <c r="N234" s="81">
        <f t="shared" si="91"/>
        <v>1245676</v>
      </c>
      <c r="O234" s="82">
        <f t="shared" si="92"/>
        <v>734847</v>
      </c>
      <c r="P234" s="82">
        <f t="shared" si="93"/>
        <v>2013486</v>
      </c>
      <c r="Q234" s="81">
        <f t="shared" si="94"/>
        <v>12868067</v>
      </c>
      <c r="R234" s="81">
        <f t="shared" si="94"/>
        <v>6700695</v>
      </c>
      <c r="S234" s="81">
        <f t="shared" si="94"/>
        <v>20151387.34</v>
      </c>
      <c r="T234" s="86">
        <f>N234/'2015'!M234-1</f>
        <v>0.294993227066368</v>
      </c>
      <c r="U234" s="86">
        <f>O234/'2015'!N234-1</f>
        <v>0.117639722645966</v>
      </c>
      <c r="V234" s="86">
        <f>P234/'2015'!O234-1</f>
        <v>0.199113120598209</v>
      </c>
      <c r="W234" s="86">
        <f>Q234/'2015'!P234-1</f>
        <v>0.0429198003874214</v>
      </c>
      <c r="X234" s="86">
        <f>R234/'2015'!Q234-1</f>
        <v>0.0873216997651467</v>
      </c>
      <c r="Y234" s="86">
        <f>S234/'2015'!R234-1</f>
        <v>0.0647489967611139</v>
      </c>
      <c r="Z234" s="53">
        <f>Z$217+0.449*17</f>
        <v>109.216816</v>
      </c>
      <c r="AA234" s="53">
        <f t="shared" si="84"/>
        <v>1177.589884</v>
      </c>
      <c r="AB234" s="34">
        <v>4233.1</v>
      </c>
      <c r="AC234" s="34">
        <f t="shared" si="89"/>
        <v>2781.86171836243</v>
      </c>
      <c r="AD234" s="33">
        <f t="shared" si="85"/>
        <v>13450692.34</v>
      </c>
      <c r="AE234" s="34">
        <f t="shared" si="87"/>
        <v>362937</v>
      </c>
      <c r="AF234" s="34">
        <f t="shared" si="87"/>
        <v>176037</v>
      </c>
      <c r="AG234" s="34">
        <f t="shared" si="86"/>
        <v>43651.3399999999</v>
      </c>
    </row>
    <row r="235" ht="15" customHeight="1" spans="1:33">
      <c r="A235" s="106">
        <v>42600</v>
      </c>
      <c r="B235" s="21" t="s">
        <v>36</v>
      </c>
      <c r="C235" s="9">
        <v>81472</v>
      </c>
      <c r="D235" s="38">
        <f>32445+10758</f>
        <v>43203</v>
      </c>
      <c r="E235" s="38">
        <v>126586</v>
      </c>
      <c r="F235" s="59">
        <v>6212.4</v>
      </c>
      <c r="G235" s="38">
        <v>4085.3</v>
      </c>
      <c r="H235" s="25"/>
      <c r="I235" s="37"/>
      <c r="J235" s="9">
        <f t="shared" si="81"/>
        <v>83383</v>
      </c>
      <c r="K235" s="38">
        <v>884</v>
      </c>
      <c r="L235" s="38">
        <v>752</v>
      </c>
      <c r="M235" s="38">
        <f t="shared" si="90"/>
        <v>624.903225806452</v>
      </c>
      <c r="N235" s="78">
        <f t="shared" si="91"/>
        <v>1327148</v>
      </c>
      <c r="O235" s="79">
        <f t="shared" si="92"/>
        <v>778050</v>
      </c>
      <c r="P235" s="79">
        <f t="shared" si="93"/>
        <v>2140072</v>
      </c>
      <c r="Q235" s="80">
        <f t="shared" si="94"/>
        <v>12949539</v>
      </c>
      <c r="R235" s="80">
        <f t="shared" si="94"/>
        <v>6743898</v>
      </c>
      <c r="S235" s="80">
        <f t="shared" si="94"/>
        <v>20277973.34</v>
      </c>
      <c r="T235" s="84">
        <f>N235/'2015'!M235-1</f>
        <v>0.313521527671931</v>
      </c>
      <c r="U235" s="84">
        <f>O235/'2015'!N235-1</f>
        <v>0.115207267588111</v>
      </c>
      <c r="V235" s="84">
        <f>P235/'2015'!O235-1</f>
        <v>0.207097040568377</v>
      </c>
      <c r="W235" s="85">
        <f>Q235/'2015'!P235-1</f>
        <v>0.045417204127115</v>
      </c>
      <c r="X235" s="85">
        <f>R235/'2015'!Q235-1</f>
        <v>0.0872444658758229</v>
      </c>
      <c r="Y235" s="85">
        <f>S235/'2015'!R235-1</f>
        <v>0.0661555902552262</v>
      </c>
      <c r="Z235" s="54">
        <f>Z$217+0.449*18</f>
        <v>109.665816</v>
      </c>
      <c r="AA235" s="101">
        <f t="shared" si="84"/>
        <v>1185.288084</v>
      </c>
      <c r="AB235" s="109">
        <v>4234</v>
      </c>
      <c r="AC235" s="109">
        <f t="shared" si="89"/>
        <v>2799.45225318847</v>
      </c>
      <c r="AD235" s="9">
        <f t="shared" si="85"/>
        <v>13534075.34</v>
      </c>
      <c r="AE235" s="38">
        <f t="shared" si="87"/>
        <v>363821</v>
      </c>
      <c r="AF235" s="38">
        <f t="shared" si="87"/>
        <v>176789</v>
      </c>
      <c r="AG235" s="38">
        <f t="shared" si="86"/>
        <v>43926.3399999999</v>
      </c>
    </row>
    <row r="236" ht="15" customHeight="1" spans="1:33">
      <c r="A236" s="106">
        <v>42601</v>
      </c>
      <c r="B236" s="21" t="s">
        <v>37</v>
      </c>
      <c r="C236" s="74">
        <v>84776</v>
      </c>
      <c r="D236" s="75">
        <f>31840+10987</f>
        <v>42827</v>
      </c>
      <c r="E236" s="75">
        <v>129913</v>
      </c>
      <c r="F236" s="111">
        <v>6392.5</v>
      </c>
      <c r="G236" s="75">
        <v>4172.2</v>
      </c>
      <c r="H236" s="25"/>
      <c r="I236" s="25"/>
      <c r="J236" s="74">
        <f t="shared" si="81"/>
        <v>87086</v>
      </c>
      <c r="K236" s="75">
        <v>764</v>
      </c>
      <c r="L236" s="75">
        <v>749</v>
      </c>
      <c r="M236" s="75">
        <f t="shared" si="90"/>
        <v>624.903225806452</v>
      </c>
      <c r="N236" s="78">
        <f t="shared" si="91"/>
        <v>1411924</v>
      </c>
      <c r="O236" s="79">
        <f t="shared" si="92"/>
        <v>820877</v>
      </c>
      <c r="P236" s="79">
        <f t="shared" si="93"/>
        <v>2269985</v>
      </c>
      <c r="Q236" s="80">
        <f t="shared" si="94"/>
        <v>13034315</v>
      </c>
      <c r="R236" s="80">
        <f t="shared" si="94"/>
        <v>6786725</v>
      </c>
      <c r="S236" s="80">
        <f t="shared" si="94"/>
        <v>20407886.34</v>
      </c>
      <c r="T236" s="84">
        <f>N236/'2015'!M236-1</f>
        <v>0.329585433287379</v>
      </c>
      <c r="U236" s="84">
        <f>O236/'2015'!N236-1</f>
        <v>0.111019828111254</v>
      </c>
      <c r="V236" s="84">
        <f>P236/'2015'!O236-1</f>
        <v>0.213691276603139</v>
      </c>
      <c r="W236" s="85">
        <f>Q236/'2015'!P236-1</f>
        <v>0.0478998613338959</v>
      </c>
      <c r="X236" s="85">
        <f>R236/'2015'!Q236-1</f>
        <v>0.0869333687811502</v>
      </c>
      <c r="Y236" s="85">
        <f>S236/'2015'!R236-1</f>
        <v>0.0675188699971543</v>
      </c>
      <c r="Z236" s="101">
        <f>Z$217+0.449*19</f>
        <v>110.114816</v>
      </c>
      <c r="AA236" s="101">
        <f t="shared" si="84"/>
        <v>1193.316684</v>
      </c>
      <c r="AB236" s="110"/>
      <c r="AC236" s="109"/>
      <c r="AD236" s="74">
        <f t="shared" si="85"/>
        <v>13621161.34</v>
      </c>
      <c r="AE236" s="75">
        <f t="shared" si="87"/>
        <v>364585</v>
      </c>
      <c r="AF236" s="75">
        <f t="shared" si="87"/>
        <v>177538</v>
      </c>
      <c r="AG236" s="75">
        <f t="shared" si="86"/>
        <v>44723.3399999999</v>
      </c>
    </row>
    <row r="237" ht="15" customHeight="1" spans="1:33">
      <c r="A237" s="106">
        <v>42602</v>
      </c>
      <c r="B237" s="21" t="s">
        <v>38</v>
      </c>
      <c r="C237" s="9">
        <v>80867</v>
      </c>
      <c r="D237" s="38">
        <f>32326+10861</f>
        <v>43187</v>
      </c>
      <c r="E237" s="38">
        <v>125704</v>
      </c>
      <c r="F237" s="59">
        <v>6236</v>
      </c>
      <c r="G237" s="38">
        <v>4220.4</v>
      </c>
      <c r="H237" s="25"/>
      <c r="I237" s="37"/>
      <c r="J237" s="9">
        <f t="shared" si="81"/>
        <v>82517</v>
      </c>
      <c r="K237" s="38">
        <v>661</v>
      </c>
      <c r="L237" s="38">
        <v>753</v>
      </c>
      <c r="M237" s="38">
        <f t="shared" si="90"/>
        <v>624.903225806452</v>
      </c>
      <c r="N237" s="78">
        <f t="shared" si="91"/>
        <v>1492791</v>
      </c>
      <c r="O237" s="79">
        <f t="shared" si="92"/>
        <v>864064</v>
      </c>
      <c r="P237" s="79">
        <f t="shared" si="93"/>
        <v>2395689</v>
      </c>
      <c r="Q237" s="80">
        <f t="shared" si="94"/>
        <v>13115182</v>
      </c>
      <c r="R237" s="80">
        <f t="shared" si="94"/>
        <v>6829912</v>
      </c>
      <c r="S237" s="80">
        <f t="shared" si="94"/>
        <v>20533590.34</v>
      </c>
      <c r="T237" s="84">
        <f>N237/'2015'!M237-1</f>
        <v>0.338306290023695</v>
      </c>
      <c r="U237" s="84">
        <f>O237/'2015'!N237-1</f>
        <v>0.105813666281452</v>
      </c>
      <c r="V237" s="84">
        <f>P237/'2015'!O237-1</f>
        <v>0.215815468438997</v>
      </c>
      <c r="W237" s="85">
        <f>Q237/'2015'!P237-1</f>
        <v>0.0498850585938204</v>
      </c>
      <c r="X237" s="85">
        <f>R237/'2015'!Q237-1</f>
        <v>0.0864492266147541</v>
      </c>
      <c r="Y237" s="85">
        <f>S237/'2015'!R237-1</f>
        <v>0.0684982408766961</v>
      </c>
      <c r="Z237" s="54">
        <f>Z$217+0.449*20</f>
        <v>110.563816</v>
      </c>
      <c r="AA237" s="101">
        <f t="shared" si="84"/>
        <v>1200.954384</v>
      </c>
      <c r="AB237" s="109"/>
      <c r="AC237" s="109"/>
      <c r="AD237" s="9">
        <f t="shared" si="85"/>
        <v>13703678.34</v>
      </c>
      <c r="AE237" s="38">
        <f t="shared" si="87"/>
        <v>365246</v>
      </c>
      <c r="AF237" s="38">
        <f t="shared" si="87"/>
        <v>178291</v>
      </c>
      <c r="AG237" s="38">
        <f t="shared" si="86"/>
        <v>44959.3399999999</v>
      </c>
    </row>
    <row r="238" ht="15" customHeight="1" spans="1:33">
      <c r="A238" s="106">
        <v>42603</v>
      </c>
      <c r="B238" s="21" t="s">
        <v>1</v>
      </c>
      <c r="C238" s="9">
        <v>76200</v>
      </c>
      <c r="D238" s="38">
        <f>28612+10729</f>
        <v>39341</v>
      </c>
      <c r="E238" s="38">
        <v>116610</v>
      </c>
      <c r="F238" s="59">
        <v>5612.3</v>
      </c>
      <c r="G238" s="38">
        <v>4001</v>
      </c>
      <c r="H238" s="25"/>
      <c r="I238" s="37"/>
      <c r="J238" s="9">
        <f t="shared" si="81"/>
        <v>77269</v>
      </c>
      <c r="K238" s="38">
        <v>120</v>
      </c>
      <c r="L238" s="38">
        <v>750</v>
      </c>
      <c r="M238" s="38">
        <f t="shared" si="90"/>
        <v>624.903225806452</v>
      </c>
      <c r="N238" s="78">
        <f t="shared" si="91"/>
        <v>1568991</v>
      </c>
      <c r="O238" s="79">
        <f t="shared" si="92"/>
        <v>903405</v>
      </c>
      <c r="P238" s="79">
        <f t="shared" si="93"/>
        <v>2512299</v>
      </c>
      <c r="Q238" s="80">
        <f t="shared" si="94"/>
        <v>13191382</v>
      </c>
      <c r="R238" s="80">
        <f t="shared" si="94"/>
        <v>6869253</v>
      </c>
      <c r="S238" s="80">
        <f t="shared" si="94"/>
        <v>20650200.34</v>
      </c>
      <c r="T238" s="84">
        <f>N238/'2015'!M238-1</f>
        <v>0.348646446309123</v>
      </c>
      <c r="U238" s="84">
        <f>O238/'2015'!N238-1</f>
        <v>0.094812093037911</v>
      </c>
      <c r="V238" s="84">
        <f>P238/'2015'!O238-1</f>
        <v>0.216060249775767</v>
      </c>
      <c r="W238" s="85">
        <f>Q238/'2015'!P238-1</f>
        <v>0.0519471902874378</v>
      </c>
      <c r="X238" s="85">
        <f>R238/'2015'!Q238-1</f>
        <v>0.0851490757300002</v>
      </c>
      <c r="Y238" s="85">
        <f>S238/'2015'!R238-1</f>
        <v>0.0692528599518101</v>
      </c>
      <c r="Z238" s="54">
        <f>Z$217+0.449*21</f>
        <v>111.012816</v>
      </c>
      <c r="AA238" s="101">
        <f t="shared" si="84"/>
        <v>1208.125384</v>
      </c>
      <c r="AB238" s="109"/>
      <c r="AC238" s="109"/>
      <c r="AD238" s="9">
        <f t="shared" si="85"/>
        <v>13780947.34</v>
      </c>
      <c r="AE238" s="38">
        <f t="shared" si="87"/>
        <v>365366</v>
      </c>
      <c r="AF238" s="38">
        <f t="shared" si="87"/>
        <v>179041</v>
      </c>
      <c r="AG238" s="38">
        <f t="shared" si="86"/>
        <v>45158.3399999999</v>
      </c>
    </row>
    <row r="239" ht="15" customHeight="1" spans="1:33">
      <c r="A239" s="106">
        <v>42604</v>
      </c>
      <c r="B239" s="21" t="s">
        <v>39</v>
      </c>
      <c r="C239" s="9">
        <v>79544</v>
      </c>
      <c r="D239" s="38">
        <f>29423+10795</f>
        <v>40218</v>
      </c>
      <c r="E239" s="38">
        <v>121266</v>
      </c>
      <c r="F239" s="59">
        <v>6038.2</v>
      </c>
      <c r="G239" s="38">
        <v>3845</v>
      </c>
      <c r="H239" s="25"/>
      <c r="I239" s="37"/>
      <c r="J239" s="9">
        <f t="shared" si="81"/>
        <v>81048</v>
      </c>
      <c r="K239" s="38">
        <v>494</v>
      </c>
      <c r="L239" s="38">
        <v>754</v>
      </c>
      <c r="M239" s="38">
        <f t="shared" si="90"/>
        <v>624.903225806452</v>
      </c>
      <c r="N239" s="78">
        <f t="shared" si="91"/>
        <v>1648535</v>
      </c>
      <c r="O239" s="79">
        <f t="shared" si="92"/>
        <v>943623</v>
      </c>
      <c r="P239" s="79">
        <f t="shared" si="93"/>
        <v>2633565</v>
      </c>
      <c r="Q239" s="80">
        <f t="shared" si="94"/>
        <v>13270926</v>
      </c>
      <c r="R239" s="80">
        <f t="shared" si="94"/>
        <v>6909471</v>
      </c>
      <c r="S239" s="80">
        <f t="shared" si="94"/>
        <v>20771466.34</v>
      </c>
      <c r="T239" s="84">
        <f>N239/'2015'!M239-1</f>
        <v>0.363480345126478</v>
      </c>
      <c r="U239" s="84">
        <f>O239/'2015'!N239-1</f>
        <v>0.0889612075680728</v>
      </c>
      <c r="V239" s="84">
        <f>P239/'2015'!O239-1</f>
        <v>0.221289846873</v>
      </c>
      <c r="W239" s="85">
        <f>Q239/'2015'!P239-1</f>
        <v>0.0544491630466704</v>
      </c>
      <c r="X239" s="85">
        <f>R239/'2015'!Q239-1</f>
        <v>0.0844160929624482</v>
      </c>
      <c r="Y239" s="85">
        <f>S239/'2015'!R239-1</f>
        <v>0.0705183886047573</v>
      </c>
      <c r="Z239" s="54">
        <f>Z$217+0.449*22</f>
        <v>111.461816</v>
      </c>
      <c r="AA239" s="101">
        <f t="shared" si="84"/>
        <v>1215.630784</v>
      </c>
      <c r="AB239" s="109"/>
      <c r="AC239" s="109"/>
      <c r="AD239" s="9">
        <f t="shared" si="85"/>
        <v>13861995.34</v>
      </c>
      <c r="AE239" s="38">
        <f t="shared" si="87"/>
        <v>365860</v>
      </c>
      <c r="AF239" s="38">
        <f t="shared" si="87"/>
        <v>179795</v>
      </c>
      <c r="AG239" s="38">
        <f t="shared" si="86"/>
        <v>45414.3399999999</v>
      </c>
    </row>
    <row r="240" ht="15" customHeight="1" spans="1:33">
      <c r="A240" s="106">
        <v>42605</v>
      </c>
      <c r="B240" s="21" t="s">
        <v>34</v>
      </c>
      <c r="C240" s="9">
        <v>77062</v>
      </c>
      <c r="D240" s="38">
        <f>30265+10756</f>
        <v>41021</v>
      </c>
      <c r="E240" s="38">
        <v>119496</v>
      </c>
      <c r="F240" s="59">
        <v>5877.6</v>
      </c>
      <c r="G240" s="38">
        <v>3906.5</v>
      </c>
      <c r="H240" s="25"/>
      <c r="I240" s="37"/>
      <c r="J240" s="9">
        <f t="shared" si="81"/>
        <v>78475</v>
      </c>
      <c r="K240" s="38">
        <v>385</v>
      </c>
      <c r="L240" s="38">
        <v>753</v>
      </c>
      <c r="M240" s="38">
        <f t="shared" si="90"/>
        <v>624.903225806452</v>
      </c>
      <c r="N240" s="78">
        <f t="shared" si="91"/>
        <v>1725597</v>
      </c>
      <c r="O240" s="79">
        <f t="shared" si="92"/>
        <v>984644</v>
      </c>
      <c r="P240" s="79">
        <f t="shared" si="93"/>
        <v>2753061</v>
      </c>
      <c r="Q240" s="80">
        <f t="shared" si="94"/>
        <v>13347988</v>
      </c>
      <c r="R240" s="80">
        <f t="shared" si="94"/>
        <v>6950492</v>
      </c>
      <c r="S240" s="80">
        <f t="shared" si="94"/>
        <v>20890962.34</v>
      </c>
      <c r="T240" s="84">
        <f>N240/'2015'!M240-1</f>
        <v>0.383621187337631</v>
      </c>
      <c r="U240" s="84">
        <f>O240/'2015'!N240-1</f>
        <v>0.0856615502677647</v>
      </c>
      <c r="V240" s="84">
        <f>P240/'2015'!O240-1</f>
        <v>0.229897781810335</v>
      </c>
      <c r="W240" s="85">
        <f>Q240/'2015'!P240-1</f>
        <v>0.0573715690052017</v>
      </c>
      <c r="X240" s="85">
        <f>R240/'2015'!Q240-1</f>
        <v>0.083978020665241</v>
      </c>
      <c r="Y240" s="85">
        <f>S240/'2015'!R240-1</f>
        <v>0.0721422714984645</v>
      </c>
      <c r="Z240" s="54">
        <f>Z$217+0.449*23</f>
        <v>111.910816</v>
      </c>
      <c r="AA240" s="101">
        <f t="shared" si="84"/>
        <v>1222.887984</v>
      </c>
      <c r="AB240" s="109"/>
      <c r="AC240" s="109"/>
      <c r="AD240" s="9">
        <f t="shared" si="85"/>
        <v>13940470.34</v>
      </c>
      <c r="AE240" s="38">
        <f t="shared" si="87"/>
        <v>366245</v>
      </c>
      <c r="AF240" s="38">
        <f t="shared" si="87"/>
        <v>180548</v>
      </c>
      <c r="AG240" s="38">
        <f t="shared" si="86"/>
        <v>45689.3399999999</v>
      </c>
    </row>
    <row r="241" ht="15" customHeight="1" spans="1:33">
      <c r="A241" s="106">
        <v>42606</v>
      </c>
      <c r="B241" s="15" t="s">
        <v>35</v>
      </c>
      <c r="C241" s="33">
        <v>70225</v>
      </c>
      <c r="D241" s="34">
        <f>29460+10767</f>
        <v>40227</v>
      </c>
      <c r="E241" s="34">
        <v>111938</v>
      </c>
      <c r="F241" s="63">
        <v>5573</v>
      </c>
      <c r="G241" s="34">
        <v>3620</v>
      </c>
      <c r="H241" s="20"/>
      <c r="I241" s="20"/>
      <c r="J241" s="33">
        <f t="shared" si="81"/>
        <v>71711</v>
      </c>
      <c r="K241" s="34">
        <v>434</v>
      </c>
      <c r="L241" s="34">
        <v>751</v>
      </c>
      <c r="M241" s="34">
        <f t="shared" si="90"/>
        <v>624.903225806452</v>
      </c>
      <c r="N241" s="81">
        <f t="shared" si="91"/>
        <v>1795822</v>
      </c>
      <c r="O241" s="82">
        <f t="shared" si="92"/>
        <v>1024871</v>
      </c>
      <c r="P241" s="82">
        <f t="shared" si="93"/>
        <v>2864999</v>
      </c>
      <c r="Q241" s="81">
        <f t="shared" si="94"/>
        <v>13418213</v>
      </c>
      <c r="R241" s="81">
        <f t="shared" si="94"/>
        <v>6990719</v>
      </c>
      <c r="S241" s="81">
        <f t="shared" si="94"/>
        <v>21002900.34</v>
      </c>
      <c r="T241" s="86">
        <f>N241/'2015'!M241-1</f>
        <v>0.3946225603335</v>
      </c>
      <c r="U241" s="86">
        <f>O241/'2015'!N241-1</f>
        <v>0.0798379933768625</v>
      </c>
      <c r="V241" s="86">
        <f>P241/'2015'!O241-1</f>
        <v>0.232863195599731</v>
      </c>
      <c r="W241" s="86">
        <f>Q241/'2015'!P241-1</f>
        <v>0.0595339167073323</v>
      </c>
      <c r="X241" s="86">
        <f>R241/'2015'!Q241-1</f>
        <v>0.0831326490312383</v>
      </c>
      <c r="Y241" s="86">
        <f>S241/'2015'!R241-1</f>
        <v>0.0731828727519348</v>
      </c>
      <c r="Z241" s="53">
        <f>Z$217+0.449*24</f>
        <v>112.359816</v>
      </c>
      <c r="AA241" s="53">
        <f t="shared" si="84"/>
        <v>1229.461484</v>
      </c>
      <c r="AB241" s="34">
        <v>4234</v>
      </c>
      <c r="AC241" s="34">
        <f t="shared" si="89"/>
        <v>2903.78243741143</v>
      </c>
      <c r="AD241" s="33">
        <f t="shared" si="85"/>
        <v>14012181.34</v>
      </c>
      <c r="AE241" s="34">
        <f t="shared" si="87"/>
        <v>366679</v>
      </c>
      <c r="AF241" s="34">
        <f t="shared" si="87"/>
        <v>181299</v>
      </c>
      <c r="AG241" s="34">
        <f t="shared" si="86"/>
        <v>45990.3399999999</v>
      </c>
    </row>
    <row r="242" ht="15" customHeight="1" spans="1:33">
      <c r="A242" s="106">
        <v>42607</v>
      </c>
      <c r="B242" s="21" t="s">
        <v>36</v>
      </c>
      <c r="C242" s="9">
        <v>72361</v>
      </c>
      <c r="D242" s="38">
        <f>25780+10700</f>
        <v>36480</v>
      </c>
      <c r="E242" s="38">
        <v>110638</v>
      </c>
      <c r="F242" s="59">
        <v>5532.5</v>
      </c>
      <c r="G242" s="38">
        <v>3462.2</v>
      </c>
      <c r="H242" s="25"/>
      <c r="I242" s="37"/>
      <c r="J242" s="9">
        <f t="shared" si="81"/>
        <v>74158</v>
      </c>
      <c r="K242" s="38">
        <v>293</v>
      </c>
      <c r="L242" s="38">
        <v>754</v>
      </c>
      <c r="M242" s="38">
        <f t="shared" si="90"/>
        <v>624.903225806452</v>
      </c>
      <c r="N242" s="78">
        <f t="shared" si="91"/>
        <v>1868183</v>
      </c>
      <c r="O242" s="79">
        <f t="shared" si="92"/>
        <v>1061351</v>
      </c>
      <c r="P242" s="79">
        <f t="shared" si="93"/>
        <v>2975637</v>
      </c>
      <c r="Q242" s="80">
        <f t="shared" si="94"/>
        <v>13490574</v>
      </c>
      <c r="R242" s="80">
        <f t="shared" si="94"/>
        <v>7027199</v>
      </c>
      <c r="S242" s="80">
        <f t="shared" si="94"/>
        <v>21113538.34</v>
      </c>
      <c r="T242" s="84">
        <f>N242/'2015'!M242-1</f>
        <v>0.405254293767164</v>
      </c>
      <c r="U242" s="84">
        <f>O242/'2015'!N242-1</f>
        <v>0.0678284473616961</v>
      </c>
      <c r="V242" s="84">
        <f>P242/'2015'!O242-1</f>
        <v>0.233468633493256</v>
      </c>
      <c r="W242" s="85">
        <f>Q242/'2015'!P242-1</f>
        <v>0.0617473886965783</v>
      </c>
      <c r="X242" s="85">
        <f>R242/'2015'!Q242-1</f>
        <v>0.081273222789215</v>
      </c>
      <c r="Y242" s="85">
        <f>S242/'2015'!R242-1</f>
        <v>0.0739764555245048</v>
      </c>
      <c r="Z242" s="54">
        <f>Z$217+0.449*25</f>
        <v>112.808816</v>
      </c>
      <c r="AA242" s="101">
        <f t="shared" si="84"/>
        <v>1236.248584</v>
      </c>
      <c r="AB242" s="109">
        <v>4234</v>
      </c>
      <c r="AC242" s="109">
        <f t="shared" si="89"/>
        <v>2919.81243268777</v>
      </c>
      <c r="AD242" s="9">
        <f t="shared" si="85"/>
        <v>14086339.34</v>
      </c>
      <c r="AE242" s="38">
        <f t="shared" si="87"/>
        <v>366972</v>
      </c>
      <c r="AF242" s="38">
        <f t="shared" si="87"/>
        <v>182053</v>
      </c>
      <c r="AG242" s="38">
        <f t="shared" si="86"/>
        <v>46740.3399999999</v>
      </c>
    </row>
    <row r="243" ht="15" customHeight="1" spans="1:33">
      <c r="A243" s="106">
        <v>42608</v>
      </c>
      <c r="B243" s="21" t="s">
        <v>37</v>
      </c>
      <c r="C243" s="74">
        <v>69077</v>
      </c>
      <c r="D243" s="75">
        <f>25013+10813</f>
        <v>35826</v>
      </c>
      <c r="E243" s="75">
        <v>106210</v>
      </c>
      <c r="F243" s="111">
        <v>5362.7</v>
      </c>
      <c r="G243" s="75">
        <v>3469.7</v>
      </c>
      <c r="H243" s="25"/>
      <c r="I243" s="25"/>
      <c r="J243" s="74">
        <f t="shared" si="81"/>
        <v>70384</v>
      </c>
      <c r="K243" s="75">
        <v>300</v>
      </c>
      <c r="L243" s="75">
        <v>753</v>
      </c>
      <c r="M243" s="75">
        <f t="shared" si="90"/>
        <v>624.903225806452</v>
      </c>
      <c r="N243" s="78">
        <f t="shared" si="91"/>
        <v>1937260</v>
      </c>
      <c r="O243" s="79">
        <f t="shared" si="92"/>
        <v>1097177</v>
      </c>
      <c r="P243" s="79">
        <f t="shared" si="93"/>
        <v>3081847</v>
      </c>
      <c r="Q243" s="80">
        <f t="shared" si="94"/>
        <v>13559651</v>
      </c>
      <c r="R243" s="80">
        <f t="shared" si="94"/>
        <v>7063025</v>
      </c>
      <c r="S243" s="80">
        <f t="shared" si="94"/>
        <v>21219748.34</v>
      </c>
      <c r="T243" s="84">
        <f>N243/'2015'!M243-1</f>
        <v>0.411252371197706</v>
      </c>
      <c r="U243" s="84">
        <f>O243/'2015'!N243-1</f>
        <v>0.0562646993982092</v>
      </c>
      <c r="V243" s="84">
        <f>P243/'2015'!O243-1</f>
        <v>0.23136164513608</v>
      </c>
      <c r="W243" s="85">
        <f>Q243/'2015'!P243-1</f>
        <v>0.0635597634004921</v>
      </c>
      <c r="X243" s="85">
        <f>R243/'2015'!Q243-1</f>
        <v>0.0793456037719962</v>
      </c>
      <c r="Y243" s="85">
        <f>S243/'2015'!R243-1</f>
        <v>0.0744393438632001</v>
      </c>
      <c r="Z243" s="101">
        <f>Z$217+0.449*26</f>
        <v>113.257816</v>
      </c>
      <c r="AA243" s="101">
        <f t="shared" si="84"/>
        <v>1242.707284</v>
      </c>
      <c r="AB243" s="110"/>
      <c r="AC243" s="109"/>
      <c r="AD243" s="74">
        <f t="shared" si="85"/>
        <v>14156723.34</v>
      </c>
      <c r="AE243" s="75">
        <f t="shared" si="87"/>
        <v>367272</v>
      </c>
      <c r="AF243" s="75">
        <f t="shared" si="87"/>
        <v>182806</v>
      </c>
      <c r="AG243" s="75">
        <f t="shared" si="86"/>
        <v>46994.3399999999</v>
      </c>
    </row>
    <row r="244" ht="15" customHeight="1" spans="1:33">
      <c r="A244" s="106">
        <v>42609</v>
      </c>
      <c r="B244" s="21" t="s">
        <v>38</v>
      </c>
      <c r="C244" s="9">
        <v>56092</v>
      </c>
      <c r="D244" s="38">
        <f>23122+10699</f>
        <v>33821</v>
      </c>
      <c r="E244" s="38">
        <v>92245</v>
      </c>
      <c r="F244" s="59">
        <v>4472.1</v>
      </c>
      <c r="G244" s="38">
        <v>3156.2</v>
      </c>
      <c r="H244" s="25"/>
      <c r="I244" s="37"/>
      <c r="J244" s="9">
        <f t="shared" si="81"/>
        <v>58424</v>
      </c>
      <c r="K244" s="38">
        <v>349</v>
      </c>
      <c r="L244" s="38">
        <v>753</v>
      </c>
      <c r="M244" s="38">
        <f t="shared" si="90"/>
        <v>624.903225806452</v>
      </c>
      <c r="N244" s="78">
        <f t="shared" si="91"/>
        <v>1993352</v>
      </c>
      <c r="O244" s="79">
        <f t="shared" si="92"/>
        <v>1130998</v>
      </c>
      <c r="P244" s="79">
        <f t="shared" si="93"/>
        <v>3174092</v>
      </c>
      <c r="Q244" s="80">
        <f t="shared" si="94"/>
        <v>13615743</v>
      </c>
      <c r="R244" s="80">
        <f t="shared" si="94"/>
        <v>7096846</v>
      </c>
      <c r="S244" s="80">
        <f t="shared" si="94"/>
        <v>21311993.34</v>
      </c>
      <c r="T244" s="84">
        <f>N244/'2015'!M244-1</f>
        <v>0.405734071924486</v>
      </c>
      <c r="U244" s="84">
        <f>O244/'2015'!N244-1</f>
        <v>0.0438433438486969</v>
      </c>
      <c r="V244" s="84">
        <f>P244/'2015'!O244-1</f>
        <v>0.223253474744633</v>
      </c>
      <c r="W244" s="85">
        <f>Q244/'2015'!P244-1</f>
        <v>0.064178955510837</v>
      </c>
      <c r="X244" s="85">
        <f>R244/'2015'!Q244-1</f>
        <v>0.0771460973893552</v>
      </c>
      <c r="Y244" s="85">
        <f>S244/'2015'!R244-1</f>
        <v>0.0741065912023224</v>
      </c>
      <c r="Z244" s="54">
        <f>Z$217+0.449*27</f>
        <v>113.706816</v>
      </c>
      <c r="AA244" s="101">
        <f t="shared" si="84"/>
        <v>1247.867484</v>
      </c>
      <c r="AB244" s="109"/>
      <c r="AC244" s="109"/>
      <c r="AD244" s="9">
        <f t="shared" si="85"/>
        <v>14215147.34</v>
      </c>
      <c r="AE244" s="38">
        <f t="shared" si="87"/>
        <v>367621</v>
      </c>
      <c r="AF244" s="38">
        <f t="shared" si="87"/>
        <v>183559</v>
      </c>
      <c r="AG244" s="38">
        <f t="shared" si="86"/>
        <v>48224.3399999999</v>
      </c>
    </row>
    <row r="245" ht="15" customHeight="1" spans="1:33">
      <c r="A245" s="106">
        <v>42610</v>
      </c>
      <c r="B245" s="21" t="s">
        <v>1</v>
      </c>
      <c r="C245" s="9">
        <v>44586</v>
      </c>
      <c r="D245" s="38">
        <f>22431+10764</f>
        <v>33195</v>
      </c>
      <c r="E245" s="38">
        <v>79034</v>
      </c>
      <c r="F245" s="59">
        <v>3754.2</v>
      </c>
      <c r="G245" s="38">
        <v>2747.8</v>
      </c>
      <c r="H245" s="25"/>
      <c r="I245" s="37"/>
      <c r="J245" s="9">
        <f t="shared" si="81"/>
        <v>45839</v>
      </c>
      <c r="K245" s="38">
        <v>150</v>
      </c>
      <c r="L245" s="38">
        <v>755</v>
      </c>
      <c r="M245" s="38">
        <f t="shared" si="90"/>
        <v>624.903225806452</v>
      </c>
      <c r="N245" s="78">
        <f t="shared" si="91"/>
        <v>2037938</v>
      </c>
      <c r="O245" s="79">
        <f t="shared" si="92"/>
        <v>1164193</v>
      </c>
      <c r="P245" s="79">
        <f t="shared" si="93"/>
        <v>3253126</v>
      </c>
      <c r="Q245" s="80">
        <f t="shared" si="94"/>
        <v>13660329</v>
      </c>
      <c r="R245" s="80">
        <f t="shared" si="94"/>
        <v>7130041</v>
      </c>
      <c r="S245" s="80">
        <f t="shared" si="94"/>
        <v>21391027.34</v>
      </c>
      <c r="T245" s="84">
        <f>N245/'2015'!M245-1</f>
        <v>0.392695302756431</v>
      </c>
      <c r="U245" s="84">
        <f>O245/'2015'!N245-1</f>
        <v>0.0319295567781834</v>
      </c>
      <c r="V245" s="84">
        <f>P245/'2015'!O245-1</f>
        <v>0.210565486711833</v>
      </c>
      <c r="W245" s="85">
        <f>Q245/'2015'!P245-1</f>
        <v>0.0638977486487617</v>
      </c>
      <c r="X245" s="85">
        <f>R245/'2015'!Q245-1</f>
        <v>0.0748955148772674</v>
      </c>
      <c r="Y245" s="85">
        <f>S245/'2015'!R245-1</f>
        <v>0.0730881044289822</v>
      </c>
      <c r="Z245" s="54">
        <f>Z$217+0.449*28</f>
        <v>114.155816</v>
      </c>
      <c r="AA245" s="101">
        <f t="shared" si="84"/>
        <v>1251.877084</v>
      </c>
      <c r="AB245" s="109"/>
      <c r="AC245" s="109"/>
      <c r="AD245" s="9">
        <f t="shared" si="85"/>
        <v>14260986.34</v>
      </c>
      <c r="AE245" s="38">
        <f t="shared" si="87"/>
        <v>367771</v>
      </c>
      <c r="AF245" s="38">
        <f t="shared" si="87"/>
        <v>184314</v>
      </c>
      <c r="AG245" s="38">
        <f t="shared" si="86"/>
        <v>48572.3399999999</v>
      </c>
    </row>
    <row r="246" ht="15" customHeight="1" spans="1:33">
      <c r="A246" s="106">
        <v>42611</v>
      </c>
      <c r="B246" s="21" t="s">
        <v>39</v>
      </c>
      <c r="C246" s="9">
        <v>45964</v>
      </c>
      <c r="D246" s="38">
        <f>21929+10832</f>
        <v>32761</v>
      </c>
      <c r="E246" s="38">
        <v>80041</v>
      </c>
      <c r="F246" s="59">
        <v>4103.7</v>
      </c>
      <c r="G246" s="38">
        <v>2483.5</v>
      </c>
      <c r="H246" s="25"/>
      <c r="I246" s="37"/>
      <c r="J246" s="9">
        <f t="shared" si="81"/>
        <v>47280</v>
      </c>
      <c r="K246" s="38">
        <v>207</v>
      </c>
      <c r="L246" s="38">
        <v>759</v>
      </c>
      <c r="M246" s="38">
        <f t="shared" si="90"/>
        <v>624.903225806452</v>
      </c>
      <c r="N246" s="78">
        <f t="shared" si="91"/>
        <v>2083902</v>
      </c>
      <c r="O246" s="79">
        <f t="shared" si="92"/>
        <v>1196954</v>
      </c>
      <c r="P246" s="79">
        <f t="shared" si="93"/>
        <v>3333167</v>
      </c>
      <c r="Q246" s="80">
        <f t="shared" si="94"/>
        <v>13706293</v>
      </c>
      <c r="R246" s="80">
        <f t="shared" si="94"/>
        <v>7162802</v>
      </c>
      <c r="S246" s="80">
        <f t="shared" si="94"/>
        <v>21471068.34</v>
      </c>
      <c r="T246" s="84">
        <f>N246/'2015'!M246-1</f>
        <v>0.381928119116665</v>
      </c>
      <c r="U246" s="84">
        <f>O246/'2015'!N246-1</f>
        <v>0.0220836620863263</v>
      </c>
      <c r="V246" s="84">
        <f>P246/'2015'!O246-1</f>
        <v>0.200543801445119</v>
      </c>
      <c r="W246" s="85">
        <f>Q246/'2015'!P246-1</f>
        <v>0.0637773097409449</v>
      </c>
      <c r="X246" s="85">
        <f>R246/'2015'!Q246-1</f>
        <v>0.0728921796684983</v>
      </c>
      <c r="Y246" s="85">
        <f>S246/'2015'!R246-1</f>
        <v>0.0723102876834885</v>
      </c>
      <c r="Z246" s="54">
        <f>Z$217+0.449*29</f>
        <v>114.604816</v>
      </c>
      <c r="AA246" s="101">
        <f t="shared" si="84"/>
        <v>1256.024484</v>
      </c>
      <c r="AB246" s="109"/>
      <c r="AC246" s="109"/>
      <c r="AD246" s="9">
        <f t="shared" si="85"/>
        <v>14308266.34</v>
      </c>
      <c r="AE246" s="38">
        <f t="shared" si="87"/>
        <v>367978</v>
      </c>
      <c r="AF246" s="38">
        <f t="shared" si="87"/>
        <v>185073</v>
      </c>
      <c r="AG246" s="38">
        <f t="shared" si="86"/>
        <v>48922.3399999999</v>
      </c>
    </row>
    <row r="247" ht="15" customHeight="1" spans="1:33">
      <c r="A247" s="106">
        <v>42612</v>
      </c>
      <c r="B247" s="21" t="s">
        <v>34</v>
      </c>
      <c r="C247" s="9">
        <v>47079</v>
      </c>
      <c r="D247" s="38">
        <f>19850+11032</f>
        <v>30882</v>
      </c>
      <c r="E247" s="38">
        <v>79734</v>
      </c>
      <c r="F247" s="59">
        <v>4024.9</v>
      </c>
      <c r="G247" s="38">
        <v>2534</v>
      </c>
      <c r="H247" s="25"/>
      <c r="I247" s="37"/>
      <c r="J247" s="9">
        <f t="shared" si="81"/>
        <v>48852</v>
      </c>
      <c r="K247" s="38">
        <v>218</v>
      </c>
      <c r="L247" s="38">
        <v>765</v>
      </c>
      <c r="M247" s="38">
        <f t="shared" si="90"/>
        <v>624.903225806452</v>
      </c>
      <c r="N247" s="78">
        <f t="shared" si="91"/>
        <v>2130981</v>
      </c>
      <c r="O247" s="79">
        <f t="shared" si="92"/>
        <v>1227836</v>
      </c>
      <c r="P247" s="79">
        <f t="shared" si="93"/>
        <v>3412901</v>
      </c>
      <c r="Q247" s="80">
        <f t="shared" si="94"/>
        <v>13753372</v>
      </c>
      <c r="R247" s="80">
        <f t="shared" si="94"/>
        <v>7193684</v>
      </c>
      <c r="S247" s="80">
        <f t="shared" si="94"/>
        <v>21550802.34</v>
      </c>
      <c r="T247" s="84">
        <f>N247/'2015'!M247-1</f>
        <v>0.376560029146383</v>
      </c>
      <c r="U247" s="84">
        <f>O247/'2015'!N247-1</f>
        <v>0.0114895183991288</v>
      </c>
      <c r="V247" s="84">
        <f>P247/'2015'!O247-1</f>
        <v>0.192958717817056</v>
      </c>
      <c r="W247" s="85">
        <f>Q247/'2015'!P247-1</f>
        <v>0.064120974585582</v>
      </c>
      <c r="X247" s="85">
        <f>R247/'2015'!Q247-1</f>
        <v>0.0706545463367168</v>
      </c>
      <c r="Y247" s="85">
        <f>S247/'2015'!R247-1</f>
        <v>0.0717699220934334</v>
      </c>
      <c r="Z247" s="54">
        <f>Z$217+0.449*30</f>
        <v>115.053816</v>
      </c>
      <c r="AA247" s="101">
        <f t="shared" si="84"/>
        <v>1260.283384</v>
      </c>
      <c r="AB247" s="109"/>
      <c r="AC247" s="109"/>
      <c r="AD247" s="9">
        <f t="shared" si="85"/>
        <v>14357118.34</v>
      </c>
      <c r="AE247" s="38">
        <f t="shared" si="87"/>
        <v>368196</v>
      </c>
      <c r="AF247" s="38">
        <f t="shared" si="87"/>
        <v>185838</v>
      </c>
      <c r="AG247" s="38">
        <f t="shared" si="86"/>
        <v>49712.3399999999</v>
      </c>
    </row>
    <row r="248" s="105" customFormat="1" ht="15" customHeight="1" spans="1:33">
      <c r="A248" s="112">
        <v>42613</v>
      </c>
      <c r="B248" s="26" t="s">
        <v>35</v>
      </c>
      <c r="C248" s="43">
        <v>46838</v>
      </c>
      <c r="D248" s="44">
        <f>18807+10998</f>
        <v>29805</v>
      </c>
      <c r="E248" s="44">
        <f>79441</f>
        <v>79441</v>
      </c>
      <c r="F248" s="61">
        <v>3942.3</v>
      </c>
      <c r="G248" s="44">
        <v>2483.4</v>
      </c>
      <c r="H248" s="31"/>
      <c r="I248" s="31"/>
      <c r="J248" s="43">
        <f t="shared" si="81"/>
        <v>49636</v>
      </c>
      <c r="K248" s="44">
        <v>484</v>
      </c>
      <c r="L248" s="44">
        <v>760</v>
      </c>
      <c r="M248" s="44">
        <f t="shared" si="90"/>
        <v>624.903225806452</v>
      </c>
      <c r="N248" s="91">
        <f t="shared" si="91"/>
        <v>2177819</v>
      </c>
      <c r="O248" s="92">
        <f t="shared" si="92"/>
        <v>1257641</v>
      </c>
      <c r="P248" s="92">
        <f t="shared" si="93"/>
        <v>3492342</v>
      </c>
      <c r="Q248" s="91">
        <f t="shared" si="94"/>
        <v>13800210</v>
      </c>
      <c r="R248" s="91">
        <f t="shared" si="94"/>
        <v>7223489</v>
      </c>
      <c r="S248" s="91">
        <f t="shared" si="94"/>
        <v>21630243.34</v>
      </c>
      <c r="T248" s="93">
        <f>N248/'2015'!M248-1</f>
        <v>0.365544168804818</v>
      </c>
      <c r="U248" s="93">
        <f>O248/'2015'!N248-1</f>
        <v>0.0013870542137544</v>
      </c>
      <c r="V248" s="93">
        <f>P248/'2015'!O248-1</f>
        <v>0.18348328188577</v>
      </c>
      <c r="W248" s="93">
        <f>Q248/'2015'!P248-1</f>
        <v>0.0638935444230471</v>
      </c>
      <c r="X248" s="93">
        <f>R248/'2015'!Q248-1</f>
        <v>0.0684103121904567</v>
      </c>
      <c r="Y248" s="93">
        <f>S248/'2015'!R248-1</f>
        <v>0.0709257447355656</v>
      </c>
      <c r="Z248" s="56">
        <v>115.506</v>
      </c>
      <c r="AA248" s="56">
        <f t="shared" si="84"/>
        <v>1264.515</v>
      </c>
      <c r="AB248" s="44">
        <v>4234.6</v>
      </c>
      <c r="AC248" s="44">
        <f t="shared" si="89"/>
        <v>2986.14981344165</v>
      </c>
      <c r="AD248" s="43">
        <f t="shared" si="85"/>
        <v>14406754.34</v>
      </c>
      <c r="AE248" s="44">
        <v>368680</v>
      </c>
      <c r="AF248" s="44">
        <f t="shared" si="87"/>
        <v>186598</v>
      </c>
      <c r="AG248" s="44">
        <f t="shared" si="86"/>
        <v>51266.3399999999</v>
      </c>
    </row>
    <row r="249" ht="15" customHeight="1" spans="1:33">
      <c r="A249" s="14">
        <v>42614</v>
      </c>
      <c r="B249" s="21" t="s">
        <v>36</v>
      </c>
      <c r="C249" s="9">
        <v>42539</v>
      </c>
      <c r="D249" s="38">
        <f>18475+10865</f>
        <v>29340</v>
      </c>
      <c r="E249" s="38">
        <v>73125</v>
      </c>
      <c r="F249" s="59">
        <v>3677.2</v>
      </c>
      <c r="G249" s="38">
        <v>2457.1</v>
      </c>
      <c r="H249" s="25"/>
      <c r="I249" s="37"/>
      <c r="J249" s="9">
        <f t="shared" si="81"/>
        <v>43785</v>
      </c>
      <c r="K249" s="38">
        <f t="shared" si="82"/>
        <v>298.333333333333</v>
      </c>
      <c r="L249" s="38">
        <v>765</v>
      </c>
      <c r="M249" s="38">
        <f>(AG$278-AG$248)/30</f>
        <v>182.666666666667</v>
      </c>
      <c r="N249" s="78">
        <f>C249</f>
        <v>42539</v>
      </c>
      <c r="O249" s="79">
        <f>D249</f>
        <v>29340</v>
      </c>
      <c r="P249" s="79">
        <f>E249</f>
        <v>73125</v>
      </c>
      <c r="Q249" s="80">
        <f t="shared" ref="Q249:S264" si="95">Q$248+N249</f>
        <v>13842749</v>
      </c>
      <c r="R249" s="80">
        <f t="shared" si="95"/>
        <v>7252829</v>
      </c>
      <c r="S249" s="80">
        <f t="shared" si="95"/>
        <v>21703368.34</v>
      </c>
      <c r="T249" s="84">
        <f>N249/'2015'!M249-1</f>
        <v>-0.113623103850642</v>
      </c>
      <c r="U249" s="84">
        <f>O249/'2015'!N249-1</f>
        <v>-0.306563305050696</v>
      </c>
      <c r="V249" s="84">
        <f>P249/'2015'!O249-1</f>
        <v>-0.200845873905774</v>
      </c>
      <c r="W249" s="85">
        <f>Q249/'2015'!P249-1</f>
        <v>0.0632391846882179</v>
      </c>
      <c r="X249" s="85">
        <f>R249/'2015'!Q249-1</f>
        <v>0.0660782740090073</v>
      </c>
      <c r="Y249" s="85">
        <f>S249/'2015'!R249-1</f>
        <v>0.0697000725853827</v>
      </c>
      <c r="Z249" s="54">
        <f>Z248+0.2</f>
        <v>115.706</v>
      </c>
      <c r="AA249" s="101">
        <f t="shared" si="84"/>
        <v>1268.5689</v>
      </c>
      <c r="AB249" s="109">
        <v>4234.6</v>
      </c>
      <c r="AC249" s="109">
        <f t="shared" si="89"/>
        <v>2995.72309072876</v>
      </c>
      <c r="AD249" s="9">
        <f t="shared" si="85"/>
        <v>14450539.34</v>
      </c>
      <c r="AE249" s="38">
        <f t="shared" si="87"/>
        <v>368978.333333333</v>
      </c>
      <c r="AF249" s="38">
        <f t="shared" si="87"/>
        <v>187363</v>
      </c>
      <c r="AG249" s="38">
        <f t="shared" si="86"/>
        <v>51449.0066666665</v>
      </c>
    </row>
    <row r="250" ht="15" customHeight="1" spans="1:33">
      <c r="A250" s="14">
        <v>42615</v>
      </c>
      <c r="B250" s="21" t="s">
        <v>37</v>
      </c>
      <c r="C250" s="74">
        <v>46902</v>
      </c>
      <c r="D250" s="75">
        <f>15596+10916</f>
        <v>26512</v>
      </c>
      <c r="E250" s="75">
        <v>74700</v>
      </c>
      <c r="F250" s="111">
        <v>3781.8</v>
      </c>
      <c r="G250" s="75">
        <v>2268.3</v>
      </c>
      <c r="H250" s="25"/>
      <c r="I250" s="25"/>
      <c r="J250" s="74">
        <f t="shared" si="81"/>
        <v>48188</v>
      </c>
      <c r="K250" s="75">
        <f t="shared" si="82"/>
        <v>336.333333333333</v>
      </c>
      <c r="L250" s="75">
        <v>767</v>
      </c>
      <c r="M250" s="75">
        <f t="shared" ref="M250:M278" si="96">(AG$278-AG$248)/30</f>
        <v>182.666666666667</v>
      </c>
      <c r="N250" s="78">
        <f t="shared" ref="N250:N278" si="97">C250+N249</f>
        <v>89441</v>
      </c>
      <c r="O250" s="79">
        <f t="shared" ref="O250:O278" si="98">D250+O249</f>
        <v>55852</v>
      </c>
      <c r="P250" s="79">
        <f t="shared" ref="P250:P278" si="99">E250+P249</f>
        <v>147825</v>
      </c>
      <c r="Q250" s="80">
        <f t="shared" si="95"/>
        <v>13889651</v>
      </c>
      <c r="R250" s="80">
        <f t="shared" si="95"/>
        <v>7279341</v>
      </c>
      <c r="S250" s="80">
        <f t="shared" si="95"/>
        <v>21778068.34</v>
      </c>
      <c r="T250" s="84">
        <f>N250/'2015'!M250-1</f>
        <v>-0.0824870232453171</v>
      </c>
      <c r="U250" s="84">
        <f>O250/'2015'!N250-1</f>
        <v>-0.342639235440893</v>
      </c>
      <c r="V250" s="84">
        <f>P250/'2015'!O250-1</f>
        <v>-0.197641094671023</v>
      </c>
      <c r="W250" s="85">
        <f>Q250/'2015'!P250-1</f>
        <v>0.0628016798962912</v>
      </c>
      <c r="X250" s="85">
        <f>R250/'2015'!Q250-1</f>
        <v>0.0633088287600827</v>
      </c>
      <c r="Y250" s="85">
        <f>S250/'2015'!R250-1</f>
        <v>0.0684980951767897</v>
      </c>
      <c r="Z250" s="101">
        <f>Z249+0.1885</f>
        <v>115.8945</v>
      </c>
      <c r="AA250" s="101">
        <f t="shared" si="84"/>
        <v>1273.0706</v>
      </c>
      <c r="AB250" s="110"/>
      <c r="AC250" s="109"/>
      <c r="AD250" s="74">
        <f t="shared" si="85"/>
        <v>14498727.34</v>
      </c>
      <c r="AE250" s="75">
        <f t="shared" si="87"/>
        <v>369314.666666667</v>
      </c>
      <c r="AF250" s="75">
        <f t="shared" si="87"/>
        <v>188130</v>
      </c>
      <c r="AG250" s="75">
        <f t="shared" si="86"/>
        <v>51631.6733333332</v>
      </c>
    </row>
    <row r="251" ht="15" customHeight="1" spans="1:33">
      <c r="A251" s="14">
        <v>42616</v>
      </c>
      <c r="B251" s="21" t="s">
        <v>38</v>
      </c>
      <c r="C251" s="9">
        <v>49018</v>
      </c>
      <c r="D251" s="38">
        <f>12975+10984</f>
        <v>23959</v>
      </c>
      <c r="E251" s="38">
        <v>74314</v>
      </c>
      <c r="F251" s="59">
        <v>3741.8</v>
      </c>
      <c r="G251" s="38">
        <v>2371.7</v>
      </c>
      <c r="H251" s="25"/>
      <c r="I251" s="37"/>
      <c r="J251" s="9">
        <f t="shared" si="81"/>
        <v>50355</v>
      </c>
      <c r="K251" s="38">
        <f t="shared" si="82"/>
        <v>387.333333333333</v>
      </c>
      <c r="L251" s="38">
        <v>767</v>
      </c>
      <c r="M251" s="38">
        <f t="shared" si="96"/>
        <v>182.666666666667</v>
      </c>
      <c r="N251" s="78">
        <f t="shared" si="97"/>
        <v>138459</v>
      </c>
      <c r="O251" s="79">
        <f t="shared" si="98"/>
        <v>79811</v>
      </c>
      <c r="P251" s="79">
        <f t="shared" si="99"/>
        <v>222139</v>
      </c>
      <c r="Q251" s="80">
        <f t="shared" si="95"/>
        <v>13938669</v>
      </c>
      <c r="R251" s="80">
        <f t="shared" si="95"/>
        <v>7303300</v>
      </c>
      <c r="S251" s="80">
        <f t="shared" si="95"/>
        <v>21852382.34</v>
      </c>
      <c r="T251" s="84">
        <f>N251/'2015'!M251-1</f>
        <v>0.000361248184727936</v>
      </c>
      <c r="U251" s="84">
        <f>O251/'2015'!N251-1</f>
        <v>-0.328444612730868</v>
      </c>
      <c r="V251" s="84">
        <f>P251/'2015'!O251-1</f>
        <v>-0.143593500009638</v>
      </c>
      <c r="W251" s="85">
        <f>Q251/'2015'!P251-1</f>
        <v>0.0632227926085076</v>
      </c>
      <c r="X251" s="85">
        <f>R251/'2015'!Q251-1</f>
        <v>0.06155486180295</v>
      </c>
      <c r="Y251" s="85">
        <f>S251/'2015'!R251-1</f>
        <v>0.0682057551584436</v>
      </c>
      <c r="Z251" s="54">
        <f t="shared" ref="Z251:Z255" si="100">Z250+0.1885</f>
        <v>116.083</v>
      </c>
      <c r="AA251" s="101">
        <f t="shared" si="84"/>
        <v>1277.7839</v>
      </c>
      <c r="AB251" s="109"/>
      <c r="AC251" s="109"/>
      <c r="AD251" s="9">
        <f t="shared" si="85"/>
        <v>14549082.34</v>
      </c>
      <c r="AE251" s="38">
        <f t="shared" si="87"/>
        <v>369702</v>
      </c>
      <c r="AF251" s="38">
        <f t="shared" si="87"/>
        <v>188897</v>
      </c>
      <c r="AG251" s="38">
        <f t="shared" si="86"/>
        <v>51814.3399999999</v>
      </c>
    </row>
    <row r="252" ht="15" customHeight="1" spans="1:33">
      <c r="A252" s="14">
        <v>42617</v>
      </c>
      <c r="B252" s="21" t="s">
        <v>1</v>
      </c>
      <c r="C252" s="9">
        <v>44738</v>
      </c>
      <c r="D252" s="38">
        <f>12119+11055</f>
        <v>23174</v>
      </c>
      <c r="E252" s="38">
        <v>69241</v>
      </c>
      <c r="F252" s="59">
        <v>3347.2</v>
      </c>
      <c r="G252" s="38">
        <v>2285.3</v>
      </c>
      <c r="H252" s="25"/>
      <c r="I252" s="37"/>
      <c r="J252" s="9">
        <f t="shared" si="81"/>
        <v>46067</v>
      </c>
      <c r="K252" s="38">
        <f t="shared" si="82"/>
        <v>377.333333333333</v>
      </c>
      <c r="L252" s="38">
        <v>769</v>
      </c>
      <c r="M252" s="38">
        <f t="shared" si="96"/>
        <v>182.666666666667</v>
      </c>
      <c r="N252" s="78">
        <f t="shared" si="97"/>
        <v>183197</v>
      </c>
      <c r="O252" s="79">
        <f t="shared" si="98"/>
        <v>102985</v>
      </c>
      <c r="P252" s="79">
        <f t="shared" si="99"/>
        <v>291380</v>
      </c>
      <c r="Q252" s="80">
        <f t="shared" si="95"/>
        <v>13983407</v>
      </c>
      <c r="R252" s="80">
        <f t="shared" si="95"/>
        <v>7326474</v>
      </c>
      <c r="S252" s="80">
        <f t="shared" si="95"/>
        <v>21921623.34</v>
      </c>
      <c r="T252" s="84">
        <f>N252/'2015'!M252-1</f>
        <v>-0.0210959416495231</v>
      </c>
      <c r="U252" s="84">
        <f>O252/'2015'!N252-1</f>
        <v>-0.331665498533344</v>
      </c>
      <c r="V252" s="84">
        <f>P252/'2015'!O252-1</f>
        <v>-0.153808847573495</v>
      </c>
      <c r="W252" s="85">
        <f>Q252/'2015'!P252-1</f>
        <v>0.0626847988363473</v>
      </c>
      <c r="X252" s="85">
        <f>R252/'2015'!Q252-1</f>
        <v>0.0594952090805851</v>
      </c>
      <c r="Y252" s="85">
        <f>S252/'2015'!R252-1</f>
        <v>0.0671585556046528</v>
      </c>
      <c r="Z252" s="54">
        <f t="shared" si="100"/>
        <v>116.2715</v>
      </c>
      <c r="AA252" s="101">
        <f t="shared" si="84"/>
        <v>1282.0692</v>
      </c>
      <c r="AB252" s="109"/>
      <c r="AC252" s="109"/>
      <c r="AD252" s="9">
        <f t="shared" si="85"/>
        <v>14595149.34</v>
      </c>
      <c r="AE252" s="38">
        <f t="shared" si="87"/>
        <v>370079.333333333</v>
      </c>
      <c r="AF252" s="38">
        <f t="shared" si="87"/>
        <v>189666</v>
      </c>
      <c r="AG252" s="38">
        <f t="shared" si="86"/>
        <v>51997.0066666666</v>
      </c>
    </row>
    <row r="253" ht="15" customHeight="1" spans="1:33">
      <c r="A253" s="14">
        <v>42618</v>
      </c>
      <c r="B253" s="21" t="s">
        <v>39</v>
      </c>
      <c r="C253" s="9">
        <v>51154</v>
      </c>
      <c r="D253" s="38">
        <f>11583+11004</f>
        <v>22587</v>
      </c>
      <c r="E253" s="38">
        <v>74972</v>
      </c>
      <c r="F253" s="59">
        <v>3832.4</v>
      </c>
      <c r="G253" s="38">
        <v>2254</v>
      </c>
      <c r="H253" s="25"/>
      <c r="I253" s="37"/>
      <c r="J253" s="9">
        <f t="shared" si="81"/>
        <v>52385</v>
      </c>
      <c r="K253" s="38">
        <f t="shared" si="82"/>
        <v>280.333333333333</v>
      </c>
      <c r="L253" s="38">
        <v>768</v>
      </c>
      <c r="M253" s="38">
        <f t="shared" si="96"/>
        <v>182.666666666667</v>
      </c>
      <c r="N253" s="78">
        <f t="shared" si="97"/>
        <v>234351</v>
      </c>
      <c r="O253" s="79">
        <f t="shared" si="98"/>
        <v>125572</v>
      </c>
      <c r="P253" s="79">
        <f t="shared" si="99"/>
        <v>366352</v>
      </c>
      <c r="Q253" s="80">
        <f t="shared" si="95"/>
        <v>14034561</v>
      </c>
      <c r="R253" s="80">
        <f t="shared" si="95"/>
        <v>7349061</v>
      </c>
      <c r="S253" s="80">
        <f t="shared" si="95"/>
        <v>21996595.34</v>
      </c>
      <c r="T253" s="84">
        <f>N253/'2015'!M253-1</f>
        <v>-0.0211883520449078</v>
      </c>
      <c r="U253" s="84">
        <f>O253/'2015'!N253-1</f>
        <v>-0.341005819964209</v>
      </c>
      <c r="V253" s="84">
        <f>P253/'2015'!O253-1</f>
        <v>-0.157396972303616</v>
      </c>
      <c r="W253" s="85">
        <f>Q253/'2015'!P253-1</f>
        <v>0.0623515802623966</v>
      </c>
      <c r="X253" s="85">
        <f>R253/'2015'!Q253-1</f>
        <v>0.0571876366607591</v>
      </c>
      <c r="Y253" s="85">
        <f>S253/'2015'!R253-1</f>
        <v>0.0661143278281653</v>
      </c>
      <c r="Z253" s="54">
        <f t="shared" si="100"/>
        <v>116.46</v>
      </c>
      <c r="AA253" s="101">
        <f t="shared" si="84"/>
        <v>1286.9961</v>
      </c>
      <c r="AB253" s="109"/>
      <c r="AC253" s="109"/>
      <c r="AD253" s="9">
        <f t="shared" si="85"/>
        <v>14647534.34</v>
      </c>
      <c r="AE253" s="38">
        <f t="shared" si="87"/>
        <v>370359.666666667</v>
      </c>
      <c r="AF253" s="38">
        <f t="shared" si="87"/>
        <v>190434</v>
      </c>
      <c r="AG253" s="38">
        <f t="shared" si="86"/>
        <v>52179.6733333333</v>
      </c>
    </row>
    <row r="254" ht="15" customHeight="1" spans="1:33">
      <c r="A254" s="14">
        <v>42619</v>
      </c>
      <c r="B254" s="21" t="s">
        <v>34</v>
      </c>
      <c r="C254" s="9">
        <v>47040</v>
      </c>
      <c r="D254" s="38">
        <f>17426+10962</f>
        <v>28388</v>
      </c>
      <c r="E254" s="38">
        <v>76499</v>
      </c>
      <c r="F254" s="59">
        <v>3966.2</v>
      </c>
      <c r="G254" s="38">
        <v>2412.6</v>
      </c>
      <c r="H254" s="25"/>
      <c r="I254" s="37"/>
      <c r="J254" s="9">
        <f t="shared" si="81"/>
        <v>48111</v>
      </c>
      <c r="K254" s="38">
        <f t="shared" si="82"/>
        <v>119.333333333333</v>
      </c>
      <c r="L254" s="38">
        <v>769</v>
      </c>
      <c r="M254" s="38">
        <f t="shared" si="96"/>
        <v>182.666666666667</v>
      </c>
      <c r="N254" s="78">
        <f t="shared" si="97"/>
        <v>281391</v>
      </c>
      <c r="O254" s="79">
        <f t="shared" si="98"/>
        <v>153960</v>
      </c>
      <c r="P254" s="79">
        <f t="shared" si="99"/>
        <v>442851</v>
      </c>
      <c r="Q254" s="80">
        <f t="shared" si="95"/>
        <v>14081601</v>
      </c>
      <c r="R254" s="80">
        <f t="shared" si="95"/>
        <v>7377449</v>
      </c>
      <c r="S254" s="80">
        <f t="shared" si="95"/>
        <v>22073094.34</v>
      </c>
      <c r="T254" s="84">
        <f>N254/'2015'!M254-1</f>
        <v>-0.02443497585278</v>
      </c>
      <c r="U254" s="84">
        <f>O254/'2015'!N254-1</f>
        <v>-0.329842384988052</v>
      </c>
      <c r="V254" s="84">
        <f>P254/'2015'!O254-1</f>
        <v>-0.154176868981271</v>
      </c>
      <c r="W254" s="85">
        <f>Q254/'2015'!P254-1</f>
        <v>0.0619721521925685</v>
      </c>
      <c r="X254" s="85">
        <f>R254/'2015'!Q254-1</f>
        <v>0.0553224524103859</v>
      </c>
      <c r="Y254" s="85">
        <f>S254/'2015'!R254-1</f>
        <v>0.0652379746811007</v>
      </c>
      <c r="Z254" s="54">
        <f t="shared" si="100"/>
        <v>116.6485</v>
      </c>
      <c r="AA254" s="101">
        <f t="shared" si="84"/>
        <v>1291.5116</v>
      </c>
      <c r="AB254" s="109"/>
      <c r="AC254" s="109"/>
      <c r="AD254" s="9">
        <f t="shared" si="85"/>
        <v>14695645.34</v>
      </c>
      <c r="AE254" s="38">
        <f t="shared" si="87"/>
        <v>370479</v>
      </c>
      <c r="AF254" s="38">
        <f t="shared" si="87"/>
        <v>191203</v>
      </c>
      <c r="AG254" s="38">
        <f t="shared" si="86"/>
        <v>52362.34</v>
      </c>
    </row>
    <row r="255" ht="15" customHeight="1" spans="1:33">
      <c r="A255" s="14">
        <v>42620</v>
      </c>
      <c r="B255" s="15" t="s">
        <v>35</v>
      </c>
      <c r="C255" s="33">
        <v>47821</v>
      </c>
      <c r="D255" s="34">
        <f>22246+11003</f>
        <v>33249</v>
      </c>
      <c r="E255" s="34">
        <v>82261</v>
      </c>
      <c r="F255" s="63">
        <v>4298.2</v>
      </c>
      <c r="G255" s="34">
        <v>2546.4</v>
      </c>
      <c r="H255" s="20"/>
      <c r="I255" s="20"/>
      <c r="J255" s="33">
        <f t="shared" si="81"/>
        <v>49012</v>
      </c>
      <c r="K255" s="34">
        <f t="shared" si="82"/>
        <v>237.333333333333</v>
      </c>
      <c r="L255" s="34">
        <v>771</v>
      </c>
      <c r="M255" s="34">
        <f t="shared" si="96"/>
        <v>182.666666666667</v>
      </c>
      <c r="N255" s="81">
        <f t="shared" si="97"/>
        <v>329212</v>
      </c>
      <c r="O255" s="82">
        <f t="shared" si="98"/>
        <v>187209</v>
      </c>
      <c r="P255" s="82">
        <f t="shared" si="99"/>
        <v>525112</v>
      </c>
      <c r="Q255" s="81">
        <f t="shared" si="95"/>
        <v>14129422</v>
      </c>
      <c r="R255" s="81">
        <f t="shared" si="95"/>
        <v>7410698</v>
      </c>
      <c r="S255" s="81">
        <f t="shared" si="95"/>
        <v>22155355.34</v>
      </c>
      <c r="T255" s="86">
        <f>N255/'2015'!M255-1</f>
        <v>-0.0172013350289874</v>
      </c>
      <c r="U255" s="86">
        <f>O255/'2015'!N255-1</f>
        <v>-0.312257538353024</v>
      </c>
      <c r="V255" s="86">
        <f>P255/'2015'!O255-1</f>
        <v>-0.14383308142938</v>
      </c>
      <c r="W255" s="86">
        <f>Q255/'2015'!P255-1</f>
        <v>0.061852069012837</v>
      </c>
      <c r="X255" s="86">
        <f>R255/'2015'!Q255-1</f>
        <v>0.0536771646725229</v>
      </c>
      <c r="Y255" s="86">
        <f>S255/'2015'!R255-1</f>
        <v>0.0645965152622154</v>
      </c>
      <c r="Z255" s="53">
        <f t="shared" si="100"/>
        <v>116.837</v>
      </c>
      <c r="AA255" s="53">
        <f t="shared" si="84"/>
        <v>1296.1052</v>
      </c>
      <c r="AB255" s="34">
        <v>4234.6</v>
      </c>
      <c r="AC255" s="34">
        <f t="shared" si="89"/>
        <v>3060.75001180749</v>
      </c>
      <c r="AD255" s="33">
        <f t="shared" si="85"/>
        <v>14744657.34</v>
      </c>
      <c r="AE255" s="34">
        <f t="shared" si="87"/>
        <v>370716.333333333</v>
      </c>
      <c r="AF255" s="34">
        <f t="shared" si="87"/>
        <v>191974</v>
      </c>
      <c r="AG255" s="34">
        <f t="shared" si="86"/>
        <v>52545.0066666667</v>
      </c>
    </row>
    <row r="256" ht="15" customHeight="1" spans="1:33">
      <c r="A256" s="106">
        <v>42621</v>
      </c>
      <c r="B256" s="21" t="s">
        <v>36</v>
      </c>
      <c r="C256" s="9">
        <v>53167</v>
      </c>
      <c r="D256" s="38">
        <f>23684+11017</f>
        <v>34701</v>
      </c>
      <c r="E256" s="38">
        <v>89093</v>
      </c>
      <c r="F256" s="59">
        <v>4531.1</v>
      </c>
      <c r="G256" s="38">
        <v>2775.6</v>
      </c>
      <c r="H256" s="25"/>
      <c r="I256" s="37"/>
      <c r="J256" s="9">
        <f t="shared" si="81"/>
        <v>54392</v>
      </c>
      <c r="K256" s="38">
        <f t="shared" si="82"/>
        <v>274.333333333333</v>
      </c>
      <c r="L256" s="38">
        <v>768</v>
      </c>
      <c r="M256" s="38">
        <f t="shared" si="96"/>
        <v>182.666666666667</v>
      </c>
      <c r="N256" s="78">
        <f t="shared" si="97"/>
        <v>382379</v>
      </c>
      <c r="O256" s="79">
        <f t="shared" si="98"/>
        <v>221910</v>
      </c>
      <c r="P256" s="79">
        <f t="shared" si="99"/>
        <v>614205</v>
      </c>
      <c r="Q256" s="80">
        <f t="shared" si="95"/>
        <v>14182589</v>
      </c>
      <c r="R256" s="80">
        <f t="shared" si="95"/>
        <v>7445399</v>
      </c>
      <c r="S256" s="80">
        <f t="shared" si="95"/>
        <v>22244448.34</v>
      </c>
      <c r="T256" s="84">
        <f>N256/'2015'!M256-1</f>
        <v>0.00284557323220391</v>
      </c>
      <c r="U256" s="84">
        <f>O256/'2015'!N256-1</f>
        <v>-0.298177367477253</v>
      </c>
      <c r="V256" s="84">
        <f>P256/'2015'!O256-1</f>
        <v>-0.128062474624298</v>
      </c>
      <c r="W256" s="85">
        <f>Q256/'2015'!P256-1</f>
        <v>0.062150286451129</v>
      </c>
      <c r="X256" s="85">
        <f>R256/'2015'!Q256-1</f>
        <v>0.0520320297972634</v>
      </c>
      <c r="Y256" s="85">
        <f>S256/'2015'!R256-1</f>
        <v>0.0642197222099958</v>
      </c>
      <c r="Z256" s="54">
        <v>117.03</v>
      </c>
      <c r="AA256" s="101">
        <f t="shared" si="84"/>
        <v>1301.2289</v>
      </c>
      <c r="AB256" s="109">
        <v>4234.6</v>
      </c>
      <c r="AC256" s="109">
        <f t="shared" si="89"/>
        <v>3072.8496197988</v>
      </c>
      <c r="AD256" s="9">
        <f t="shared" si="85"/>
        <v>14799049.34</v>
      </c>
      <c r="AE256" s="38">
        <f t="shared" si="87"/>
        <v>370990.666666667</v>
      </c>
      <c r="AF256" s="38">
        <f t="shared" si="87"/>
        <v>192742</v>
      </c>
      <c r="AG256" s="38">
        <f t="shared" si="86"/>
        <v>52727.6733333333</v>
      </c>
    </row>
    <row r="257" ht="15" customHeight="1" spans="1:33">
      <c r="A257" s="106">
        <v>42622</v>
      </c>
      <c r="B257" s="21" t="s">
        <v>37</v>
      </c>
      <c r="C257" s="74">
        <v>56991</v>
      </c>
      <c r="D257" s="75">
        <f>25361+10885</f>
        <v>36246</v>
      </c>
      <c r="E257" s="75">
        <v>94455</v>
      </c>
      <c r="F257" s="111">
        <v>4795.4</v>
      </c>
      <c r="G257" s="75">
        <v>3009.2</v>
      </c>
      <c r="H257" s="25"/>
      <c r="I257" s="25"/>
      <c r="J257" s="74">
        <f t="shared" ref="J257:J320" si="101">E257-D257</f>
        <v>58209</v>
      </c>
      <c r="K257" s="75">
        <f t="shared" si="82"/>
        <v>267.333333333333</v>
      </c>
      <c r="L257" s="75">
        <v>768</v>
      </c>
      <c r="M257" s="75">
        <f t="shared" si="96"/>
        <v>182.666666666667</v>
      </c>
      <c r="N257" s="78">
        <f t="shared" si="97"/>
        <v>439370</v>
      </c>
      <c r="O257" s="79">
        <f t="shared" si="98"/>
        <v>258156</v>
      </c>
      <c r="P257" s="79">
        <f t="shared" si="99"/>
        <v>708660</v>
      </c>
      <c r="Q257" s="80">
        <f t="shared" si="95"/>
        <v>14239580</v>
      </c>
      <c r="R257" s="80">
        <f t="shared" si="95"/>
        <v>7481645</v>
      </c>
      <c r="S257" s="80">
        <f t="shared" si="95"/>
        <v>22338903.34</v>
      </c>
      <c r="T257" s="84">
        <f>N257/'2015'!M257-1</f>
        <v>0.0332866119807345</v>
      </c>
      <c r="U257" s="84">
        <f>O257/'2015'!N257-1</f>
        <v>-0.286475550297951</v>
      </c>
      <c r="V257" s="84">
        <f>P257/'2015'!O257-1</f>
        <v>-0.108314396370143</v>
      </c>
      <c r="W257" s="85">
        <f>Q257/'2015'!P257-1</f>
        <v>0.0629220649124154</v>
      </c>
      <c r="X257" s="85">
        <f>R257/'2015'!Q257-1</f>
        <v>0.0503837480149936</v>
      </c>
      <c r="Y257" s="85">
        <f>S257/'2015'!R257-1</f>
        <v>0.064139986913389</v>
      </c>
      <c r="Z257" s="101">
        <f>Z256+0.2</f>
        <v>117.23</v>
      </c>
      <c r="AA257" s="101">
        <f t="shared" si="84"/>
        <v>1306.728</v>
      </c>
      <c r="AB257" s="110"/>
      <c r="AC257" s="109"/>
      <c r="AD257" s="74">
        <f t="shared" si="85"/>
        <v>14857258.34</v>
      </c>
      <c r="AE257" s="75">
        <f t="shared" si="87"/>
        <v>371258</v>
      </c>
      <c r="AF257" s="75">
        <f t="shared" si="87"/>
        <v>193510</v>
      </c>
      <c r="AG257" s="75">
        <f t="shared" si="86"/>
        <v>52910.34</v>
      </c>
    </row>
    <row r="258" ht="15" customHeight="1" spans="1:33">
      <c r="A258" s="106">
        <v>42623</v>
      </c>
      <c r="B258" s="21" t="s">
        <v>38</v>
      </c>
      <c r="C258" s="9">
        <v>57956</v>
      </c>
      <c r="D258" s="38">
        <f>24971+10810</f>
        <v>35781</v>
      </c>
      <c r="E258" s="38">
        <v>94844</v>
      </c>
      <c r="F258" s="59">
        <v>4807.6</v>
      </c>
      <c r="G258" s="38">
        <v>3149.2</v>
      </c>
      <c r="H258" s="25"/>
      <c r="I258" s="37"/>
      <c r="J258" s="9">
        <f t="shared" si="101"/>
        <v>59063</v>
      </c>
      <c r="K258" s="38">
        <f t="shared" si="82"/>
        <v>156.333333333333</v>
      </c>
      <c r="L258" s="38">
        <v>768</v>
      </c>
      <c r="M258" s="38">
        <f t="shared" si="96"/>
        <v>182.666666666667</v>
      </c>
      <c r="N258" s="78">
        <f t="shared" si="97"/>
        <v>497326</v>
      </c>
      <c r="O258" s="79">
        <f t="shared" si="98"/>
        <v>293937</v>
      </c>
      <c r="P258" s="79">
        <f t="shared" si="99"/>
        <v>803504</v>
      </c>
      <c r="Q258" s="80">
        <f t="shared" si="95"/>
        <v>14297536</v>
      </c>
      <c r="R258" s="80">
        <f t="shared" si="95"/>
        <v>7517426</v>
      </c>
      <c r="S258" s="80">
        <f t="shared" si="95"/>
        <v>22433747.34</v>
      </c>
      <c r="T258" s="84">
        <f>N258/'2015'!M258-1</f>
        <v>0.0570451468372133</v>
      </c>
      <c r="U258" s="84">
        <f>O258/'2015'!N258-1</f>
        <v>-0.275149563270319</v>
      </c>
      <c r="V258" s="84">
        <f>P258/'2015'!O258-1</f>
        <v>-0.0912921681875808</v>
      </c>
      <c r="W258" s="85">
        <f>Q258/'2015'!P258-1</f>
        <v>0.0636538401880031</v>
      </c>
      <c r="X258" s="85">
        <f>R258/'2015'!Q258-1</f>
        <v>0.0489700456974502</v>
      </c>
      <c r="Y258" s="85">
        <f>S258/'2015'!R258-1</f>
        <v>0.064121935118568</v>
      </c>
      <c r="Z258" s="54">
        <f t="shared" ref="Z258:Z262" si="102">Z257+0.2</f>
        <v>117.43</v>
      </c>
      <c r="AA258" s="101">
        <f t="shared" si="84"/>
        <v>1312.3236</v>
      </c>
      <c r="AB258" s="109"/>
      <c r="AC258" s="109"/>
      <c r="AD258" s="9">
        <f t="shared" si="85"/>
        <v>14916321.34</v>
      </c>
      <c r="AE258" s="38">
        <f t="shared" si="87"/>
        <v>371414.333333333</v>
      </c>
      <c r="AF258" s="38">
        <f t="shared" si="87"/>
        <v>194278</v>
      </c>
      <c r="AG258" s="38">
        <f t="shared" si="86"/>
        <v>53093.0066666667</v>
      </c>
    </row>
    <row r="259" ht="15" customHeight="1" spans="1:33">
      <c r="A259" s="106">
        <v>42624</v>
      </c>
      <c r="B259" s="21" t="s">
        <v>1</v>
      </c>
      <c r="C259" s="9">
        <v>49659</v>
      </c>
      <c r="D259" s="38">
        <f>25599+10866</f>
        <v>36465</v>
      </c>
      <c r="E259" s="38">
        <v>87199</v>
      </c>
      <c r="F259" s="59">
        <v>4420.1</v>
      </c>
      <c r="G259" s="38">
        <v>3118.4</v>
      </c>
      <c r="H259" s="25"/>
      <c r="I259" s="37"/>
      <c r="J259" s="9">
        <f t="shared" si="101"/>
        <v>50734</v>
      </c>
      <c r="K259" s="38">
        <f t="shared" si="82"/>
        <v>124.333333333333</v>
      </c>
      <c r="L259" s="38">
        <v>768</v>
      </c>
      <c r="M259" s="38">
        <f t="shared" si="96"/>
        <v>182.666666666667</v>
      </c>
      <c r="N259" s="78">
        <f t="shared" si="97"/>
        <v>546985</v>
      </c>
      <c r="O259" s="79">
        <f t="shared" si="98"/>
        <v>330402</v>
      </c>
      <c r="P259" s="79">
        <f t="shared" si="99"/>
        <v>890703</v>
      </c>
      <c r="Q259" s="80">
        <f t="shared" si="95"/>
        <v>14347195</v>
      </c>
      <c r="R259" s="80">
        <f t="shared" si="95"/>
        <v>7553891</v>
      </c>
      <c r="S259" s="80">
        <f t="shared" si="95"/>
        <v>22520946.34</v>
      </c>
      <c r="T259" s="84">
        <f>N259/'2015'!M259-1</f>
        <v>0.0595002198474821</v>
      </c>
      <c r="U259" s="84">
        <f>O259/'2015'!N259-1</f>
        <v>-0.265455030513222</v>
      </c>
      <c r="V259" s="84">
        <f>P259/'2015'!O259-1</f>
        <v>-0.0866439430761753</v>
      </c>
      <c r="W259" s="85">
        <f>Q259/'2015'!P259-1</f>
        <v>0.0637253815276111</v>
      </c>
      <c r="X259" s="85">
        <f>R259/'2015'!Q259-1</f>
        <v>0.0475839348175384</v>
      </c>
      <c r="Y259" s="85">
        <f>S259/'2015'!R259-1</f>
        <v>0.0636682780973266</v>
      </c>
      <c r="Z259" s="54">
        <f t="shared" si="102"/>
        <v>117.63</v>
      </c>
      <c r="AA259" s="101">
        <f t="shared" si="84"/>
        <v>1317.0895</v>
      </c>
      <c r="AB259" s="109"/>
      <c r="AC259" s="109"/>
      <c r="AD259" s="9">
        <f t="shared" si="85"/>
        <v>14967055.34</v>
      </c>
      <c r="AE259" s="38">
        <f t="shared" si="87"/>
        <v>371538.666666666</v>
      </c>
      <c r="AF259" s="38">
        <f t="shared" si="87"/>
        <v>195046</v>
      </c>
      <c r="AG259" s="38">
        <f t="shared" si="86"/>
        <v>53275.6733333334</v>
      </c>
    </row>
    <row r="260" ht="15" customHeight="1" spans="1:33">
      <c r="A260" s="106">
        <v>42625</v>
      </c>
      <c r="B260" s="21" t="s">
        <v>39</v>
      </c>
      <c r="C260" s="9">
        <v>52917</v>
      </c>
      <c r="D260" s="38">
        <f>24582+10701</f>
        <v>35283</v>
      </c>
      <c r="E260" s="38">
        <v>89462</v>
      </c>
      <c r="F260" s="59">
        <v>4498.3</v>
      </c>
      <c r="G260" s="38">
        <v>2893.4</v>
      </c>
      <c r="H260" s="25"/>
      <c r="I260" s="37"/>
      <c r="J260" s="9">
        <f t="shared" si="101"/>
        <v>54179</v>
      </c>
      <c r="K260" s="38">
        <f t="shared" si="82"/>
        <v>308.333333333333</v>
      </c>
      <c r="L260" s="38">
        <v>771</v>
      </c>
      <c r="M260" s="38">
        <f t="shared" si="96"/>
        <v>182.666666666667</v>
      </c>
      <c r="N260" s="78">
        <f t="shared" si="97"/>
        <v>599902</v>
      </c>
      <c r="O260" s="79">
        <f t="shared" si="98"/>
        <v>365685</v>
      </c>
      <c r="P260" s="79">
        <f t="shared" si="99"/>
        <v>980165</v>
      </c>
      <c r="Q260" s="80">
        <f t="shared" si="95"/>
        <v>14400112</v>
      </c>
      <c r="R260" s="80">
        <f t="shared" si="95"/>
        <v>7589174</v>
      </c>
      <c r="S260" s="80">
        <f t="shared" si="95"/>
        <v>22610408.34</v>
      </c>
      <c r="T260" s="84">
        <f>N260/'2015'!M260-1</f>
        <v>0.0757274450347964</v>
      </c>
      <c r="U260" s="84">
        <f>O260/'2015'!N260-1</f>
        <v>-0.260550777798223</v>
      </c>
      <c r="V260" s="84">
        <f>P260/'2015'!O260-1</f>
        <v>-0.0767757771674221</v>
      </c>
      <c r="W260" s="85">
        <f>Q260/'2015'!P260-1</f>
        <v>0.0643813394410608</v>
      </c>
      <c r="X260" s="85">
        <f>R260/'2015'!Q260-1</f>
        <v>0.0459882467191124</v>
      </c>
      <c r="Y260" s="85">
        <f>S260/'2015'!R260-1</f>
        <v>0.063549652572215</v>
      </c>
      <c r="Z260" s="54">
        <f t="shared" si="102"/>
        <v>117.83</v>
      </c>
      <c r="AA260" s="101">
        <f t="shared" si="84"/>
        <v>1322.1812</v>
      </c>
      <c r="AB260" s="109"/>
      <c r="AC260" s="109"/>
      <c r="AD260" s="9">
        <f t="shared" si="85"/>
        <v>15021234.34</v>
      </c>
      <c r="AE260" s="38">
        <f t="shared" si="87"/>
        <v>371847</v>
      </c>
      <c r="AF260" s="38">
        <f t="shared" si="87"/>
        <v>195817</v>
      </c>
      <c r="AG260" s="38">
        <f t="shared" si="86"/>
        <v>53458.3400000001</v>
      </c>
    </row>
    <row r="261" ht="15" customHeight="1" spans="1:33">
      <c r="A261" s="106">
        <v>42626</v>
      </c>
      <c r="B261" s="21" t="s">
        <v>34</v>
      </c>
      <c r="C261" s="9">
        <v>53159</v>
      </c>
      <c r="D261" s="38">
        <v>36366</v>
      </c>
      <c r="E261" s="38">
        <v>90978</v>
      </c>
      <c r="F261" s="59">
        <v>4623</v>
      </c>
      <c r="G261" s="38">
        <v>3050</v>
      </c>
      <c r="H261" s="25"/>
      <c r="I261" s="37"/>
      <c r="J261" s="9">
        <f t="shared" si="101"/>
        <v>54612</v>
      </c>
      <c r="K261" s="38">
        <f t="shared" si="82"/>
        <v>501.333333333333</v>
      </c>
      <c r="L261" s="38">
        <v>769</v>
      </c>
      <c r="M261" s="38">
        <f t="shared" si="96"/>
        <v>182.666666666667</v>
      </c>
      <c r="N261" s="78">
        <f t="shared" si="97"/>
        <v>653061</v>
      </c>
      <c r="O261" s="79">
        <f t="shared" si="98"/>
        <v>402051</v>
      </c>
      <c r="P261" s="79">
        <f t="shared" si="99"/>
        <v>1071143</v>
      </c>
      <c r="Q261" s="80">
        <f t="shared" si="95"/>
        <v>14453271</v>
      </c>
      <c r="R261" s="80">
        <f t="shared" si="95"/>
        <v>7625540</v>
      </c>
      <c r="S261" s="80">
        <f t="shared" si="95"/>
        <v>22701386.34</v>
      </c>
      <c r="T261" s="84">
        <f>N261/'2015'!M261-1</f>
        <v>0.100259117987977</v>
      </c>
      <c r="U261" s="84">
        <f>O261/'2015'!N261-1</f>
        <v>-0.253478682278495</v>
      </c>
      <c r="V261" s="84">
        <f>P261/'2015'!O261-1</f>
        <v>-0.0618895104172414</v>
      </c>
      <c r="W261" s="85">
        <f>Q261/'2015'!P261-1</f>
        <v>0.0654847647308081</v>
      </c>
      <c r="X261" s="85">
        <f>R261/'2015'!Q261-1</f>
        <v>0.0446610640266811</v>
      </c>
      <c r="Y261" s="85">
        <f>S261/'2015'!R261-1</f>
        <v>0.0638192264444624</v>
      </c>
      <c r="Z261" s="54">
        <f t="shared" si="102"/>
        <v>118.03</v>
      </c>
      <c r="AA261" s="101">
        <f t="shared" si="84"/>
        <v>1327.2971</v>
      </c>
      <c r="AB261" s="109"/>
      <c r="AC261" s="109"/>
      <c r="AD261" s="9">
        <f t="shared" si="85"/>
        <v>15075846.34</v>
      </c>
      <c r="AE261" s="38">
        <f t="shared" si="87"/>
        <v>372348.333333333</v>
      </c>
      <c r="AF261" s="38">
        <f t="shared" si="87"/>
        <v>196586</v>
      </c>
      <c r="AG261" s="38">
        <f t="shared" si="86"/>
        <v>53641.0066666668</v>
      </c>
    </row>
    <row r="262" ht="15" customHeight="1" spans="1:33">
      <c r="A262" s="106">
        <v>42627</v>
      </c>
      <c r="B262" s="15" t="s">
        <v>35</v>
      </c>
      <c r="C262" s="33">
        <v>49721</v>
      </c>
      <c r="D262" s="34">
        <v>36747</v>
      </c>
      <c r="E262" s="34">
        <v>88174</v>
      </c>
      <c r="F262" s="63">
        <v>4517</v>
      </c>
      <c r="G262" s="34">
        <v>3013</v>
      </c>
      <c r="H262" s="20"/>
      <c r="I262" s="20"/>
      <c r="J262" s="33">
        <f t="shared" si="101"/>
        <v>51427</v>
      </c>
      <c r="K262" s="34">
        <f t="shared" ref="K262:K278" si="103">J262-C262-M262-L262</f>
        <v>755.333333333333</v>
      </c>
      <c r="L262" s="34">
        <v>768</v>
      </c>
      <c r="M262" s="34">
        <f t="shared" si="96"/>
        <v>182.666666666667</v>
      </c>
      <c r="N262" s="81">
        <f t="shared" si="97"/>
        <v>702782</v>
      </c>
      <c r="O262" s="82">
        <f t="shared" si="98"/>
        <v>438798</v>
      </c>
      <c r="P262" s="82">
        <f t="shared" si="99"/>
        <v>1159317</v>
      </c>
      <c r="Q262" s="81">
        <f t="shared" si="95"/>
        <v>14502992</v>
      </c>
      <c r="R262" s="81">
        <f t="shared" si="95"/>
        <v>7662287</v>
      </c>
      <c r="S262" s="81">
        <f t="shared" si="95"/>
        <v>22789560.34</v>
      </c>
      <c r="T262" s="86">
        <f>N262/'2015'!M262-1</f>
        <v>0.110503278818045</v>
      </c>
      <c r="U262" s="86">
        <f>O262/'2015'!N262-1</f>
        <v>-0.248108267419704</v>
      </c>
      <c r="V262" s="86">
        <f>P262/'2015'!O262-1</f>
        <v>-0.0547453647081846</v>
      </c>
      <c r="W262" s="86">
        <f>Q262/'2015'!P262-1</f>
        <v>0.0660617585508079</v>
      </c>
      <c r="X262" s="86">
        <f>R262/'2015'!Q262-1</f>
        <v>0.0432600396402181</v>
      </c>
      <c r="Y262" s="86">
        <f>S262/'2015'!R262-1</f>
        <v>0.0637315048809834</v>
      </c>
      <c r="Z262" s="53">
        <f t="shared" si="102"/>
        <v>118.23</v>
      </c>
      <c r="AA262" s="53">
        <f t="shared" ref="AA262:AA325" si="104">Q262/10000-Z262</f>
        <v>1332.0692</v>
      </c>
      <c r="AB262" s="34">
        <v>4234.6</v>
      </c>
      <c r="AC262" s="34">
        <f t="shared" si="89"/>
        <v>3145.67893071364</v>
      </c>
      <c r="AD262" s="33">
        <f t="shared" ref="AD262:AD325" si="105">S262-R262</f>
        <v>15127273.34</v>
      </c>
      <c r="AE262" s="34">
        <f t="shared" si="87"/>
        <v>373103.666666666</v>
      </c>
      <c r="AF262" s="34">
        <f t="shared" si="87"/>
        <v>197354</v>
      </c>
      <c r="AG262" s="34">
        <f t="shared" ref="AG262:AG325" si="106">AD262-Q262-AE262-AF262</f>
        <v>53823.6733333335</v>
      </c>
    </row>
    <row r="263" ht="15" customHeight="1" spans="1:33">
      <c r="A263" s="106">
        <v>42628</v>
      </c>
      <c r="B263" s="21" t="s">
        <v>36</v>
      </c>
      <c r="C263" s="9">
        <v>41874</v>
      </c>
      <c r="D263" s="38">
        <v>23642</v>
      </c>
      <c r="E263" s="38">
        <v>67205</v>
      </c>
      <c r="F263" s="59">
        <v>3120</v>
      </c>
      <c r="G263" s="38">
        <v>2448</v>
      </c>
      <c r="H263" s="25"/>
      <c r="I263" s="37"/>
      <c r="J263" s="9">
        <f t="shared" si="101"/>
        <v>43563</v>
      </c>
      <c r="K263" s="38">
        <f t="shared" si="103"/>
        <v>733.333333333333</v>
      </c>
      <c r="L263" s="38">
        <v>773</v>
      </c>
      <c r="M263" s="38">
        <f t="shared" si="96"/>
        <v>182.666666666667</v>
      </c>
      <c r="N263" s="78">
        <f t="shared" si="97"/>
        <v>744656</v>
      </c>
      <c r="O263" s="79">
        <f t="shared" si="98"/>
        <v>462440</v>
      </c>
      <c r="P263" s="79">
        <f t="shared" si="99"/>
        <v>1226522</v>
      </c>
      <c r="Q263" s="80">
        <f t="shared" si="95"/>
        <v>14544866</v>
      </c>
      <c r="R263" s="80">
        <f t="shared" si="95"/>
        <v>7685929</v>
      </c>
      <c r="S263" s="80">
        <f t="shared" si="95"/>
        <v>22856765.34</v>
      </c>
      <c r="T263" s="84">
        <f>N263/'2015'!M263-1</f>
        <v>0.107393968235084</v>
      </c>
      <c r="U263" s="84">
        <f>O263/'2015'!N263-1</f>
        <v>-0.26288406730383</v>
      </c>
      <c r="V263" s="84">
        <f>P263/'2015'!O263-1</f>
        <v>-0.0638051345150117</v>
      </c>
      <c r="W263" s="85">
        <f>Q263/'2015'!P263-1</f>
        <v>0.0660374703346414</v>
      </c>
      <c r="X263" s="85">
        <f>R263/'2015'!Q263-1</f>
        <v>0.0402791807028731</v>
      </c>
      <c r="Y263" s="85">
        <f>S263/'2015'!R263-1</f>
        <v>0.0627188315691687</v>
      </c>
      <c r="Z263" s="54">
        <v>118.43</v>
      </c>
      <c r="AA263" s="101">
        <f t="shared" si="104"/>
        <v>1336.0566</v>
      </c>
      <c r="AB263" s="109">
        <v>4234.6</v>
      </c>
      <c r="AC263" s="109">
        <f t="shared" si="89"/>
        <v>3155.09516837482</v>
      </c>
      <c r="AD263" s="9">
        <f t="shared" si="105"/>
        <v>15170836.34</v>
      </c>
      <c r="AE263" s="38">
        <f t="shared" ref="AE263:AF326" si="107">AE262+K263</f>
        <v>373837</v>
      </c>
      <c r="AF263" s="38">
        <f t="shared" si="107"/>
        <v>198127</v>
      </c>
      <c r="AG263" s="38">
        <f t="shared" si="106"/>
        <v>54006.3400000001</v>
      </c>
    </row>
    <row r="264" ht="15" customHeight="1" spans="1:33">
      <c r="A264" s="106">
        <v>42629</v>
      </c>
      <c r="B264" s="21" t="s">
        <v>37</v>
      </c>
      <c r="C264" s="74">
        <v>49831</v>
      </c>
      <c r="D264" s="75">
        <f>19120+6044</f>
        <v>25164</v>
      </c>
      <c r="E264" s="75">
        <v>77263</v>
      </c>
      <c r="F264" s="111">
        <v>3969.8</v>
      </c>
      <c r="G264" s="75">
        <v>2198.4</v>
      </c>
      <c r="H264" s="25"/>
      <c r="I264" s="25"/>
      <c r="J264" s="74">
        <f t="shared" si="101"/>
        <v>52099</v>
      </c>
      <c r="K264" s="75">
        <f t="shared" si="103"/>
        <v>1313.33333333333</v>
      </c>
      <c r="L264" s="75">
        <v>772</v>
      </c>
      <c r="M264" s="75">
        <f t="shared" si="96"/>
        <v>182.666666666667</v>
      </c>
      <c r="N264" s="78">
        <f t="shared" si="97"/>
        <v>794487</v>
      </c>
      <c r="O264" s="79">
        <f t="shared" si="98"/>
        <v>487604</v>
      </c>
      <c r="P264" s="79">
        <f t="shared" si="99"/>
        <v>1303785</v>
      </c>
      <c r="Q264" s="80">
        <f t="shared" si="95"/>
        <v>14594697</v>
      </c>
      <c r="R264" s="80">
        <f t="shared" si="95"/>
        <v>7711093</v>
      </c>
      <c r="S264" s="80">
        <f t="shared" si="95"/>
        <v>22934028.34</v>
      </c>
      <c r="T264" s="84">
        <f>N264/'2015'!M264-1</f>
        <v>0.114909865535039</v>
      </c>
      <c r="U264" s="84">
        <f>O264/'2015'!N264-1</f>
        <v>-0.273148451801015</v>
      </c>
      <c r="V264" s="84">
        <f>P264/'2015'!O264-1</f>
        <v>-0.0648212968993427</v>
      </c>
      <c r="W264" s="85">
        <f>Q264/'2015'!P264-1</f>
        <v>0.0665502437806662</v>
      </c>
      <c r="X264" s="85">
        <f>R264/'2015'!Q264-1</f>
        <v>0.0375789864465104</v>
      </c>
      <c r="Y264" s="85">
        <f>S264/'2015'!R264-1</f>
        <v>0.0621607501937536</v>
      </c>
      <c r="Z264" s="101">
        <f>Z263+0.236</f>
        <v>118.666</v>
      </c>
      <c r="AA264" s="101">
        <f t="shared" si="104"/>
        <v>1340.8037</v>
      </c>
      <c r="AB264" s="110"/>
      <c r="AC264" s="109"/>
      <c r="AD264" s="74">
        <f t="shared" si="105"/>
        <v>15222935.34</v>
      </c>
      <c r="AE264" s="75">
        <f t="shared" si="107"/>
        <v>375150.333333333</v>
      </c>
      <c r="AF264" s="75">
        <f t="shared" si="107"/>
        <v>198899</v>
      </c>
      <c r="AG264" s="75">
        <f t="shared" si="106"/>
        <v>54189.0066666668</v>
      </c>
    </row>
    <row r="265" ht="15" customHeight="1" spans="1:33">
      <c r="A265" s="106">
        <v>42630</v>
      </c>
      <c r="B265" s="21" t="s">
        <v>38</v>
      </c>
      <c r="C265" s="9">
        <v>53766</v>
      </c>
      <c r="D265" s="38">
        <f>21367+7208</f>
        <v>28575</v>
      </c>
      <c r="E265" s="38">
        <v>84403</v>
      </c>
      <c r="F265" s="59">
        <v>4331</v>
      </c>
      <c r="G265" s="38">
        <v>2734.3</v>
      </c>
      <c r="H265" s="25"/>
      <c r="I265" s="37"/>
      <c r="J265" s="9">
        <f t="shared" si="101"/>
        <v>55828</v>
      </c>
      <c r="K265" s="38">
        <f t="shared" si="103"/>
        <v>1100.33333333333</v>
      </c>
      <c r="L265" s="38">
        <v>779</v>
      </c>
      <c r="M265" s="38">
        <f t="shared" si="96"/>
        <v>182.666666666667</v>
      </c>
      <c r="N265" s="78">
        <f t="shared" si="97"/>
        <v>848253</v>
      </c>
      <c r="O265" s="79">
        <f t="shared" si="98"/>
        <v>516179</v>
      </c>
      <c r="P265" s="79">
        <f t="shared" si="99"/>
        <v>1388188</v>
      </c>
      <c r="Q265" s="80">
        <f t="shared" ref="Q265:S278" si="108">Q$248+N265</f>
        <v>14648463</v>
      </c>
      <c r="R265" s="80">
        <f t="shared" si="108"/>
        <v>7739668</v>
      </c>
      <c r="S265" s="80">
        <f t="shared" si="108"/>
        <v>23018431.34</v>
      </c>
      <c r="T265" s="84">
        <f>N265/'2015'!M265-1</f>
        <v>0.124255469170393</v>
      </c>
      <c r="U265" s="84">
        <f>O265/'2015'!N265-1</f>
        <v>-0.277205997669938</v>
      </c>
      <c r="V265" s="84">
        <f>P265/'2015'!O265-1</f>
        <v>-0.0619438648084678</v>
      </c>
      <c r="W265" s="85">
        <f>Q265/'2015'!P265-1</f>
        <v>0.067211586952046</v>
      </c>
      <c r="X265" s="85">
        <f>R265/'2015'!Q265-1</f>
        <v>0.0353914382297633</v>
      </c>
      <c r="Y265" s="85">
        <f>S265/'2015'!R265-1</f>
        <v>0.0618551726434919</v>
      </c>
      <c r="Z265" s="54">
        <f t="shared" ref="Z265:Z269" si="109">Z264+0.236</f>
        <v>118.902</v>
      </c>
      <c r="AA265" s="101">
        <f t="shared" si="104"/>
        <v>1345.9443</v>
      </c>
      <c r="AB265" s="109"/>
      <c r="AC265" s="109"/>
      <c r="AD265" s="9">
        <f t="shared" si="105"/>
        <v>15278763.34</v>
      </c>
      <c r="AE265" s="38">
        <f t="shared" si="107"/>
        <v>376250.666666666</v>
      </c>
      <c r="AF265" s="38">
        <f t="shared" si="107"/>
        <v>199678</v>
      </c>
      <c r="AG265" s="38">
        <f t="shared" si="106"/>
        <v>54371.6733333335</v>
      </c>
    </row>
    <row r="266" ht="15" customHeight="1" spans="1:33">
      <c r="A266" s="106">
        <v>42631</v>
      </c>
      <c r="B266" s="21" t="s">
        <v>1</v>
      </c>
      <c r="C266" s="9">
        <v>50386</v>
      </c>
      <c r="D266" s="38">
        <f>24178+7605</f>
        <v>31783</v>
      </c>
      <c r="E266" s="38">
        <v>84393</v>
      </c>
      <c r="F266" s="59">
        <v>4299.1</v>
      </c>
      <c r="G266" s="38">
        <v>2814</v>
      </c>
      <c r="H266" s="25"/>
      <c r="I266" s="37"/>
      <c r="J266" s="9">
        <f t="shared" si="101"/>
        <v>52610</v>
      </c>
      <c r="K266" s="38">
        <f t="shared" si="103"/>
        <v>1263.33333333333</v>
      </c>
      <c r="L266" s="38">
        <v>778</v>
      </c>
      <c r="M266" s="38">
        <f t="shared" si="96"/>
        <v>182.666666666667</v>
      </c>
      <c r="N266" s="78">
        <f t="shared" si="97"/>
        <v>898639</v>
      </c>
      <c r="O266" s="79">
        <f t="shared" si="98"/>
        <v>547962</v>
      </c>
      <c r="P266" s="79">
        <f t="shared" si="99"/>
        <v>1472581</v>
      </c>
      <c r="Q266" s="80">
        <f t="shared" si="108"/>
        <v>14698849</v>
      </c>
      <c r="R266" s="80">
        <f t="shared" si="108"/>
        <v>7771451</v>
      </c>
      <c r="S266" s="80">
        <f t="shared" si="108"/>
        <v>23102824.34</v>
      </c>
      <c r="T266" s="84">
        <f>N266/'2015'!M266-1</f>
        <v>0.12639351618572</v>
      </c>
      <c r="U266" s="84">
        <f>O266/'2015'!N266-1</f>
        <v>-0.275895150803971</v>
      </c>
      <c r="V266" s="84">
        <f>P266/'2015'!O266-1</f>
        <v>-0.0599882800231846</v>
      </c>
      <c r="W266" s="85">
        <f>Q266/'2015'!P266-1</f>
        <v>0.0675148530541523</v>
      </c>
      <c r="X266" s="85">
        <f>R266/'2015'!Q266-1</f>
        <v>0.0337520200624843</v>
      </c>
      <c r="Y266" s="85">
        <f>S266/'2015'!R266-1</f>
        <v>0.0615027672429234</v>
      </c>
      <c r="Z266" s="54">
        <f t="shared" si="109"/>
        <v>119.138</v>
      </c>
      <c r="AA266" s="101">
        <f t="shared" si="104"/>
        <v>1350.7469</v>
      </c>
      <c r="AB266" s="109"/>
      <c r="AC266" s="109"/>
      <c r="AD266" s="9">
        <f t="shared" si="105"/>
        <v>15331373.34</v>
      </c>
      <c r="AE266" s="38">
        <f t="shared" si="107"/>
        <v>377514</v>
      </c>
      <c r="AF266" s="38">
        <f t="shared" si="107"/>
        <v>200456</v>
      </c>
      <c r="AG266" s="38">
        <f t="shared" si="106"/>
        <v>54554.3400000002</v>
      </c>
    </row>
    <row r="267" ht="15" customHeight="1" spans="1:33">
      <c r="A267" s="106">
        <v>42632</v>
      </c>
      <c r="B267" s="21" t="s">
        <v>39</v>
      </c>
      <c r="C267" s="9">
        <v>50449</v>
      </c>
      <c r="D267" s="38">
        <f>27041+7515</f>
        <v>34556</v>
      </c>
      <c r="E267" s="38">
        <v>86849</v>
      </c>
      <c r="F267" s="59">
        <v>4383.5</v>
      </c>
      <c r="G267" s="38">
        <v>2861.1</v>
      </c>
      <c r="H267" s="25"/>
      <c r="I267" s="37"/>
      <c r="J267" s="9">
        <f t="shared" si="101"/>
        <v>52293</v>
      </c>
      <c r="K267" s="38">
        <f t="shared" si="103"/>
        <v>881.333333333333</v>
      </c>
      <c r="L267" s="38">
        <v>780</v>
      </c>
      <c r="M267" s="38">
        <f t="shared" si="96"/>
        <v>182.666666666667</v>
      </c>
      <c r="N267" s="78">
        <f t="shared" si="97"/>
        <v>949088</v>
      </c>
      <c r="O267" s="79">
        <f t="shared" si="98"/>
        <v>582518</v>
      </c>
      <c r="P267" s="79">
        <f t="shared" si="99"/>
        <v>1559430</v>
      </c>
      <c r="Q267" s="80">
        <f t="shared" si="108"/>
        <v>14749298</v>
      </c>
      <c r="R267" s="80">
        <f t="shared" si="108"/>
        <v>7806007</v>
      </c>
      <c r="S267" s="80">
        <f t="shared" si="108"/>
        <v>23189673.34</v>
      </c>
      <c r="T267" s="84">
        <f>N267/'2015'!M267-1</f>
        <v>0.129595025958043</v>
      </c>
      <c r="U267" s="84">
        <f>O267/'2015'!N267-1</f>
        <v>-0.270707510791943</v>
      </c>
      <c r="V267" s="84">
        <f>P267/'2015'!O267-1</f>
        <v>-0.0558956649771516</v>
      </c>
      <c r="W267" s="85">
        <f>Q267/'2015'!P267-1</f>
        <v>0.0678903607411208</v>
      </c>
      <c r="X267" s="85">
        <f>R267/'2015'!Q267-1</f>
        <v>0.0325798082546256</v>
      </c>
      <c r="Y267" s="85">
        <f>S267/'2015'!R267-1</f>
        <v>0.0613384137330246</v>
      </c>
      <c r="Z267" s="54">
        <f t="shared" si="109"/>
        <v>119.374</v>
      </c>
      <c r="AA267" s="101">
        <f t="shared" si="104"/>
        <v>1355.5558</v>
      </c>
      <c r="AB267" s="109"/>
      <c r="AC267" s="109"/>
      <c r="AD267" s="9">
        <f t="shared" si="105"/>
        <v>15383666.34</v>
      </c>
      <c r="AE267" s="38">
        <f t="shared" si="107"/>
        <v>378395.333333333</v>
      </c>
      <c r="AF267" s="38">
        <f t="shared" si="107"/>
        <v>201236</v>
      </c>
      <c r="AG267" s="38">
        <f t="shared" si="106"/>
        <v>54737.0066666669</v>
      </c>
    </row>
    <row r="268" ht="15" customHeight="1" spans="1:33">
      <c r="A268" s="106">
        <v>42633</v>
      </c>
      <c r="B268" s="21" t="s">
        <v>34</v>
      </c>
      <c r="C268" s="9">
        <v>50107</v>
      </c>
      <c r="D268" s="38">
        <f>28196+7536</f>
        <v>35732</v>
      </c>
      <c r="E268" s="38">
        <v>87732</v>
      </c>
      <c r="F268" s="59">
        <v>4407.3</v>
      </c>
      <c r="G268" s="38">
        <v>2961</v>
      </c>
      <c r="H268" s="25"/>
      <c r="I268" s="37"/>
      <c r="J268" s="9">
        <f t="shared" si="101"/>
        <v>52000</v>
      </c>
      <c r="K268" s="38">
        <f t="shared" si="103"/>
        <v>931.333333333333</v>
      </c>
      <c r="L268" s="38">
        <v>779</v>
      </c>
      <c r="M268" s="38">
        <f t="shared" si="96"/>
        <v>182.666666666667</v>
      </c>
      <c r="N268" s="78">
        <f t="shared" si="97"/>
        <v>999195</v>
      </c>
      <c r="O268" s="79">
        <f t="shared" si="98"/>
        <v>618250</v>
      </c>
      <c r="P268" s="79">
        <f t="shared" si="99"/>
        <v>1647162</v>
      </c>
      <c r="Q268" s="80">
        <f t="shared" si="108"/>
        <v>14799405</v>
      </c>
      <c r="R268" s="80">
        <f t="shared" si="108"/>
        <v>7841739</v>
      </c>
      <c r="S268" s="80">
        <f t="shared" si="108"/>
        <v>23277405.34</v>
      </c>
      <c r="T268" s="84">
        <f>N268/'2015'!M268-1</f>
        <v>0.139291382754563</v>
      </c>
      <c r="U268" s="84">
        <f>O268/'2015'!N268-1</f>
        <v>-0.265502559009281</v>
      </c>
      <c r="V268" s="84">
        <f>P268/'2015'!O268-1</f>
        <v>-0.0491380449961121</v>
      </c>
      <c r="W268" s="85">
        <f>Q268/'2015'!P268-1</f>
        <v>0.0686685414369779</v>
      </c>
      <c r="X268" s="85">
        <f>R268/'2015'!Q268-1</f>
        <v>0.0314411943860478</v>
      </c>
      <c r="Y268" s="85">
        <f>S268/'2015'!R268-1</f>
        <v>0.0614417243893739</v>
      </c>
      <c r="Z268" s="54">
        <f t="shared" si="109"/>
        <v>119.61</v>
      </c>
      <c r="AA268" s="101">
        <f t="shared" si="104"/>
        <v>1360.3305</v>
      </c>
      <c r="AB268" s="109"/>
      <c r="AC268" s="109"/>
      <c r="AD268" s="9">
        <f t="shared" si="105"/>
        <v>15435666.34</v>
      </c>
      <c r="AE268" s="38">
        <f t="shared" si="107"/>
        <v>379326.666666666</v>
      </c>
      <c r="AF268" s="38">
        <f t="shared" si="107"/>
        <v>202015</v>
      </c>
      <c r="AG268" s="38">
        <f t="shared" si="106"/>
        <v>54919.6733333336</v>
      </c>
    </row>
    <row r="269" ht="15" customHeight="1" spans="1:33">
      <c r="A269" s="106">
        <v>42634</v>
      </c>
      <c r="B269" s="15" t="s">
        <v>35</v>
      </c>
      <c r="C269" s="33">
        <v>53590</v>
      </c>
      <c r="D269" s="34">
        <f>28212+7278</f>
        <v>35490</v>
      </c>
      <c r="E269" s="34">
        <v>90664</v>
      </c>
      <c r="F269" s="63">
        <v>4519.9</v>
      </c>
      <c r="G269" s="34">
        <v>3057.5</v>
      </c>
      <c r="H269" s="20"/>
      <c r="I269" s="20"/>
      <c r="J269" s="33">
        <f t="shared" si="101"/>
        <v>55174</v>
      </c>
      <c r="K269" s="34">
        <f t="shared" si="103"/>
        <v>617.333333333333</v>
      </c>
      <c r="L269" s="34">
        <v>784</v>
      </c>
      <c r="M269" s="34">
        <f t="shared" si="96"/>
        <v>182.666666666667</v>
      </c>
      <c r="N269" s="81">
        <f t="shared" si="97"/>
        <v>1052785</v>
      </c>
      <c r="O269" s="82">
        <f t="shared" si="98"/>
        <v>653740</v>
      </c>
      <c r="P269" s="82">
        <f t="shared" si="99"/>
        <v>1737826</v>
      </c>
      <c r="Q269" s="81">
        <f t="shared" si="108"/>
        <v>14852995</v>
      </c>
      <c r="R269" s="81">
        <f t="shared" si="108"/>
        <v>7877229</v>
      </c>
      <c r="S269" s="81">
        <f t="shared" si="108"/>
        <v>23368069.34</v>
      </c>
      <c r="T269" s="86">
        <f>N269/'2015'!M269-1</f>
        <v>0.146937063546535</v>
      </c>
      <c r="U269" s="86">
        <f>O269/'2015'!N269-1</f>
        <v>-0.260084230017441</v>
      </c>
      <c r="V269" s="86">
        <f>P269/'2015'!O269-1</f>
        <v>-0.0432096318465811</v>
      </c>
      <c r="W269" s="86">
        <f>Q269/'2015'!P269-1</f>
        <v>0.0693816764379562</v>
      </c>
      <c r="X269" s="86">
        <f>R269/'2015'!Q269-1</f>
        <v>0.0304437097406738</v>
      </c>
      <c r="Y269" s="86">
        <f>S269/'2015'!R269-1</f>
        <v>0.0615087889014698</v>
      </c>
      <c r="Z269" s="53">
        <f t="shared" si="109"/>
        <v>119.846</v>
      </c>
      <c r="AA269" s="53">
        <f t="shared" si="104"/>
        <v>1365.4535</v>
      </c>
      <c r="AB269" s="34">
        <v>4234.6</v>
      </c>
      <c r="AC269" s="34">
        <f t="shared" ref="AC269:AC325" si="110">AA269*10000/AB269</f>
        <v>3224.51589288244</v>
      </c>
      <c r="AD269" s="33">
        <f t="shared" si="105"/>
        <v>15490840.34</v>
      </c>
      <c r="AE269" s="34">
        <f t="shared" si="107"/>
        <v>379944</v>
      </c>
      <c r="AF269" s="34">
        <f t="shared" si="107"/>
        <v>202799</v>
      </c>
      <c r="AG269" s="34">
        <f t="shared" si="106"/>
        <v>55102.3400000003</v>
      </c>
    </row>
    <row r="270" ht="15" customHeight="1" spans="1:33">
      <c r="A270" s="106">
        <v>42635</v>
      </c>
      <c r="B270" s="21" t="s">
        <v>36</v>
      </c>
      <c r="C270" s="9">
        <v>54583</v>
      </c>
      <c r="D270" s="38">
        <f>28066+7459</f>
        <v>35525</v>
      </c>
      <c r="E270" s="38">
        <v>92196</v>
      </c>
      <c r="F270" s="59">
        <v>4576.2</v>
      </c>
      <c r="G270" s="38">
        <v>3116.4</v>
      </c>
      <c r="H270" s="25"/>
      <c r="I270" s="37"/>
      <c r="J270" s="9">
        <f t="shared" si="101"/>
        <v>56671</v>
      </c>
      <c r="K270" s="38">
        <f t="shared" si="103"/>
        <v>1120.33333333333</v>
      </c>
      <c r="L270" s="38">
        <v>785</v>
      </c>
      <c r="M270" s="38">
        <f t="shared" si="96"/>
        <v>182.666666666667</v>
      </c>
      <c r="N270" s="78">
        <f t="shared" si="97"/>
        <v>1107368</v>
      </c>
      <c r="O270" s="79">
        <f t="shared" si="98"/>
        <v>689265</v>
      </c>
      <c r="P270" s="79">
        <f t="shared" si="99"/>
        <v>1830022</v>
      </c>
      <c r="Q270" s="80">
        <f t="shared" si="108"/>
        <v>14907578</v>
      </c>
      <c r="R270" s="80">
        <f t="shared" si="108"/>
        <v>7912754</v>
      </c>
      <c r="S270" s="80">
        <f t="shared" si="108"/>
        <v>23460265.34</v>
      </c>
      <c r="T270" s="84">
        <f>N270/'2015'!M270-1</f>
        <v>0.151617760842617</v>
      </c>
      <c r="U270" s="84">
        <f>O270/'2015'!N270-1</f>
        <v>-0.254185881940492</v>
      </c>
      <c r="V270" s="84">
        <f>P270/'2015'!O270-1</f>
        <v>-0.0374799740385697</v>
      </c>
      <c r="W270" s="85">
        <f>Q270/'2015'!P270-1</f>
        <v>0.069947770027351</v>
      </c>
      <c r="X270" s="85">
        <f>R270/'2015'!Q270-1</f>
        <v>0.0296164796847738</v>
      </c>
      <c r="Y270" s="85">
        <f>S270/'2015'!R270-1</f>
        <v>0.06159908046468</v>
      </c>
      <c r="Z270" s="54">
        <v>120.08</v>
      </c>
      <c r="AA270" s="101">
        <f t="shared" si="104"/>
        <v>1370.6778</v>
      </c>
      <c r="AB270" s="109">
        <v>4234.6</v>
      </c>
      <c r="AC270" s="109">
        <f t="shared" si="110"/>
        <v>3236.85306758608</v>
      </c>
      <c r="AD270" s="9">
        <f t="shared" si="105"/>
        <v>15547511.34</v>
      </c>
      <c r="AE270" s="38">
        <f t="shared" si="107"/>
        <v>381064.333333333</v>
      </c>
      <c r="AF270" s="38">
        <f t="shared" si="107"/>
        <v>203584</v>
      </c>
      <c r="AG270" s="38">
        <f t="shared" si="106"/>
        <v>55285.0066666669</v>
      </c>
    </row>
    <row r="271" ht="15" customHeight="1" spans="1:33">
      <c r="A271" s="106">
        <v>42636</v>
      </c>
      <c r="B271" s="21" t="s">
        <v>37</v>
      </c>
      <c r="C271" s="74">
        <v>56653</v>
      </c>
      <c r="D271" s="75">
        <f>27463+7373</f>
        <v>34836</v>
      </c>
      <c r="E271" s="75">
        <v>93742</v>
      </c>
      <c r="F271" s="111">
        <v>4686.8</v>
      </c>
      <c r="G271" s="75">
        <v>3149.9</v>
      </c>
      <c r="H271" s="25"/>
      <c r="I271" s="25"/>
      <c r="J271" s="74">
        <f t="shared" si="101"/>
        <v>58906</v>
      </c>
      <c r="K271" s="75">
        <f t="shared" si="103"/>
        <v>1289.33333333333</v>
      </c>
      <c r="L271" s="75">
        <v>781</v>
      </c>
      <c r="M271" s="75">
        <f t="shared" si="96"/>
        <v>182.666666666667</v>
      </c>
      <c r="N271" s="78">
        <f t="shared" si="97"/>
        <v>1164021</v>
      </c>
      <c r="O271" s="79">
        <f t="shared" si="98"/>
        <v>724101</v>
      </c>
      <c r="P271" s="79">
        <f t="shared" si="99"/>
        <v>1923764</v>
      </c>
      <c r="Q271" s="80">
        <f t="shared" si="108"/>
        <v>14964231</v>
      </c>
      <c r="R271" s="80">
        <f t="shared" si="108"/>
        <v>7947590</v>
      </c>
      <c r="S271" s="80">
        <f t="shared" si="108"/>
        <v>23554007.34</v>
      </c>
      <c r="T271" s="84">
        <f>N271/'2015'!M271-1</f>
        <v>0.157613608675979</v>
      </c>
      <c r="U271" s="84">
        <f>O271/'2015'!N271-1</f>
        <v>-0.247122516838605</v>
      </c>
      <c r="V271" s="84">
        <f>P271/'2015'!O271-1</f>
        <v>-0.0320752457592751</v>
      </c>
      <c r="W271" s="85">
        <f>Q271/'2015'!P271-1</f>
        <v>0.0706359861643684</v>
      </c>
      <c r="X271" s="85">
        <f>R271/'2015'!Q271-1</f>
        <v>0.029114381191045</v>
      </c>
      <c r="Y271" s="85">
        <f>S271/'2015'!R271-1</f>
        <v>0.061698163912731</v>
      </c>
      <c r="Z271" s="101">
        <f>Z270+0.2125</f>
        <v>120.2925</v>
      </c>
      <c r="AA271" s="101">
        <f t="shared" si="104"/>
        <v>1376.1306</v>
      </c>
      <c r="AB271" s="110"/>
      <c r="AC271" s="109"/>
      <c r="AD271" s="74">
        <f t="shared" si="105"/>
        <v>15606417.34</v>
      </c>
      <c r="AE271" s="75">
        <f t="shared" si="107"/>
        <v>382353.666666666</v>
      </c>
      <c r="AF271" s="75">
        <f t="shared" si="107"/>
        <v>204365</v>
      </c>
      <c r="AG271" s="75">
        <f t="shared" si="106"/>
        <v>55467.6733333336</v>
      </c>
    </row>
    <row r="272" ht="15" customHeight="1" spans="1:33">
      <c r="A272" s="106">
        <v>42637</v>
      </c>
      <c r="B272" s="21" t="s">
        <v>38</v>
      </c>
      <c r="C272" s="9">
        <v>57607</v>
      </c>
      <c r="D272" s="38">
        <v>33827</v>
      </c>
      <c r="E272" s="38">
        <v>93602</v>
      </c>
      <c r="F272" s="59">
        <v>4661.4</v>
      </c>
      <c r="G272" s="38">
        <v>3175.5</v>
      </c>
      <c r="H272" s="25"/>
      <c r="I272" s="37"/>
      <c r="J272" s="9">
        <f t="shared" si="101"/>
        <v>59775</v>
      </c>
      <c r="K272" s="38">
        <f t="shared" si="103"/>
        <v>1201.33333333333</v>
      </c>
      <c r="L272" s="38">
        <v>784</v>
      </c>
      <c r="M272" s="38">
        <f t="shared" si="96"/>
        <v>182.666666666667</v>
      </c>
      <c r="N272" s="78">
        <f t="shared" si="97"/>
        <v>1221628</v>
      </c>
      <c r="O272" s="79">
        <f t="shared" si="98"/>
        <v>757928</v>
      </c>
      <c r="P272" s="79">
        <f t="shared" si="99"/>
        <v>2017366</v>
      </c>
      <c r="Q272" s="80">
        <f t="shared" si="108"/>
        <v>15021838</v>
      </c>
      <c r="R272" s="80">
        <f t="shared" si="108"/>
        <v>7981417</v>
      </c>
      <c r="S272" s="80">
        <f t="shared" si="108"/>
        <v>23647609.34</v>
      </c>
      <c r="T272" s="84">
        <f>N272/'2015'!M272-1</f>
        <v>0.163868688591281</v>
      </c>
      <c r="U272" s="84">
        <f>O272/'2015'!N272-1</f>
        <v>-0.244604087100041</v>
      </c>
      <c r="V272" s="84">
        <f>P272/'2015'!O272-1</f>
        <v>-0.0275790629529529</v>
      </c>
      <c r="W272" s="85">
        <f>Q272/'2015'!P272-1</f>
        <v>0.0713777651554837</v>
      </c>
      <c r="X272" s="85">
        <f>R272/'2015'!Q272-1</f>
        <v>0.027960719295351</v>
      </c>
      <c r="Y272" s="85">
        <f>S272/'2015'!R272-1</f>
        <v>0.0617503869270362</v>
      </c>
      <c r="Z272" s="54">
        <f t="shared" ref="Z272:Z277" si="111">Z271+0.2125</f>
        <v>120.505</v>
      </c>
      <c r="AA272" s="101">
        <f t="shared" si="104"/>
        <v>1381.6788</v>
      </c>
      <c r="AB272" s="109"/>
      <c r="AC272" s="109"/>
      <c r="AD272" s="9">
        <f t="shared" si="105"/>
        <v>15666192.34</v>
      </c>
      <c r="AE272" s="38">
        <f t="shared" si="107"/>
        <v>383555</v>
      </c>
      <c r="AF272" s="38">
        <f t="shared" si="107"/>
        <v>205149</v>
      </c>
      <c r="AG272" s="38">
        <f t="shared" si="106"/>
        <v>55650.3400000003</v>
      </c>
    </row>
    <row r="273" ht="15" customHeight="1" spans="1:33">
      <c r="A273" s="106">
        <v>42638</v>
      </c>
      <c r="B273" s="21" t="s">
        <v>1</v>
      </c>
      <c r="C273" s="9">
        <v>54217</v>
      </c>
      <c r="D273" s="38">
        <v>33923</v>
      </c>
      <c r="E273" s="38">
        <v>90559</v>
      </c>
      <c r="F273" s="59">
        <v>4489</v>
      </c>
      <c r="G273" s="38">
        <v>3162.8</v>
      </c>
      <c r="H273" s="25"/>
      <c r="I273" s="37"/>
      <c r="J273" s="9">
        <f t="shared" si="101"/>
        <v>56636</v>
      </c>
      <c r="K273" s="38">
        <f t="shared" si="103"/>
        <v>1455.33333333333</v>
      </c>
      <c r="L273" s="38">
        <v>781</v>
      </c>
      <c r="M273" s="38">
        <f t="shared" si="96"/>
        <v>182.666666666667</v>
      </c>
      <c r="N273" s="78">
        <f t="shared" si="97"/>
        <v>1275845</v>
      </c>
      <c r="O273" s="79">
        <f t="shared" si="98"/>
        <v>791851</v>
      </c>
      <c r="P273" s="79">
        <f t="shared" si="99"/>
        <v>2107925</v>
      </c>
      <c r="Q273" s="80">
        <f t="shared" si="108"/>
        <v>15076055</v>
      </c>
      <c r="R273" s="80">
        <f t="shared" si="108"/>
        <v>8015340</v>
      </c>
      <c r="S273" s="80">
        <f t="shared" si="108"/>
        <v>23738168.34</v>
      </c>
      <c r="T273" s="84">
        <f>N273/'2015'!M273-1</f>
        <v>0.167809752029957</v>
      </c>
      <c r="U273" s="84">
        <f>O273/'2015'!N273-1</f>
        <v>-0.242223917118914</v>
      </c>
      <c r="V273" s="84">
        <f>P273/'2015'!O273-1</f>
        <v>-0.0245039625151848</v>
      </c>
      <c r="W273" s="85">
        <f>Q273/'2015'!P273-1</f>
        <v>0.0719659389682727</v>
      </c>
      <c r="X273" s="85">
        <f>R273/'2015'!Q273-1</f>
        <v>0.0268262512016497</v>
      </c>
      <c r="Y273" s="85">
        <f>S273/'2015'!R273-1</f>
        <v>0.0617028128931796</v>
      </c>
      <c r="Z273" s="54">
        <f t="shared" si="111"/>
        <v>120.7175</v>
      </c>
      <c r="AA273" s="101">
        <f t="shared" si="104"/>
        <v>1386.888</v>
      </c>
      <c r="AB273" s="109"/>
      <c r="AC273" s="109"/>
      <c r="AD273" s="9">
        <f t="shared" si="105"/>
        <v>15722828.34</v>
      </c>
      <c r="AE273" s="38">
        <f t="shared" si="107"/>
        <v>385010.333333333</v>
      </c>
      <c r="AF273" s="38">
        <f t="shared" si="107"/>
        <v>205930</v>
      </c>
      <c r="AG273" s="38">
        <f t="shared" si="106"/>
        <v>55833.006666667</v>
      </c>
    </row>
    <row r="274" ht="15" customHeight="1" spans="1:33">
      <c r="A274" s="106">
        <v>42639</v>
      </c>
      <c r="B274" s="21" t="s">
        <v>39</v>
      </c>
      <c r="C274" s="9">
        <v>58534</v>
      </c>
      <c r="D274" s="38">
        <f>26976+8118</f>
        <v>35094</v>
      </c>
      <c r="E274" s="38">
        <v>96227</v>
      </c>
      <c r="F274" s="59">
        <v>4823.2</v>
      </c>
      <c r="G274" s="38">
        <v>3105.3</v>
      </c>
      <c r="H274" s="25"/>
      <c r="I274" s="37"/>
      <c r="J274" s="9">
        <f t="shared" si="101"/>
        <v>61133</v>
      </c>
      <c r="K274" s="38">
        <f t="shared" si="103"/>
        <v>1633.33333333333</v>
      </c>
      <c r="L274" s="38">
        <v>783</v>
      </c>
      <c r="M274" s="38">
        <f t="shared" si="96"/>
        <v>182.666666666667</v>
      </c>
      <c r="N274" s="78">
        <f t="shared" si="97"/>
        <v>1334379</v>
      </c>
      <c r="O274" s="79">
        <f t="shared" si="98"/>
        <v>826945</v>
      </c>
      <c r="P274" s="79">
        <f t="shared" si="99"/>
        <v>2204152</v>
      </c>
      <c r="Q274" s="80">
        <f t="shared" si="108"/>
        <v>15134589</v>
      </c>
      <c r="R274" s="80">
        <f t="shared" si="108"/>
        <v>8050434</v>
      </c>
      <c r="S274" s="80">
        <f t="shared" si="108"/>
        <v>23834395.34</v>
      </c>
      <c r="T274" s="84">
        <f>N274/'2015'!M274-1</f>
        <v>0.176710397172464</v>
      </c>
      <c r="U274" s="84">
        <f>O274/'2015'!N274-1</f>
        <v>-0.237041294772601</v>
      </c>
      <c r="V274" s="84">
        <f>P274/'2015'!O274-1</f>
        <v>-0.0174344325361906</v>
      </c>
      <c r="W274" s="85">
        <f>Q274/'2015'!P274-1</f>
        <v>0.0729633471864095</v>
      </c>
      <c r="X274" s="85">
        <f>R274/'2015'!Q274-1</f>
        <v>0.0262081994076357</v>
      </c>
      <c r="Y274" s="85">
        <f>S274/'2015'!R274-1</f>
        <v>0.0620930139911968</v>
      </c>
      <c r="Z274" s="54">
        <f t="shared" si="111"/>
        <v>120.93</v>
      </c>
      <c r="AA274" s="101">
        <f t="shared" si="104"/>
        <v>1392.5289</v>
      </c>
      <c r="AB274" s="109"/>
      <c r="AC274" s="109"/>
      <c r="AD274" s="9">
        <f t="shared" si="105"/>
        <v>15783961.34</v>
      </c>
      <c r="AE274" s="38">
        <f t="shared" si="107"/>
        <v>386643.666666666</v>
      </c>
      <c r="AF274" s="38">
        <f t="shared" si="107"/>
        <v>206713</v>
      </c>
      <c r="AG274" s="38">
        <f t="shared" si="106"/>
        <v>56015.6733333337</v>
      </c>
    </row>
    <row r="275" ht="15" customHeight="1" spans="1:33">
      <c r="A275" s="106">
        <v>42640</v>
      </c>
      <c r="B275" s="21" t="s">
        <v>34</v>
      </c>
      <c r="C275" s="9">
        <v>58894</v>
      </c>
      <c r="D275" s="38">
        <f>28193+8618</f>
        <v>36811</v>
      </c>
      <c r="E275" s="38">
        <v>98688</v>
      </c>
      <c r="F275" s="59">
        <v>4970.8</v>
      </c>
      <c r="G275" s="38">
        <v>3233.9</v>
      </c>
      <c r="H275" s="25"/>
      <c r="I275" s="37"/>
      <c r="J275" s="9">
        <f t="shared" si="101"/>
        <v>61877</v>
      </c>
      <c r="K275" s="38">
        <f t="shared" si="103"/>
        <v>2022.33333333333</v>
      </c>
      <c r="L275" s="38">
        <v>778</v>
      </c>
      <c r="M275" s="38">
        <f t="shared" si="96"/>
        <v>182.666666666667</v>
      </c>
      <c r="N275" s="78">
        <f t="shared" si="97"/>
        <v>1393273</v>
      </c>
      <c r="O275" s="79">
        <f t="shared" si="98"/>
        <v>863756</v>
      </c>
      <c r="P275" s="79">
        <f t="shared" si="99"/>
        <v>2302840</v>
      </c>
      <c r="Q275" s="80">
        <f t="shared" si="108"/>
        <v>15193483</v>
      </c>
      <c r="R275" s="80">
        <f t="shared" si="108"/>
        <v>8087245</v>
      </c>
      <c r="S275" s="80">
        <f t="shared" si="108"/>
        <v>23933083.34</v>
      </c>
      <c r="T275" s="84">
        <f>N275/'2015'!M275-1</f>
        <v>0.193960412499764</v>
      </c>
      <c r="U275" s="84">
        <f>O275/'2015'!N275-1</f>
        <v>-0.224425989428023</v>
      </c>
      <c r="V275" s="84">
        <f>P275/'2015'!O275-1</f>
        <v>-0.00233339369715102</v>
      </c>
      <c r="W275" s="85">
        <f>Q275/'2015'!P275-1</f>
        <v>0.0746288429332014</v>
      </c>
      <c r="X275" s="85">
        <f>R275/'2015'!Q275-1</f>
        <v>0.0269950428386314</v>
      </c>
      <c r="Y275" s="85">
        <f>S275/'2015'!R275-1</f>
        <v>0.0634122301622524</v>
      </c>
      <c r="Z275" s="54">
        <f t="shared" si="111"/>
        <v>121.1425</v>
      </c>
      <c r="AA275" s="101">
        <f t="shared" si="104"/>
        <v>1398.2058</v>
      </c>
      <c r="AB275" s="109"/>
      <c r="AC275" s="109"/>
      <c r="AD275" s="9">
        <f t="shared" si="105"/>
        <v>15845838.34</v>
      </c>
      <c r="AE275" s="38">
        <f t="shared" si="107"/>
        <v>388665.999999999</v>
      </c>
      <c r="AF275" s="38">
        <f t="shared" si="107"/>
        <v>207491</v>
      </c>
      <c r="AG275" s="38">
        <f t="shared" si="106"/>
        <v>56198.3400000004</v>
      </c>
    </row>
    <row r="276" ht="15" customHeight="1" spans="1:33">
      <c r="A276" s="106">
        <v>42641</v>
      </c>
      <c r="B276" s="15" t="s">
        <v>35</v>
      </c>
      <c r="C276" s="33">
        <v>55693</v>
      </c>
      <c r="D276" s="34">
        <f>28861+8507</f>
        <v>37368</v>
      </c>
      <c r="E276" s="34">
        <v>96088</v>
      </c>
      <c r="F276" s="63">
        <v>4980.7</v>
      </c>
      <c r="G276" s="34">
        <v>3246.4</v>
      </c>
      <c r="H276" s="20"/>
      <c r="I276" s="20"/>
      <c r="J276" s="33">
        <f t="shared" si="101"/>
        <v>58720</v>
      </c>
      <c r="K276" s="34">
        <f t="shared" si="103"/>
        <v>2065.33333333333</v>
      </c>
      <c r="L276" s="34">
        <v>779</v>
      </c>
      <c r="M276" s="34">
        <f t="shared" si="96"/>
        <v>182.666666666667</v>
      </c>
      <c r="N276" s="81">
        <f t="shared" si="97"/>
        <v>1448966</v>
      </c>
      <c r="O276" s="82">
        <f t="shared" si="98"/>
        <v>901124</v>
      </c>
      <c r="P276" s="82">
        <f t="shared" si="99"/>
        <v>2398928</v>
      </c>
      <c r="Q276" s="81">
        <f t="shared" si="108"/>
        <v>15249176</v>
      </c>
      <c r="R276" s="81">
        <f t="shared" si="108"/>
        <v>8124613</v>
      </c>
      <c r="S276" s="81">
        <f t="shared" si="108"/>
        <v>24029171.34</v>
      </c>
      <c r="T276" s="86">
        <f>N276/'2015'!M276-1</f>
        <v>0.202038452859741</v>
      </c>
      <c r="U276" s="86">
        <f>O276/'2015'!N276-1</f>
        <v>-0.216622359615615</v>
      </c>
      <c r="V276" s="86">
        <f>P276/'2015'!O276-1</f>
        <v>0.00561846972888569</v>
      </c>
      <c r="W276" s="86">
        <f>Q276/'2015'!P276-1</f>
        <v>0.0756396839804403</v>
      </c>
      <c r="X276" s="86">
        <f>R276/'2015'!Q276-1</f>
        <v>0.0269663233802389</v>
      </c>
      <c r="Y276" s="86">
        <f>S276/'2015'!R276-1</f>
        <v>0.0640271686544764</v>
      </c>
      <c r="Z276" s="53">
        <f t="shared" si="111"/>
        <v>121.355</v>
      </c>
      <c r="AA276" s="53">
        <f t="shared" si="104"/>
        <v>1403.5626</v>
      </c>
      <c r="AB276" s="34">
        <v>4234.6</v>
      </c>
      <c r="AC276" s="34">
        <f t="shared" si="110"/>
        <v>3314.51046143674</v>
      </c>
      <c r="AD276" s="33">
        <f t="shared" si="105"/>
        <v>15904558.34</v>
      </c>
      <c r="AE276" s="34">
        <f t="shared" si="107"/>
        <v>390731.333333333</v>
      </c>
      <c r="AF276" s="34">
        <f t="shared" si="107"/>
        <v>208270</v>
      </c>
      <c r="AG276" s="34">
        <f t="shared" si="106"/>
        <v>56381.0066666671</v>
      </c>
    </row>
    <row r="277" ht="15" customHeight="1" spans="1:33">
      <c r="A277" s="106">
        <v>42642</v>
      </c>
      <c r="B277" s="21" t="s">
        <v>36</v>
      </c>
      <c r="C277" s="9">
        <v>46127</v>
      </c>
      <c r="D277" s="38">
        <v>41035</v>
      </c>
      <c r="E277" s="38">
        <v>89482</v>
      </c>
      <c r="F277" s="59">
        <v>4658</v>
      </c>
      <c r="G277" s="38">
        <v>2983</v>
      </c>
      <c r="H277" s="25"/>
      <c r="I277" s="37"/>
      <c r="J277" s="9">
        <f t="shared" si="101"/>
        <v>48447</v>
      </c>
      <c r="K277" s="38">
        <f t="shared" si="103"/>
        <v>1357.33333333333</v>
      </c>
      <c r="L277" s="38">
        <v>780</v>
      </c>
      <c r="M277" s="38">
        <f t="shared" si="96"/>
        <v>182.666666666667</v>
      </c>
      <c r="N277" s="78">
        <f t="shared" si="97"/>
        <v>1495093</v>
      </c>
      <c r="O277" s="79">
        <f t="shared" si="98"/>
        <v>942159</v>
      </c>
      <c r="P277" s="79">
        <f t="shared" si="99"/>
        <v>2488410</v>
      </c>
      <c r="Q277" s="80">
        <f t="shared" si="108"/>
        <v>15295303</v>
      </c>
      <c r="R277" s="80">
        <f t="shared" si="108"/>
        <v>8165648</v>
      </c>
      <c r="S277" s="80">
        <f t="shared" si="108"/>
        <v>24118653.34</v>
      </c>
      <c r="T277" s="84">
        <f>N277/'2015'!M277-1</f>
        <v>0.200304272255428</v>
      </c>
      <c r="U277" s="84">
        <f>O277/'2015'!N277-1</f>
        <v>-0.208059451081127</v>
      </c>
      <c r="V277" s="84">
        <f>P277/'2015'!O277-1</f>
        <v>0.00925416319725114</v>
      </c>
      <c r="W277" s="85">
        <f>Q277/'2015'!P277-1</f>
        <v>0.0758448943044654</v>
      </c>
      <c r="X277" s="85">
        <f>R277/'2015'!Q277-1</f>
        <v>0.02704117510851</v>
      </c>
      <c r="Y277" s="85">
        <f>S277/'2015'!R277-1</f>
        <v>0.0642163499674075</v>
      </c>
      <c r="Z277" s="54">
        <f t="shared" si="111"/>
        <v>121.5675</v>
      </c>
      <c r="AA277" s="101">
        <f t="shared" si="104"/>
        <v>1407.9628</v>
      </c>
      <c r="AB277" s="109"/>
      <c r="AC277" s="109"/>
      <c r="AD277" s="9">
        <f t="shared" si="105"/>
        <v>15953005.34</v>
      </c>
      <c r="AE277" s="38">
        <f t="shared" si="107"/>
        <v>392088.666666666</v>
      </c>
      <c r="AF277" s="38">
        <f t="shared" si="107"/>
        <v>209050</v>
      </c>
      <c r="AG277" s="38">
        <f t="shared" si="106"/>
        <v>56563.6733333337</v>
      </c>
    </row>
    <row r="278" s="1" customFormat="1" ht="15" customHeight="1" spans="1:33">
      <c r="A278" s="26">
        <v>42643</v>
      </c>
      <c r="B278" s="26" t="s">
        <v>37</v>
      </c>
      <c r="C278" s="43">
        <v>46953</v>
      </c>
      <c r="D278" s="44">
        <v>36548</v>
      </c>
      <c r="E278" s="44">
        <v>87390</v>
      </c>
      <c r="F278" s="61">
        <v>4528</v>
      </c>
      <c r="G278" s="44">
        <v>2918</v>
      </c>
      <c r="H278" s="31"/>
      <c r="I278" s="31"/>
      <c r="J278" s="43">
        <f t="shared" si="101"/>
        <v>50842</v>
      </c>
      <c r="K278" s="44">
        <f t="shared" si="103"/>
        <v>2923.33333333333</v>
      </c>
      <c r="L278" s="44">
        <v>783</v>
      </c>
      <c r="M278" s="44">
        <f t="shared" si="96"/>
        <v>182.666666666667</v>
      </c>
      <c r="N278" s="91">
        <f t="shared" si="97"/>
        <v>1542046</v>
      </c>
      <c r="O278" s="92">
        <f t="shared" si="98"/>
        <v>978707</v>
      </c>
      <c r="P278" s="92">
        <f t="shared" si="99"/>
        <v>2575800</v>
      </c>
      <c r="Q278" s="91">
        <f t="shared" si="108"/>
        <v>15342256</v>
      </c>
      <c r="R278" s="91">
        <f t="shared" si="108"/>
        <v>8202196</v>
      </c>
      <c r="S278" s="91">
        <f t="shared" si="108"/>
        <v>24206043.34</v>
      </c>
      <c r="T278" s="93">
        <f>N278/'2015'!M278-1</f>
        <v>0.200004046585538</v>
      </c>
      <c r="U278" s="93">
        <f>O278/'2015'!N278-1</f>
        <v>-0.201048988155005</v>
      </c>
      <c r="V278" s="93">
        <f>P278/'2015'!O278-1</f>
        <v>0.0130945558851951</v>
      </c>
      <c r="W278" s="93">
        <f>Q278/'2015'!P278-1</f>
        <v>0.0761621368118608</v>
      </c>
      <c r="X278" s="93">
        <f>R278/'2015'!Q278-1</f>
        <v>0.0270771487807537</v>
      </c>
      <c r="Y278" s="93">
        <f>S278/'2015'!R278-1</f>
        <v>0.064459833335774</v>
      </c>
      <c r="Z278" s="56">
        <v>121.7778</v>
      </c>
      <c r="AA278" s="56">
        <f t="shared" si="104"/>
        <v>1412.4478</v>
      </c>
      <c r="AB278" s="102">
        <v>4235.1</v>
      </c>
      <c r="AC278" s="44">
        <f t="shared" si="110"/>
        <v>3335.09905315105</v>
      </c>
      <c r="AD278" s="43">
        <f t="shared" si="105"/>
        <v>16003847.34</v>
      </c>
      <c r="AE278" s="44">
        <v>395013</v>
      </c>
      <c r="AF278" s="44">
        <v>209832</v>
      </c>
      <c r="AG278" s="44">
        <f t="shared" si="106"/>
        <v>56746.3399999999</v>
      </c>
    </row>
    <row r="279" ht="15" customHeight="1" spans="1:33">
      <c r="A279" s="14">
        <v>42644</v>
      </c>
      <c r="B279" s="21" t="s">
        <v>38</v>
      </c>
      <c r="C279" s="9">
        <v>39008</v>
      </c>
      <c r="D279" s="38">
        <v>20736</v>
      </c>
      <c r="E279" s="38">
        <v>63489</v>
      </c>
      <c r="F279" s="59">
        <v>3108</v>
      </c>
      <c r="G279" s="38">
        <v>2401</v>
      </c>
      <c r="H279" s="25"/>
      <c r="I279" s="37"/>
      <c r="J279" s="9">
        <f t="shared" si="101"/>
        <v>42753</v>
      </c>
      <c r="K279" s="38">
        <v>2952</v>
      </c>
      <c r="L279" s="38">
        <v>567</v>
      </c>
      <c r="M279" s="38">
        <f>J279-K279-L279-C279</f>
        <v>226</v>
      </c>
      <c r="N279" s="78">
        <f>C279</f>
        <v>39008</v>
      </c>
      <c r="O279" s="79">
        <f>D279</f>
        <v>20736</v>
      </c>
      <c r="P279" s="79">
        <f>E279</f>
        <v>63489</v>
      </c>
      <c r="Q279" s="80">
        <f>Q$278+N279</f>
        <v>15381264</v>
      </c>
      <c r="R279" s="80">
        <f>R$278+O279</f>
        <v>8222932</v>
      </c>
      <c r="S279" s="80">
        <f>S$278+P279</f>
        <v>24269532.34</v>
      </c>
      <c r="T279" s="84">
        <f>N279/'2015'!M279-1</f>
        <v>0.630837409590702</v>
      </c>
      <c r="U279" s="84">
        <f>O279/'2015'!N279-1</f>
        <v>-0.163870967741935</v>
      </c>
      <c r="V279" s="84">
        <f>P279/'2015'!O279-1</f>
        <v>0.252668547639248</v>
      </c>
      <c r="W279" s="85">
        <f>Q279/'2015'!P279-1</f>
        <v>0.0770911936263849</v>
      </c>
      <c r="X279" s="85">
        <f>R279/'2015'!Q279-1</f>
        <v>0.0264860046345172</v>
      </c>
      <c r="Y279" s="85">
        <f>S279/'2015'!R279-1</f>
        <v>0.0648783768746959</v>
      </c>
      <c r="Z279" s="54">
        <f>Z278+0.147</f>
        <v>121.9248</v>
      </c>
      <c r="AA279" s="101">
        <f t="shared" si="104"/>
        <v>1416.2016</v>
      </c>
      <c r="AB279" s="109"/>
      <c r="AC279" s="109"/>
      <c r="AD279" s="9">
        <f t="shared" si="105"/>
        <v>16046600.34</v>
      </c>
      <c r="AE279" s="38">
        <f t="shared" si="107"/>
        <v>397965</v>
      </c>
      <c r="AF279" s="38">
        <f t="shared" si="107"/>
        <v>210399</v>
      </c>
      <c r="AG279" s="38">
        <f t="shared" si="106"/>
        <v>56972.3399999999</v>
      </c>
    </row>
    <row r="280" ht="15" customHeight="1" spans="1:33">
      <c r="A280" s="14">
        <v>42645</v>
      </c>
      <c r="B280" s="21" t="s">
        <v>1</v>
      </c>
      <c r="C280" s="9">
        <v>41014</v>
      </c>
      <c r="D280" s="38">
        <v>22501</v>
      </c>
      <c r="E280" s="38">
        <v>67457</v>
      </c>
      <c r="F280" s="59">
        <v>3241</v>
      </c>
      <c r="G280" s="38">
        <v>2125</v>
      </c>
      <c r="H280" s="25"/>
      <c r="I280" s="37"/>
      <c r="J280" s="9">
        <f t="shared" si="101"/>
        <v>44956</v>
      </c>
      <c r="K280" s="38">
        <v>3193</v>
      </c>
      <c r="L280" s="38">
        <v>544</v>
      </c>
      <c r="M280" s="38">
        <f t="shared" ref="M280:M345" si="112">J280-K280-L280-C280</f>
        <v>205</v>
      </c>
      <c r="N280" s="78">
        <f t="shared" ref="N280:N309" si="113">C280+N279</f>
        <v>80022</v>
      </c>
      <c r="O280" s="79">
        <f t="shared" ref="O280:O309" si="114">D280+O279</f>
        <v>43237</v>
      </c>
      <c r="P280" s="79">
        <f t="shared" ref="P280:P309" si="115">E280+P279</f>
        <v>130946</v>
      </c>
      <c r="Q280" s="80">
        <f t="shared" ref="Q280:S309" si="116">Q$278+N280</f>
        <v>15422278</v>
      </c>
      <c r="R280" s="80">
        <f t="shared" si="116"/>
        <v>8245433</v>
      </c>
      <c r="S280" s="80">
        <f t="shared" si="116"/>
        <v>24336989.34</v>
      </c>
      <c r="T280" s="84">
        <f>N280/'2015'!M280-1</f>
        <v>0.705535071079946</v>
      </c>
      <c r="U280" s="84">
        <f>O280/'2015'!N280-1</f>
        <v>-0.119409368635438</v>
      </c>
      <c r="V280" s="84">
        <f>P280/'2015'!O280-1</f>
        <v>0.310600222193308</v>
      </c>
      <c r="W280" s="85">
        <f>Q280/'2015'!P280-1</f>
        <v>0.0782266532516491</v>
      </c>
      <c r="X280" s="85">
        <f>R280/'2015'!Q280-1</f>
        <v>0.0261820106112476</v>
      </c>
      <c r="Y280" s="85">
        <f>S280/'2015'!R280-1</f>
        <v>0.0655365622764077</v>
      </c>
      <c r="Z280" s="54">
        <f t="shared" ref="Z280:Z297" si="117">Z279+0.147</f>
        <v>122.0718</v>
      </c>
      <c r="AA280" s="101">
        <f t="shared" si="104"/>
        <v>1420.156</v>
      </c>
      <c r="AB280" s="109"/>
      <c r="AC280" s="109"/>
      <c r="AD280" s="9">
        <f t="shared" si="105"/>
        <v>16091556.34</v>
      </c>
      <c r="AE280" s="38">
        <f t="shared" si="107"/>
        <v>401158</v>
      </c>
      <c r="AF280" s="38">
        <f t="shared" si="107"/>
        <v>210943</v>
      </c>
      <c r="AG280" s="38">
        <f t="shared" si="106"/>
        <v>57177.3399999999</v>
      </c>
    </row>
    <row r="281" ht="15" customHeight="1" spans="1:33">
      <c r="A281" s="14">
        <v>42646</v>
      </c>
      <c r="B281" s="21" t="s">
        <v>39</v>
      </c>
      <c r="C281" s="9">
        <v>44853</v>
      </c>
      <c r="D281" s="38">
        <v>26859</v>
      </c>
      <c r="E281" s="38">
        <v>75644</v>
      </c>
      <c r="F281" s="59">
        <v>3744</v>
      </c>
      <c r="G281" s="38">
        <v>2473</v>
      </c>
      <c r="H281" s="25"/>
      <c r="I281" s="37"/>
      <c r="J281" s="9">
        <f t="shared" si="101"/>
        <v>48785</v>
      </c>
      <c r="K281" s="38">
        <v>2955</v>
      </c>
      <c r="L281" s="38">
        <v>777</v>
      </c>
      <c r="M281" s="38">
        <f t="shared" si="112"/>
        <v>200</v>
      </c>
      <c r="N281" s="78">
        <f t="shared" si="113"/>
        <v>124875</v>
      </c>
      <c r="O281" s="79">
        <f t="shared" si="114"/>
        <v>70096</v>
      </c>
      <c r="P281" s="79">
        <f t="shared" si="115"/>
        <v>206590</v>
      </c>
      <c r="Q281" s="80">
        <f t="shared" si="116"/>
        <v>15467131</v>
      </c>
      <c r="R281" s="80">
        <f t="shared" si="116"/>
        <v>8272292</v>
      </c>
      <c r="S281" s="80">
        <f t="shared" si="116"/>
        <v>24412633.34</v>
      </c>
      <c r="T281" s="84">
        <f>N281/'2015'!M281-1</f>
        <v>0.602625803719247</v>
      </c>
      <c r="U281" s="84">
        <f>O281/'2015'!N281-1</f>
        <v>-0.0673390369493194</v>
      </c>
      <c r="V281" s="84">
        <f>P281/'2015'!O281-1</f>
        <v>0.29742324044941</v>
      </c>
      <c r="W281" s="85">
        <f>Q281/'2015'!P281-1</f>
        <v>0.0790238959178751</v>
      </c>
      <c r="X281" s="85">
        <f>R281/'2015'!Q281-1</f>
        <v>0.0261968690191283</v>
      </c>
      <c r="Y281" s="85">
        <f>S281/'2015'!R281-1</f>
        <v>0.0660797414994005</v>
      </c>
      <c r="Z281" s="54">
        <f t="shared" si="117"/>
        <v>122.2188</v>
      </c>
      <c r="AA281" s="101">
        <f t="shared" si="104"/>
        <v>1424.4943</v>
      </c>
      <c r="AB281" s="109"/>
      <c r="AC281" s="109"/>
      <c r="AD281" s="9">
        <f t="shared" si="105"/>
        <v>16140341.34</v>
      </c>
      <c r="AE281" s="38">
        <f t="shared" si="107"/>
        <v>404113</v>
      </c>
      <c r="AF281" s="38">
        <f t="shared" si="107"/>
        <v>211720</v>
      </c>
      <c r="AG281" s="38">
        <f t="shared" si="106"/>
        <v>57377.3399999999</v>
      </c>
    </row>
    <row r="282" ht="15" customHeight="1" spans="1:33">
      <c r="A282" s="14">
        <v>42647</v>
      </c>
      <c r="B282" s="21" t="s">
        <v>34</v>
      </c>
      <c r="C282" s="9">
        <v>51509</v>
      </c>
      <c r="D282" s="38">
        <v>27198</v>
      </c>
      <c r="E282" s="38">
        <v>82479</v>
      </c>
      <c r="F282" s="59">
        <v>4146</v>
      </c>
      <c r="G282" s="38">
        <v>2660</v>
      </c>
      <c r="H282" s="25"/>
      <c r="I282" s="37"/>
      <c r="J282" s="9">
        <f t="shared" si="101"/>
        <v>55281</v>
      </c>
      <c r="K282" s="38">
        <v>2797</v>
      </c>
      <c r="L282" s="38">
        <v>779</v>
      </c>
      <c r="M282" s="38">
        <f t="shared" si="112"/>
        <v>196</v>
      </c>
      <c r="N282" s="78">
        <f t="shared" si="113"/>
        <v>176384</v>
      </c>
      <c r="O282" s="79">
        <f t="shared" si="114"/>
        <v>97294</v>
      </c>
      <c r="P282" s="79">
        <f t="shared" si="115"/>
        <v>289069</v>
      </c>
      <c r="Q282" s="80">
        <f t="shared" si="116"/>
        <v>15518640</v>
      </c>
      <c r="R282" s="80">
        <f t="shared" si="116"/>
        <v>8299490</v>
      </c>
      <c r="S282" s="80">
        <f t="shared" si="116"/>
        <v>24495112.34</v>
      </c>
      <c r="T282" s="84">
        <f>N282/'2015'!M282-1</f>
        <v>0.528205927966799</v>
      </c>
      <c r="U282" s="84">
        <f>O282/'2015'!N282-1</f>
        <v>-0.0711612632222095</v>
      </c>
      <c r="V282" s="84">
        <f>P282/'2015'!O282-1</f>
        <v>0.266690913552549</v>
      </c>
      <c r="W282" s="85">
        <f>Q282/'2015'!P282-1</f>
        <v>0.079792452939154</v>
      </c>
      <c r="X282" s="85">
        <f>R282/'2015'!Q282-1</f>
        <v>0.0258052850016692</v>
      </c>
      <c r="Y282" s="85">
        <f>S282/'2015'!R282-1</f>
        <v>0.0664691464859513</v>
      </c>
      <c r="Z282" s="54">
        <f t="shared" si="117"/>
        <v>122.3658</v>
      </c>
      <c r="AA282" s="101">
        <f t="shared" si="104"/>
        <v>1429.4982</v>
      </c>
      <c r="AB282" s="109"/>
      <c r="AC282" s="109"/>
      <c r="AD282" s="9">
        <f t="shared" si="105"/>
        <v>16195622.34</v>
      </c>
      <c r="AE282" s="38">
        <f t="shared" si="107"/>
        <v>406910</v>
      </c>
      <c r="AF282" s="38">
        <f t="shared" si="107"/>
        <v>212499</v>
      </c>
      <c r="AG282" s="38">
        <f t="shared" si="106"/>
        <v>57573.3399999999</v>
      </c>
    </row>
    <row r="283" ht="15" customHeight="1" spans="1:33">
      <c r="A283" s="14">
        <v>42648</v>
      </c>
      <c r="B283" s="15" t="s">
        <v>35</v>
      </c>
      <c r="C283" s="33">
        <v>53551</v>
      </c>
      <c r="D283" s="34">
        <v>30172</v>
      </c>
      <c r="E283" s="34">
        <v>87495</v>
      </c>
      <c r="F283" s="63">
        <v>4348</v>
      </c>
      <c r="G283" s="34">
        <v>2899</v>
      </c>
      <c r="H283" s="20"/>
      <c r="I283" s="20"/>
      <c r="J283" s="33">
        <f t="shared" si="101"/>
        <v>57323</v>
      </c>
      <c r="K283" s="34">
        <v>2773</v>
      </c>
      <c r="L283" s="34">
        <v>778</v>
      </c>
      <c r="M283" s="34">
        <f t="shared" si="112"/>
        <v>221</v>
      </c>
      <c r="N283" s="81">
        <f t="shared" si="113"/>
        <v>229935</v>
      </c>
      <c r="O283" s="82">
        <f t="shared" si="114"/>
        <v>127466</v>
      </c>
      <c r="P283" s="82">
        <f t="shared" si="115"/>
        <v>376564</v>
      </c>
      <c r="Q283" s="81">
        <f t="shared" si="116"/>
        <v>15572191</v>
      </c>
      <c r="R283" s="81">
        <f t="shared" si="116"/>
        <v>8329662</v>
      </c>
      <c r="S283" s="81">
        <f t="shared" si="116"/>
        <v>24582607.34</v>
      </c>
      <c r="T283" s="86">
        <f>N283/'2015'!M283-1</f>
        <v>0.471876020202408</v>
      </c>
      <c r="U283" s="86">
        <f>O283/'2015'!N283-1</f>
        <v>-0.0693263045684538</v>
      </c>
      <c r="V283" s="86">
        <f>P283/'2015'!O283-1</f>
        <v>0.241707692662804</v>
      </c>
      <c r="W283" s="86">
        <f>Q283/'2015'!P283-1</f>
        <v>0.0804512806194937</v>
      </c>
      <c r="X283" s="86">
        <f>R283/'2015'!Q283-1</f>
        <v>0.025451684862094</v>
      </c>
      <c r="Y283" s="86">
        <f>S283/'2015'!R283-1</f>
        <v>0.0667924986664339</v>
      </c>
      <c r="Z283" s="53">
        <f t="shared" si="117"/>
        <v>122.5128</v>
      </c>
      <c r="AA283" s="53">
        <f t="shared" si="104"/>
        <v>1434.7063</v>
      </c>
      <c r="AB283" s="34">
        <v>4235.1</v>
      </c>
      <c r="AC283" s="34">
        <f t="shared" si="110"/>
        <v>3387.6562536894</v>
      </c>
      <c r="AD283" s="33">
        <f t="shared" si="105"/>
        <v>16252945.34</v>
      </c>
      <c r="AE283" s="34">
        <f t="shared" si="107"/>
        <v>409683</v>
      </c>
      <c r="AF283" s="34">
        <f t="shared" si="107"/>
        <v>213277</v>
      </c>
      <c r="AG283" s="34">
        <f t="shared" si="106"/>
        <v>57794.3399999999</v>
      </c>
    </row>
    <row r="284" ht="15" customHeight="1" spans="1:33">
      <c r="A284" s="14">
        <v>42649</v>
      </c>
      <c r="B284" s="21" t="s">
        <v>36</v>
      </c>
      <c r="C284" s="9">
        <v>53934</v>
      </c>
      <c r="D284" s="38">
        <v>30817</v>
      </c>
      <c r="E284" s="38">
        <v>88276</v>
      </c>
      <c r="F284" s="59">
        <v>4458</v>
      </c>
      <c r="G284" s="38">
        <v>3008</v>
      </c>
      <c r="H284" s="25"/>
      <c r="I284" s="37"/>
      <c r="J284" s="9">
        <f t="shared" si="101"/>
        <v>57459</v>
      </c>
      <c r="K284" s="38">
        <v>2575</v>
      </c>
      <c r="L284" s="38">
        <v>777</v>
      </c>
      <c r="M284" s="38">
        <f t="shared" si="112"/>
        <v>173</v>
      </c>
      <c r="N284" s="78">
        <f t="shared" si="113"/>
        <v>283869</v>
      </c>
      <c r="O284" s="79">
        <f t="shared" si="114"/>
        <v>158283</v>
      </c>
      <c r="P284" s="79">
        <f t="shared" si="115"/>
        <v>464840</v>
      </c>
      <c r="Q284" s="80">
        <f t="shared" si="116"/>
        <v>15626125</v>
      </c>
      <c r="R284" s="80">
        <f t="shared" si="116"/>
        <v>8360479</v>
      </c>
      <c r="S284" s="80">
        <f t="shared" si="116"/>
        <v>24670883.34</v>
      </c>
      <c r="T284" s="84">
        <f>N284/'2015'!M284-1</f>
        <v>0.421341985489613</v>
      </c>
      <c r="U284" s="84">
        <f>O284/'2015'!N284-1</f>
        <v>-0.0643609129224276</v>
      </c>
      <c r="V284" s="84">
        <f>P284/'2015'!O284-1</f>
        <v>0.218450279291535</v>
      </c>
      <c r="W284" s="85">
        <f>Q284/'2015'!P284-1</f>
        <v>0.0809309628488812</v>
      </c>
      <c r="X284" s="85">
        <f>R284/'2015'!Q284-1</f>
        <v>0.0251803466039169</v>
      </c>
      <c r="Y284" s="85">
        <f>S284/'2015'!R284-1</f>
        <v>0.0670006272026373</v>
      </c>
      <c r="Z284" s="54">
        <f t="shared" si="117"/>
        <v>122.6598</v>
      </c>
      <c r="AA284" s="101">
        <f t="shared" si="104"/>
        <v>1439.9527</v>
      </c>
      <c r="AB284" s="109"/>
      <c r="AC284" s="109"/>
      <c r="AD284" s="9">
        <f t="shared" si="105"/>
        <v>16310404.34</v>
      </c>
      <c r="AE284" s="38">
        <f t="shared" si="107"/>
        <v>412258</v>
      </c>
      <c r="AF284" s="38">
        <f t="shared" si="107"/>
        <v>214054</v>
      </c>
      <c r="AG284" s="38">
        <f t="shared" si="106"/>
        <v>57967.3399999999</v>
      </c>
    </row>
    <row r="285" ht="15" customHeight="1" spans="1:33">
      <c r="A285" s="14">
        <v>42650</v>
      </c>
      <c r="B285" s="21" t="s">
        <v>37</v>
      </c>
      <c r="C285" s="74">
        <v>53854</v>
      </c>
      <c r="D285" s="75">
        <f>22635+8573</f>
        <v>31208</v>
      </c>
      <c r="E285" s="75">
        <v>88268</v>
      </c>
      <c r="F285" s="111">
        <v>4463.8</v>
      </c>
      <c r="G285" s="75">
        <v>2972.6</v>
      </c>
      <c r="H285" s="25"/>
      <c r="I285" s="25"/>
      <c r="J285" s="74">
        <f t="shared" si="101"/>
        <v>57060</v>
      </c>
      <c r="K285" s="75">
        <v>2254</v>
      </c>
      <c r="L285" s="75">
        <v>782</v>
      </c>
      <c r="M285" s="75">
        <f t="shared" si="112"/>
        <v>170</v>
      </c>
      <c r="N285" s="78">
        <f t="shared" si="113"/>
        <v>337723</v>
      </c>
      <c r="O285" s="79">
        <f t="shared" si="114"/>
        <v>189491</v>
      </c>
      <c r="P285" s="79">
        <f t="shared" si="115"/>
        <v>553108</v>
      </c>
      <c r="Q285" s="80">
        <f t="shared" si="116"/>
        <v>15679979</v>
      </c>
      <c r="R285" s="80">
        <f t="shared" si="116"/>
        <v>8391687</v>
      </c>
      <c r="S285" s="80">
        <f t="shared" si="116"/>
        <v>24759151.34</v>
      </c>
      <c r="T285" s="84">
        <f>N285/'2015'!M285-1</f>
        <v>0.387414293871883</v>
      </c>
      <c r="U285" s="84">
        <f>O285/'2015'!N285-1</f>
        <v>-0.0622553458932751</v>
      </c>
      <c r="V285" s="84">
        <f>P285/'2015'!O285-1</f>
        <v>0.201050985842091</v>
      </c>
      <c r="W285" s="85">
        <f>Q285/'2015'!P285-1</f>
        <v>0.0813873335304385</v>
      </c>
      <c r="X285" s="85">
        <f>R285/'2015'!Q285-1</f>
        <v>0.0248725273356352</v>
      </c>
      <c r="Y285" s="85">
        <f>S285/'2015'!R285-1</f>
        <v>0.0671710820515887</v>
      </c>
      <c r="Z285" s="101">
        <f t="shared" si="117"/>
        <v>122.8068</v>
      </c>
      <c r="AA285" s="101">
        <f t="shared" si="104"/>
        <v>1445.1911</v>
      </c>
      <c r="AB285" s="110"/>
      <c r="AC285" s="109"/>
      <c r="AD285" s="74">
        <f t="shared" si="105"/>
        <v>16367464.34</v>
      </c>
      <c r="AE285" s="75">
        <f t="shared" si="107"/>
        <v>414512</v>
      </c>
      <c r="AF285" s="75">
        <f t="shared" si="107"/>
        <v>214836</v>
      </c>
      <c r="AG285" s="75">
        <f t="shared" si="106"/>
        <v>58137.3399999999</v>
      </c>
    </row>
    <row r="286" ht="15" customHeight="1" spans="1:33">
      <c r="A286" s="106">
        <v>42651</v>
      </c>
      <c r="B286" s="21" t="s">
        <v>38</v>
      </c>
      <c r="C286" s="9">
        <v>51184</v>
      </c>
      <c r="D286" s="38">
        <f>23046+8598</f>
        <v>31644</v>
      </c>
      <c r="E286" s="38">
        <v>85744</v>
      </c>
      <c r="F286" s="59">
        <v>4425.4</v>
      </c>
      <c r="G286" s="38">
        <v>2936.2</v>
      </c>
      <c r="H286" s="25"/>
      <c r="I286" s="37"/>
      <c r="J286" s="9">
        <f t="shared" si="101"/>
        <v>54100</v>
      </c>
      <c r="K286" s="38">
        <v>1976</v>
      </c>
      <c r="L286" s="38">
        <v>784</v>
      </c>
      <c r="M286" s="38">
        <f t="shared" si="112"/>
        <v>156</v>
      </c>
      <c r="N286" s="78">
        <f t="shared" si="113"/>
        <v>388907</v>
      </c>
      <c r="O286" s="79">
        <f t="shared" si="114"/>
        <v>221135</v>
      </c>
      <c r="P286" s="79">
        <f t="shared" si="115"/>
        <v>638852</v>
      </c>
      <c r="Q286" s="80">
        <f t="shared" si="116"/>
        <v>15731163</v>
      </c>
      <c r="R286" s="80">
        <f t="shared" si="116"/>
        <v>8423331</v>
      </c>
      <c r="S286" s="80">
        <f t="shared" si="116"/>
        <v>24844895.34</v>
      </c>
      <c r="T286" s="84">
        <f>N286/'2015'!M286-1</f>
        <v>0.357441535776614</v>
      </c>
      <c r="U286" s="84">
        <f>O286/'2015'!N286-1</f>
        <v>-0.0648101158758352</v>
      </c>
      <c r="V286" s="84">
        <f>P286/'2015'!O286-1</f>
        <v>0.184392797816801</v>
      </c>
      <c r="W286" s="85">
        <f>Q286/'2015'!P286-1</f>
        <v>0.0817034145882605</v>
      </c>
      <c r="X286" s="85">
        <f>R286/'2015'!Q286-1</f>
        <v>0.0244346584624306</v>
      </c>
      <c r="Y286" s="85">
        <f>S286/'2015'!R286-1</f>
        <v>0.067238698422933</v>
      </c>
      <c r="Z286" s="54">
        <f t="shared" si="117"/>
        <v>122.9538</v>
      </c>
      <c r="AA286" s="101">
        <f t="shared" si="104"/>
        <v>1450.1625</v>
      </c>
      <c r="AB286" s="109"/>
      <c r="AC286" s="109"/>
      <c r="AD286" s="9">
        <f t="shared" si="105"/>
        <v>16421564.34</v>
      </c>
      <c r="AE286" s="38">
        <f t="shared" si="107"/>
        <v>416488</v>
      </c>
      <c r="AF286" s="38">
        <f t="shared" si="107"/>
        <v>215620</v>
      </c>
      <c r="AG286" s="38">
        <f t="shared" si="106"/>
        <v>58293.3399999999</v>
      </c>
    </row>
    <row r="287" ht="15" customHeight="1" spans="1:33">
      <c r="A287" s="106">
        <v>42652</v>
      </c>
      <c r="B287" s="21" t="s">
        <v>1</v>
      </c>
      <c r="C287" s="9">
        <v>45775</v>
      </c>
      <c r="D287" s="38">
        <f>24620+8559</f>
        <v>33179</v>
      </c>
      <c r="E287" s="38">
        <v>81510</v>
      </c>
      <c r="F287" s="59">
        <v>4082.4</v>
      </c>
      <c r="G287" s="38">
        <v>2781</v>
      </c>
      <c r="H287" s="25"/>
      <c r="I287" s="37"/>
      <c r="J287" s="9">
        <f t="shared" si="101"/>
        <v>48331</v>
      </c>
      <c r="K287" s="38">
        <v>1531</v>
      </c>
      <c r="L287" s="38">
        <v>786</v>
      </c>
      <c r="M287" s="38">
        <f t="shared" si="112"/>
        <v>239</v>
      </c>
      <c r="N287" s="78">
        <f t="shared" si="113"/>
        <v>434682</v>
      </c>
      <c r="O287" s="79">
        <f t="shared" si="114"/>
        <v>254314</v>
      </c>
      <c r="P287" s="79">
        <f t="shared" si="115"/>
        <v>720362</v>
      </c>
      <c r="Q287" s="80">
        <f t="shared" si="116"/>
        <v>15776938</v>
      </c>
      <c r="R287" s="80">
        <f t="shared" si="116"/>
        <v>8456510</v>
      </c>
      <c r="S287" s="80">
        <f t="shared" si="116"/>
        <v>24926405.34</v>
      </c>
      <c r="T287" s="84">
        <f>N287/'2015'!M287-1</f>
        <v>0.32122188449848</v>
      </c>
      <c r="U287" s="84">
        <f>O287/'2015'!N287-1</f>
        <v>-0.0631621601709276</v>
      </c>
      <c r="V287" s="84">
        <f>P287/'2015'!O287-1</f>
        <v>0.164895406150144</v>
      </c>
      <c r="W287" s="85">
        <f>Q287/'2015'!P287-1</f>
        <v>0.0816898808909206</v>
      </c>
      <c r="X287" s="85">
        <f>R287/'2015'!Q287-1</f>
        <v>0.0241105604547862</v>
      </c>
      <c r="Y287" s="85">
        <f>S287/'2015'!R287-1</f>
        <v>0.0671187487437712</v>
      </c>
      <c r="Z287" s="54">
        <f t="shared" si="117"/>
        <v>123.1008</v>
      </c>
      <c r="AA287" s="101">
        <f t="shared" si="104"/>
        <v>1454.593</v>
      </c>
      <c r="AB287" s="109"/>
      <c r="AC287" s="109"/>
      <c r="AD287" s="9">
        <f t="shared" si="105"/>
        <v>16469895.34</v>
      </c>
      <c r="AE287" s="38">
        <f t="shared" si="107"/>
        <v>418019</v>
      </c>
      <c r="AF287" s="38">
        <f t="shared" si="107"/>
        <v>216406</v>
      </c>
      <c r="AG287" s="38">
        <f t="shared" si="106"/>
        <v>58532.3399999999</v>
      </c>
    </row>
    <row r="288" ht="15" customHeight="1" spans="1:33">
      <c r="A288" s="106">
        <v>42653</v>
      </c>
      <c r="B288" s="21" t="s">
        <v>39</v>
      </c>
      <c r="C288" s="9">
        <v>50208</v>
      </c>
      <c r="D288" s="38">
        <f>24239+8442</f>
        <v>32681</v>
      </c>
      <c r="E288" s="38">
        <v>85434</v>
      </c>
      <c r="F288" s="59">
        <v>4313</v>
      </c>
      <c r="G288" s="38">
        <v>2800.2</v>
      </c>
      <c r="H288" s="25"/>
      <c r="I288" s="37"/>
      <c r="J288" s="9">
        <f t="shared" si="101"/>
        <v>52753</v>
      </c>
      <c r="K288" s="38">
        <v>1543</v>
      </c>
      <c r="L288" s="38">
        <v>792</v>
      </c>
      <c r="M288" s="38">
        <f t="shared" si="112"/>
        <v>210</v>
      </c>
      <c r="N288" s="78">
        <f t="shared" si="113"/>
        <v>484890</v>
      </c>
      <c r="O288" s="79">
        <f t="shared" si="114"/>
        <v>286995</v>
      </c>
      <c r="P288" s="79">
        <f t="shared" si="115"/>
        <v>805796</v>
      </c>
      <c r="Q288" s="80">
        <f t="shared" si="116"/>
        <v>15827146</v>
      </c>
      <c r="R288" s="80">
        <f t="shared" si="116"/>
        <v>8489191</v>
      </c>
      <c r="S288" s="80">
        <f t="shared" si="116"/>
        <v>25011839.34</v>
      </c>
      <c r="T288" s="84">
        <f>N288/'2015'!M288-1</f>
        <v>0.313854966279104</v>
      </c>
      <c r="U288" s="84">
        <f>O288/'2015'!N288-1</f>
        <v>-0.0696389033866383</v>
      </c>
      <c r="V288" s="84">
        <f>P288/'2015'!O288-1</f>
        <v>0.15653651619274</v>
      </c>
      <c r="W288" s="85">
        <f>Q288/'2015'!P288-1</f>
        <v>0.082160058248897</v>
      </c>
      <c r="X288" s="85">
        <f>R288/'2015'!Q288-1</f>
        <v>0.0234801980508379</v>
      </c>
      <c r="Y288" s="85">
        <f>S288/'2015'!R288-1</f>
        <v>0.0671970830669271</v>
      </c>
      <c r="Z288" s="54">
        <f t="shared" si="117"/>
        <v>123.2478</v>
      </c>
      <c r="AA288" s="101">
        <f t="shared" si="104"/>
        <v>1459.4668</v>
      </c>
      <c r="AB288" s="109"/>
      <c r="AC288" s="109"/>
      <c r="AD288" s="9">
        <f t="shared" si="105"/>
        <v>16522648.34</v>
      </c>
      <c r="AE288" s="38">
        <f t="shared" si="107"/>
        <v>419562</v>
      </c>
      <c r="AF288" s="38">
        <f t="shared" si="107"/>
        <v>217198</v>
      </c>
      <c r="AG288" s="38">
        <f t="shared" si="106"/>
        <v>58742.3399999999</v>
      </c>
    </row>
    <row r="289" spans="1:33">
      <c r="A289" s="106">
        <v>42654</v>
      </c>
      <c r="B289" s="21" t="s">
        <v>34</v>
      </c>
      <c r="C289" s="9">
        <v>48388</v>
      </c>
      <c r="D289" s="38">
        <f>27960+8506</f>
        <v>36466</v>
      </c>
      <c r="E289" s="38">
        <v>87145</v>
      </c>
      <c r="F289" s="59">
        <v>4375.2</v>
      </c>
      <c r="G289" s="38">
        <v>2936.9</v>
      </c>
      <c r="H289" s="25"/>
      <c r="I289" s="37"/>
      <c r="J289" s="9">
        <f t="shared" si="101"/>
        <v>50679</v>
      </c>
      <c r="K289" s="38">
        <v>1335</v>
      </c>
      <c r="L289" s="38">
        <v>793</v>
      </c>
      <c r="M289" s="38">
        <f t="shared" si="112"/>
        <v>163</v>
      </c>
      <c r="N289" s="78">
        <f t="shared" si="113"/>
        <v>533278</v>
      </c>
      <c r="O289" s="79">
        <f t="shared" si="114"/>
        <v>323461</v>
      </c>
      <c r="P289" s="79">
        <f t="shared" si="115"/>
        <v>892941</v>
      </c>
      <c r="Q289" s="80">
        <f t="shared" si="116"/>
        <v>15875534</v>
      </c>
      <c r="R289" s="80">
        <f t="shared" si="116"/>
        <v>8525657</v>
      </c>
      <c r="S289" s="80">
        <f t="shared" si="116"/>
        <v>25098984.34</v>
      </c>
      <c r="T289" s="84">
        <f>N289/'2015'!M289-1</f>
        <v>0.313505551778835</v>
      </c>
      <c r="U289" s="84">
        <f>O289/'2015'!N289-1</f>
        <v>-0.0597801916710026</v>
      </c>
      <c r="V289" s="84">
        <f>P289/'2015'!O289-1</f>
        <v>0.158532186747488</v>
      </c>
      <c r="W289" s="85">
        <f>Q289/'2015'!P289-1</f>
        <v>0.0827340587691689</v>
      </c>
      <c r="X289" s="85">
        <f>R289/'2015'!Q289-1</f>
        <v>0.0234899554453032</v>
      </c>
      <c r="Y289" s="85">
        <f>S289/'2015'!R289-1</f>
        <v>0.0675437754256365</v>
      </c>
      <c r="Z289" s="54">
        <f t="shared" si="117"/>
        <v>123.3948</v>
      </c>
      <c r="AA289" s="101">
        <f t="shared" si="104"/>
        <v>1464.1586</v>
      </c>
      <c r="AB289" s="109"/>
      <c r="AC289" s="109"/>
      <c r="AD289" s="9">
        <f t="shared" si="105"/>
        <v>16573327.34</v>
      </c>
      <c r="AE289" s="38">
        <f t="shared" si="107"/>
        <v>420897</v>
      </c>
      <c r="AF289" s="38">
        <f t="shared" si="107"/>
        <v>217991</v>
      </c>
      <c r="AG289" s="38">
        <f t="shared" si="106"/>
        <v>58905.3399999999</v>
      </c>
    </row>
    <row r="290" ht="15" customHeight="1" spans="1:33">
      <c r="A290" s="106">
        <v>42655</v>
      </c>
      <c r="B290" s="15" t="s">
        <v>35</v>
      </c>
      <c r="C290" s="33">
        <v>49697</v>
      </c>
      <c r="D290" s="34">
        <f>28001+8381</f>
        <v>36382</v>
      </c>
      <c r="E290" s="34">
        <v>88014</v>
      </c>
      <c r="F290" s="63">
        <v>4435.5</v>
      </c>
      <c r="G290" s="34">
        <v>2950.2</v>
      </c>
      <c r="H290" s="20"/>
      <c r="I290" s="20"/>
      <c r="J290" s="33">
        <f t="shared" si="101"/>
        <v>51632</v>
      </c>
      <c r="K290" s="34">
        <v>1017</v>
      </c>
      <c r="L290" s="34">
        <v>788</v>
      </c>
      <c r="M290" s="34">
        <f t="shared" si="112"/>
        <v>130</v>
      </c>
      <c r="N290" s="81">
        <f t="shared" si="113"/>
        <v>582975</v>
      </c>
      <c r="O290" s="82">
        <f t="shared" si="114"/>
        <v>359843</v>
      </c>
      <c r="P290" s="82">
        <f t="shared" si="115"/>
        <v>980955</v>
      </c>
      <c r="Q290" s="81">
        <f t="shared" si="116"/>
        <v>15925231</v>
      </c>
      <c r="R290" s="81">
        <f t="shared" si="116"/>
        <v>8562039</v>
      </c>
      <c r="S290" s="81">
        <f t="shared" si="116"/>
        <v>25186998.34</v>
      </c>
      <c r="T290" s="86">
        <f>N290/'2015'!M290-1</f>
        <v>0.302426012104368</v>
      </c>
      <c r="U290" s="86">
        <f>O290/'2015'!N290-1</f>
        <v>-0.0520393996791334</v>
      </c>
      <c r="V290" s="86">
        <f>P290/'2015'!O290-1</f>
        <v>0.154292848468874</v>
      </c>
      <c r="W290" s="86">
        <f>Q290/'2015'!P290-1</f>
        <v>0.083049845889513</v>
      </c>
      <c r="X290" s="86">
        <f>R290/'2015'!Q290-1</f>
        <v>0.0234871417990627</v>
      </c>
      <c r="Y290" s="86">
        <f>S290/'2015'!R290-1</f>
        <v>0.0676960701007565</v>
      </c>
      <c r="Z290" s="53">
        <f t="shared" si="117"/>
        <v>123.5418</v>
      </c>
      <c r="AA290" s="53">
        <f t="shared" si="104"/>
        <v>1468.9813</v>
      </c>
      <c r="AB290" s="34">
        <v>4235.1</v>
      </c>
      <c r="AC290" s="34">
        <f t="shared" si="110"/>
        <v>3468.58704635074</v>
      </c>
      <c r="AD290" s="33">
        <f t="shared" si="105"/>
        <v>16624959.34</v>
      </c>
      <c r="AE290" s="34">
        <f t="shared" si="107"/>
        <v>421914</v>
      </c>
      <c r="AF290" s="34">
        <f t="shared" si="107"/>
        <v>218779</v>
      </c>
      <c r="AG290" s="34">
        <f t="shared" si="106"/>
        <v>59035.3399999999</v>
      </c>
    </row>
    <row r="291" ht="15" customHeight="1" spans="1:33">
      <c r="A291" s="106">
        <v>42656</v>
      </c>
      <c r="B291" s="21" t="s">
        <v>36</v>
      </c>
      <c r="C291" s="9">
        <v>51622</v>
      </c>
      <c r="D291" s="38">
        <f>27686+8469</f>
        <v>36155</v>
      </c>
      <c r="E291" s="38">
        <v>89441</v>
      </c>
      <c r="F291" s="59">
        <v>4506.1</v>
      </c>
      <c r="G291" s="38">
        <v>2998.8</v>
      </c>
      <c r="H291" s="25"/>
      <c r="I291" s="37"/>
      <c r="J291" s="9">
        <f t="shared" si="101"/>
        <v>53286</v>
      </c>
      <c r="K291" s="38">
        <v>739</v>
      </c>
      <c r="L291" s="38">
        <v>792</v>
      </c>
      <c r="M291" s="38">
        <f t="shared" si="112"/>
        <v>133</v>
      </c>
      <c r="N291" s="78">
        <f t="shared" si="113"/>
        <v>634597</v>
      </c>
      <c r="O291" s="79">
        <f t="shared" si="114"/>
        <v>395998</v>
      </c>
      <c r="P291" s="79">
        <f t="shared" si="115"/>
        <v>1070396</v>
      </c>
      <c r="Q291" s="80">
        <f t="shared" si="116"/>
        <v>15976853</v>
      </c>
      <c r="R291" s="80">
        <f t="shared" si="116"/>
        <v>8598194</v>
      </c>
      <c r="S291" s="80">
        <f t="shared" si="116"/>
        <v>25276439.34</v>
      </c>
      <c r="T291" s="84">
        <f>N291/'2015'!M291-1</f>
        <v>0.297487001555929</v>
      </c>
      <c r="U291" s="84">
        <f>O291/'2015'!N291-1</f>
        <v>-0.0508720756046527</v>
      </c>
      <c r="V291" s="84">
        <f>P291/'2015'!O291-1</f>
        <v>0.149597521224781</v>
      </c>
      <c r="W291" s="85">
        <f>Q291/'2015'!P291-1</f>
        <v>0.0835032885512383</v>
      </c>
      <c r="X291" s="85">
        <f>R291/'2015'!Q291-1</f>
        <v>0.0232069232821568</v>
      </c>
      <c r="Y291" s="85">
        <f>S291/'2015'!R291-1</f>
        <v>0.067808701653199</v>
      </c>
      <c r="Z291" s="54">
        <f t="shared" si="117"/>
        <v>123.6888</v>
      </c>
      <c r="AA291" s="101">
        <f t="shared" si="104"/>
        <v>1473.9965</v>
      </c>
      <c r="AB291" s="109"/>
      <c r="AC291" s="109"/>
      <c r="AD291" s="9">
        <f t="shared" si="105"/>
        <v>16678245.34</v>
      </c>
      <c r="AE291" s="38">
        <f t="shared" si="107"/>
        <v>422653</v>
      </c>
      <c r="AF291" s="38">
        <f t="shared" si="107"/>
        <v>219571</v>
      </c>
      <c r="AG291" s="38">
        <f t="shared" si="106"/>
        <v>59168.3399999999</v>
      </c>
    </row>
    <row r="292" ht="15" customHeight="1" spans="1:33">
      <c r="A292" s="106">
        <v>42657</v>
      </c>
      <c r="B292" s="21" t="s">
        <v>37</v>
      </c>
      <c r="C292" s="74">
        <v>52460</v>
      </c>
      <c r="D292" s="75">
        <f>27686+8469</f>
        <v>36155</v>
      </c>
      <c r="E292" s="75">
        <v>90127</v>
      </c>
      <c r="F292" s="111">
        <v>4568.9</v>
      </c>
      <c r="G292" s="75">
        <v>2998.8</v>
      </c>
      <c r="H292" s="25"/>
      <c r="I292" s="25"/>
      <c r="J292" s="74">
        <f t="shared" si="101"/>
        <v>53972</v>
      </c>
      <c r="K292" s="75">
        <v>564</v>
      </c>
      <c r="L292" s="75">
        <v>790</v>
      </c>
      <c r="M292" s="75">
        <f t="shared" si="112"/>
        <v>158</v>
      </c>
      <c r="N292" s="78">
        <f t="shared" si="113"/>
        <v>687057</v>
      </c>
      <c r="O292" s="79">
        <f t="shared" si="114"/>
        <v>432153</v>
      </c>
      <c r="P292" s="79">
        <f t="shared" si="115"/>
        <v>1160523</v>
      </c>
      <c r="Q292" s="80">
        <f t="shared" si="116"/>
        <v>16029313</v>
      </c>
      <c r="R292" s="80">
        <f t="shared" si="116"/>
        <v>8634349</v>
      </c>
      <c r="S292" s="80">
        <f t="shared" si="116"/>
        <v>25366566.34</v>
      </c>
      <c r="T292" s="84">
        <f>N292/'2015'!M292-1</f>
        <v>0.291445961135777</v>
      </c>
      <c r="U292" s="84">
        <f>O292/'2015'!N292-1</f>
        <v>-0.0509077971506567</v>
      </c>
      <c r="V292" s="84">
        <f>P292/'2015'!O292-1</f>
        <v>0.144795795363299</v>
      </c>
      <c r="W292" s="85">
        <f>Q292/'2015'!P292-1</f>
        <v>0.0839068435793855</v>
      </c>
      <c r="X292" s="85">
        <f>R292/'2015'!Q292-1</f>
        <v>0.0228705510957328</v>
      </c>
      <c r="Y292" s="85">
        <f>S292/'2015'!R292-1</f>
        <v>0.0678882995085743</v>
      </c>
      <c r="Z292" s="101">
        <f t="shared" si="117"/>
        <v>123.8358</v>
      </c>
      <c r="AA292" s="101">
        <f t="shared" si="104"/>
        <v>1479.0955</v>
      </c>
      <c r="AB292" s="110"/>
      <c r="AC292" s="109"/>
      <c r="AD292" s="74">
        <f t="shared" si="105"/>
        <v>16732217.34</v>
      </c>
      <c r="AE292" s="75">
        <f t="shared" si="107"/>
        <v>423217</v>
      </c>
      <c r="AF292" s="75">
        <f t="shared" si="107"/>
        <v>220361</v>
      </c>
      <c r="AG292" s="75">
        <f t="shared" si="106"/>
        <v>59326.3399999999</v>
      </c>
    </row>
    <row r="293" ht="15" customHeight="1" spans="1:33">
      <c r="A293" s="106">
        <v>42658</v>
      </c>
      <c r="B293" s="21" t="s">
        <v>38</v>
      </c>
      <c r="C293" s="9">
        <v>51777</v>
      </c>
      <c r="D293" s="38">
        <v>35378</v>
      </c>
      <c r="E293" s="38">
        <v>89228</v>
      </c>
      <c r="F293" s="59">
        <v>4477.9</v>
      </c>
      <c r="G293" s="38">
        <v>3029.4</v>
      </c>
      <c r="H293" s="25"/>
      <c r="I293" s="37"/>
      <c r="J293" s="9">
        <f t="shared" si="101"/>
        <v>53850</v>
      </c>
      <c r="K293" s="38">
        <v>1016</v>
      </c>
      <c r="L293" s="38">
        <v>792</v>
      </c>
      <c r="M293" s="38">
        <f t="shared" si="112"/>
        <v>265</v>
      </c>
      <c r="N293" s="78">
        <f t="shared" si="113"/>
        <v>738834</v>
      </c>
      <c r="O293" s="79">
        <f t="shared" si="114"/>
        <v>467531</v>
      </c>
      <c r="P293" s="79">
        <f t="shared" si="115"/>
        <v>1249751</v>
      </c>
      <c r="Q293" s="80">
        <f t="shared" si="116"/>
        <v>16081090</v>
      </c>
      <c r="R293" s="80">
        <f t="shared" si="116"/>
        <v>8669727</v>
      </c>
      <c r="S293" s="80">
        <f t="shared" si="116"/>
        <v>25455794.34</v>
      </c>
      <c r="T293" s="84">
        <f>N293/'2015'!M293-1</f>
        <v>0.281265390778366</v>
      </c>
      <c r="U293" s="84">
        <f>O293/'2015'!N293-1</f>
        <v>-0.0504690473434191</v>
      </c>
      <c r="V293" s="84">
        <f>P293/'2015'!O293-1</f>
        <v>0.139451003418122</v>
      </c>
      <c r="W293" s="85">
        <f>Q293/'2015'!P293-1</f>
        <v>0.0841356269607334</v>
      </c>
      <c r="X293" s="85">
        <f>R293/'2015'!Q293-1</f>
        <v>0.022573640594739</v>
      </c>
      <c r="Y293" s="85">
        <f>S293/'2015'!R293-1</f>
        <v>0.0679103657865872</v>
      </c>
      <c r="Z293" s="54">
        <f t="shared" si="117"/>
        <v>123.9828</v>
      </c>
      <c r="AA293" s="101">
        <f t="shared" si="104"/>
        <v>1484.1262</v>
      </c>
      <c r="AB293" s="109"/>
      <c r="AC293" s="109"/>
      <c r="AD293" s="9">
        <f t="shared" si="105"/>
        <v>16786067.34</v>
      </c>
      <c r="AE293" s="38">
        <f t="shared" si="107"/>
        <v>424233</v>
      </c>
      <c r="AF293" s="38">
        <f t="shared" si="107"/>
        <v>221153</v>
      </c>
      <c r="AG293" s="38">
        <f t="shared" si="106"/>
        <v>59591.3399999999</v>
      </c>
    </row>
    <row r="294" ht="15" customHeight="1" spans="1:33">
      <c r="A294" s="106">
        <v>42659</v>
      </c>
      <c r="B294" s="21" t="s">
        <v>1</v>
      </c>
      <c r="C294" s="9">
        <v>48552</v>
      </c>
      <c r="D294" s="38">
        <f>26690+8804</f>
        <v>35494</v>
      </c>
      <c r="E294" s="38">
        <v>85398</v>
      </c>
      <c r="F294" s="59">
        <v>4164.4</v>
      </c>
      <c r="G294" s="38">
        <v>3002.1</v>
      </c>
      <c r="H294" s="25"/>
      <c r="I294" s="37"/>
      <c r="J294" s="9">
        <f t="shared" si="101"/>
        <v>49904</v>
      </c>
      <c r="K294" s="38">
        <v>371</v>
      </c>
      <c r="L294" s="38">
        <v>792</v>
      </c>
      <c r="M294" s="38">
        <f t="shared" si="112"/>
        <v>189</v>
      </c>
      <c r="N294" s="78">
        <f t="shared" si="113"/>
        <v>787386</v>
      </c>
      <c r="O294" s="79">
        <f t="shared" si="114"/>
        <v>503025</v>
      </c>
      <c r="P294" s="79">
        <f t="shared" si="115"/>
        <v>1335149</v>
      </c>
      <c r="Q294" s="80">
        <f t="shared" si="116"/>
        <v>16129642</v>
      </c>
      <c r="R294" s="80">
        <f t="shared" si="116"/>
        <v>8705221</v>
      </c>
      <c r="S294" s="80">
        <f t="shared" si="116"/>
        <v>25541192.34</v>
      </c>
      <c r="T294" s="84">
        <f>N294/'2015'!M294-1</f>
        <v>0.267448654861188</v>
      </c>
      <c r="U294" s="84">
        <f>O294/'2015'!N294-1</f>
        <v>-0.0497272115885958</v>
      </c>
      <c r="V294" s="84">
        <f>P294/'2015'!O294-1</f>
        <v>0.131376736066977</v>
      </c>
      <c r="W294" s="85">
        <f>Q294/'2015'!P294-1</f>
        <v>0.0841495498192562</v>
      </c>
      <c r="X294" s="85">
        <f>R294/'2015'!Q294-1</f>
        <v>0.0223026603738421</v>
      </c>
      <c r="Y294" s="85">
        <f>S294/'2015'!R294-1</f>
        <v>0.0677611811512746</v>
      </c>
      <c r="Z294" s="54">
        <f t="shared" si="117"/>
        <v>124.1298</v>
      </c>
      <c r="AA294" s="101">
        <f t="shared" si="104"/>
        <v>1488.8344</v>
      </c>
      <c r="AB294" s="109"/>
      <c r="AC294" s="109"/>
      <c r="AD294" s="9">
        <f t="shared" si="105"/>
        <v>16835971.34</v>
      </c>
      <c r="AE294" s="38">
        <f t="shared" si="107"/>
        <v>424604</v>
      </c>
      <c r="AF294" s="38">
        <f t="shared" si="107"/>
        <v>221945</v>
      </c>
      <c r="AG294" s="38">
        <f t="shared" si="106"/>
        <v>59780.3399999999</v>
      </c>
    </row>
    <row r="295" ht="15" customHeight="1" spans="1:33">
      <c r="A295" s="106">
        <v>42660</v>
      </c>
      <c r="B295" s="21" t="s">
        <v>39</v>
      </c>
      <c r="C295" s="9">
        <v>49399</v>
      </c>
      <c r="D295" s="38">
        <v>37839</v>
      </c>
      <c r="E295" s="38">
        <v>89794</v>
      </c>
      <c r="F295" s="59">
        <v>4588.9</v>
      </c>
      <c r="G295" s="38">
        <v>2928.3</v>
      </c>
      <c r="H295" s="25"/>
      <c r="I295" s="37"/>
      <c r="J295" s="9">
        <f t="shared" si="101"/>
        <v>51955</v>
      </c>
      <c r="K295" s="38">
        <v>1223</v>
      </c>
      <c r="L295" s="38">
        <v>789</v>
      </c>
      <c r="M295" s="38">
        <f t="shared" si="112"/>
        <v>544</v>
      </c>
      <c r="N295" s="78">
        <f t="shared" si="113"/>
        <v>836785</v>
      </c>
      <c r="O295" s="79">
        <f t="shared" si="114"/>
        <v>540864</v>
      </c>
      <c r="P295" s="79">
        <f t="shared" si="115"/>
        <v>1424943</v>
      </c>
      <c r="Q295" s="80">
        <f t="shared" si="116"/>
        <v>16179041</v>
      </c>
      <c r="R295" s="80">
        <f t="shared" si="116"/>
        <v>8743060</v>
      </c>
      <c r="S295" s="80">
        <f t="shared" si="116"/>
        <v>25630986.34</v>
      </c>
      <c r="T295" s="84">
        <f>N295/'2015'!M295-1</f>
        <v>0.258542843563689</v>
      </c>
      <c r="U295" s="84">
        <f>O295/'2015'!N295-1</f>
        <v>-0.0451117200079094</v>
      </c>
      <c r="V295" s="84">
        <f>P295/'2015'!O295-1</f>
        <v>0.128712424254426</v>
      </c>
      <c r="W295" s="85">
        <f>Q295/'2015'!P295-1</f>
        <v>0.0842888888382529</v>
      </c>
      <c r="X295" s="85">
        <f>R295/'2015'!Q295-1</f>
        <v>0.0222961458074511</v>
      </c>
      <c r="Y295" s="85">
        <f>S295/'2015'!R295-1</f>
        <v>0.0678392785000563</v>
      </c>
      <c r="Z295" s="54">
        <f t="shared" si="117"/>
        <v>124.2768</v>
      </c>
      <c r="AA295" s="101">
        <f t="shared" si="104"/>
        <v>1493.6273</v>
      </c>
      <c r="AB295" s="109"/>
      <c r="AC295" s="109"/>
      <c r="AD295" s="9">
        <f t="shared" si="105"/>
        <v>16887926.34</v>
      </c>
      <c r="AE295" s="38">
        <f t="shared" si="107"/>
        <v>425827</v>
      </c>
      <c r="AF295" s="38">
        <f t="shared" si="107"/>
        <v>222734</v>
      </c>
      <c r="AG295" s="38">
        <f t="shared" si="106"/>
        <v>60324.3399999999</v>
      </c>
    </row>
    <row r="296" ht="15" customHeight="1" spans="1:33">
      <c r="A296" s="106">
        <v>42661</v>
      </c>
      <c r="B296" s="21" t="s">
        <v>34</v>
      </c>
      <c r="C296" s="9">
        <v>48613</v>
      </c>
      <c r="D296" s="38">
        <f>30707+9489</f>
        <v>40196</v>
      </c>
      <c r="E296" s="38">
        <v>91247</v>
      </c>
      <c r="F296" s="59">
        <v>4563.3</v>
      </c>
      <c r="G296" s="38">
        <v>3071.1</v>
      </c>
      <c r="H296" s="25"/>
      <c r="I296" s="37"/>
      <c r="J296" s="9">
        <f t="shared" si="101"/>
        <v>51051</v>
      </c>
      <c r="K296" s="38">
        <v>1572</v>
      </c>
      <c r="L296" s="38">
        <v>792</v>
      </c>
      <c r="M296" s="38">
        <f t="shared" si="112"/>
        <v>74</v>
      </c>
      <c r="N296" s="78">
        <f t="shared" si="113"/>
        <v>885398</v>
      </c>
      <c r="O296" s="79">
        <f t="shared" si="114"/>
        <v>581060</v>
      </c>
      <c r="P296" s="79">
        <f t="shared" si="115"/>
        <v>1516190</v>
      </c>
      <c r="Q296" s="80">
        <f t="shared" si="116"/>
        <v>16227654</v>
      </c>
      <c r="R296" s="80">
        <f t="shared" si="116"/>
        <v>8783256</v>
      </c>
      <c r="S296" s="80">
        <f t="shared" si="116"/>
        <v>25722233.34</v>
      </c>
      <c r="T296" s="84">
        <f>N296/'2015'!M296-1</f>
        <v>0.257958874000656</v>
      </c>
      <c r="U296" s="84">
        <f>O296/'2015'!N296-1</f>
        <v>-0.0369580962577835</v>
      </c>
      <c r="V296" s="84">
        <f>P296/'2015'!O296-1</f>
        <v>0.131566986565445</v>
      </c>
      <c r="W296" s="85">
        <f>Q296/'2015'!P296-1</f>
        <v>0.0847151302070261</v>
      </c>
      <c r="X296" s="85">
        <f>R296/'2015'!Q296-1</f>
        <v>0.0225789754204</v>
      </c>
      <c r="Y296" s="85">
        <f>S296/'2015'!R296-1</f>
        <v>0.0681939131854681</v>
      </c>
      <c r="Z296" s="54">
        <f t="shared" si="117"/>
        <v>124.4238</v>
      </c>
      <c r="AA296" s="101">
        <f t="shared" si="104"/>
        <v>1498.3416</v>
      </c>
      <c r="AB296" s="109"/>
      <c r="AC296" s="109"/>
      <c r="AD296" s="9">
        <f t="shared" si="105"/>
        <v>16938977.34</v>
      </c>
      <c r="AE296" s="38">
        <f t="shared" si="107"/>
        <v>427399</v>
      </c>
      <c r="AF296" s="38">
        <f t="shared" si="107"/>
        <v>223526</v>
      </c>
      <c r="AG296" s="38">
        <f t="shared" si="106"/>
        <v>60398.3399999999</v>
      </c>
    </row>
    <row r="297" ht="15" customHeight="1" spans="1:33">
      <c r="A297" s="106">
        <v>42662</v>
      </c>
      <c r="B297" s="15" t="s">
        <v>35</v>
      </c>
      <c r="C297" s="33">
        <v>46953</v>
      </c>
      <c r="D297" s="34">
        <f>30731+10862</f>
        <v>41593</v>
      </c>
      <c r="E297" s="34">
        <v>90969</v>
      </c>
      <c r="F297" s="63">
        <v>4581.9</v>
      </c>
      <c r="G297" s="34">
        <v>3067.4</v>
      </c>
      <c r="H297" s="20"/>
      <c r="I297" s="20"/>
      <c r="J297" s="33">
        <f t="shared" si="101"/>
        <v>49376</v>
      </c>
      <c r="K297" s="34">
        <v>1532</v>
      </c>
      <c r="L297" s="34">
        <v>792</v>
      </c>
      <c r="M297" s="34">
        <f t="shared" si="112"/>
        <v>99</v>
      </c>
      <c r="N297" s="81">
        <f t="shared" si="113"/>
        <v>932351</v>
      </c>
      <c r="O297" s="82">
        <f t="shared" si="114"/>
        <v>622653</v>
      </c>
      <c r="P297" s="82">
        <f t="shared" si="115"/>
        <v>1607159</v>
      </c>
      <c r="Q297" s="81">
        <f t="shared" si="116"/>
        <v>16274607</v>
      </c>
      <c r="R297" s="81">
        <f t="shared" si="116"/>
        <v>8824849</v>
      </c>
      <c r="S297" s="81">
        <f t="shared" si="116"/>
        <v>25813202.34</v>
      </c>
      <c r="T297" s="86">
        <f>N297/'2015'!M297-1</f>
        <v>0.24531812444486</v>
      </c>
      <c r="U297" s="86">
        <f>O297/'2015'!N297-1</f>
        <v>-0.0261536656891496</v>
      </c>
      <c r="V297" s="86">
        <f>P297/'2015'!O297-1</f>
        <v>0.130040999484606</v>
      </c>
      <c r="W297" s="86">
        <f>Q297/'2015'!P297-1</f>
        <v>0.0846022152810446</v>
      </c>
      <c r="X297" s="86">
        <f>R297/'2015'!Q297-1</f>
        <v>0.0231312781626776</v>
      </c>
      <c r="Y297" s="86">
        <f>S297/'2015'!R297-1</f>
        <v>0.0683199749892665</v>
      </c>
      <c r="Z297" s="53">
        <f t="shared" si="117"/>
        <v>124.5708</v>
      </c>
      <c r="AA297" s="53">
        <f t="shared" si="104"/>
        <v>1502.8899</v>
      </c>
      <c r="AB297" s="34">
        <v>4235.1</v>
      </c>
      <c r="AC297" s="34">
        <f t="shared" si="110"/>
        <v>3548.65268824821</v>
      </c>
      <c r="AD297" s="33">
        <f t="shared" si="105"/>
        <v>16988353.34</v>
      </c>
      <c r="AE297" s="34">
        <f t="shared" si="107"/>
        <v>428931</v>
      </c>
      <c r="AF297" s="34">
        <f t="shared" si="107"/>
        <v>224318</v>
      </c>
      <c r="AG297" s="34">
        <f t="shared" si="106"/>
        <v>60497.3399999999</v>
      </c>
    </row>
    <row r="298" ht="15" customHeight="1" spans="1:33">
      <c r="A298" s="106">
        <v>42663</v>
      </c>
      <c r="B298" s="21" t="s">
        <v>36</v>
      </c>
      <c r="C298" s="9">
        <v>46475</v>
      </c>
      <c r="D298" s="38">
        <f>31054+10621</f>
        <v>41675</v>
      </c>
      <c r="E298" s="38">
        <v>90376</v>
      </c>
      <c r="F298" s="59">
        <v>4597</v>
      </c>
      <c r="G298" s="38">
        <v>3064.6</v>
      </c>
      <c r="H298" s="25"/>
      <c r="I298" s="37"/>
      <c r="J298" s="9">
        <f t="shared" si="101"/>
        <v>48701</v>
      </c>
      <c r="K298" s="38">
        <v>1270</v>
      </c>
      <c r="L298" s="38">
        <v>788</v>
      </c>
      <c r="M298" s="38">
        <f t="shared" si="112"/>
        <v>168</v>
      </c>
      <c r="N298" s="78">
        <f t="shared" si="113"/>
        <v>978826</v>
      </c>
      <c r="O298" s="79">
        <f t="shared" si="114"/>
        <v>664328</v>
      </c>
      <c r="P298" s="79">
        <f t="shared" si="115"/>
        <v>1697535</v>
      </c>
      <c r="Q298" s="80">
        <f t="shared" si="116"/>
        <v>16321082</v>
      </c>
      <c r="R298" s="80">
        <f t="shared" si="116"/>
        <v>8866524</v>
      </c>
      <c r="S298" s="80">
        <f t="shared" si="116"/>
        <v>25903578.34</v>
      </c>
      <c r="T298" s="84">
        <f>N298/'2015'!M298-1</f>
        <v>0.223521794184301</v>
      </c>
      <c r="U298" s="84">
        <f>O298/'2015'!N298-1</f>
        <v>-0.0106157365486346</v>
      </c>
      <c r="V298" s="84">
        <f>P298/'2015'!O298-1</f>
        <v>0.126498344629053</v>
      </c>
      <c r="W298" s="85">
        <f>Q298/'2015'!P298-1</f>
        <v>0.0839919154972739</v>
      </c>
      <c r="X298" s="85">
        <f>R298/'2015'!Q298-1</f>
        <v>0.0241537456619556</v>
      </c>
      <c r="Y298" s="85">
        <f>S298/'2015'!R298-1</f>
        <v>0.068315409422131</v>
      </c>
      <c r="Z298" s="54">
        <v>124.72</v>
      </c>
      <c r="AA298" s="101">
        <f t="shared" si="104"/>
        <v>1507.3882</v>
      </c>
      <c r="AB298" s="109">
        <v>4235.1</v>
      </c>
      <c r="AC298" s="109">
        <f t="shared" si="110"/>
        <v>3559.27416117683</v>
      </c>
      <c r="AD298" s="9">
        <f t="shared" si="105"/>
        <v>17037054.34</v>
      </c>
      <c r="AE298" s="38">
        <f t="shared" si="107"/>
        <v>430201</v>
      </c>
      <c r="AF298" s="38">
        <f t="shared" si="107"/>
        <v>225106</v>
      </c>
      <c r="AG298" s="38">
        <f t="shared" si="106"/>
        <v>60665.3399999999</v>
      </c>
    </row>
    <row r="299" ht="15" customHeight="1" spans="1:33">
      <c r="A299" s="106">
        <v>42664</v>
      </c>
      <c r="B299" s="21" t="s">
        <v>37</v>
      </c>
      <c r="C299" s="74">
        <v>45811</v>
      </c>
      <c r="D299" s="75">
        <v>42210</v>
      </c>
      <c r="E299" s="75">
        <v>90987</v>
      </c>
      <c r="F299" s="111">
        <v>4605</v>
      </c>
      <c r="G299" s="75">
        <v>3000.1</v>
      </c>
      <c r="H299" s="25"/>
      <c r="I299" s="25"/>
      <c r="J299" s="74">
        <f t="shared" si="101"/>
        <v>48777</v>
      </c>
      <c r="K299" s="75">
        <v>2077</v>
      </c>
      <c r="L299" s="75">
        <v>791</v>
      </c>
      <c r="M299" s="75">
        <f t="shared" si="112"/>
        <v>98</v>
      </c>
      <c r="N299" s="78">
        <f t="shared" si="113"/>
        <v>1024637</v>
      </c>
      <c r="O299" s="79">
        <f t="shared" si="114"/>
        <v>706538</v>
      </c>
      <c r="P299" s="79">
        <f t="shared" si="115"/>
        <v>1788522</v>
      </c>
      <c r="Q299" s="80">
        <f t="shared" si="116"/>
        <v>16366893</v>
      </c>
      <c r="R299" s="80">
        <f t="shared" si="116"/>
        <v>8908734</v>
      </c>
      <c r="S299" s="80">
        <f t="shared" si="116"/>
        <v>25994565.34</v>
      </c>
      <c r="T299" s="84">
        <f>N299/'2015'!M299-1</f>
        <v>0.203016708483861</v>
      </c>
      <c r="U299" s="84">
        <f>O299/'2015'!N299-1</f>
        <v>0.0043540992927964</v>
      </c>
      <c r="V299" s="84">
        <f>P299/'2015'!O299-1</f>
        <v>0.123318575761363</v>
      </c>
      <c r="W299" s="85">
        <f>Q299/'2015'!P299-1</f>
        <v>0.0833135592732333</v>
      </c>
      <c r="X299" s="85">
        <f>R299/'2015'!Q299-1</f>
        <v>0.0252375471175683</v>
      </c>
      <c r="Y299" s="85">
        <f>S299/'2015'!R299-1</f>
        <v>0.068311223846075</v>
      </c>
      <c r="Z299" s="101">
        <f>Z298+0.244</f>
        <v>124.964</v>
      </c>
      <c r="AA299" s="101">
        <f t="shared" si="104"/>
        <v>1511.7253</v>
      </c>
      <c r="AB299" s="110"/>
      <c r="AC299" s="109"/>
      <c r="AD299" s="74">
        <f t="shared" si="105"/>
        <v>17085831.34</v>
      </c>
      <c r="AE299" s="75">
        <f t="shared" si="107"/>
        <v>432278</v>
      </c>
      <c r="AF299" s="75">
        <f t="shared" si="107"/>
        <v>225897</v>
      </c>
      <c r="AG299" s="75">
        <f t="shared" si="106"/>
        <v>60763.3399999999</v>
      </c>
    </row>
    <row r="300" ht="15" customHeight="1" spans="1:33">
      <c r="A300" s="106">
        <v>42665</v>
      </c>
      <c r="B300" s="21" t="s">
        <v>38</v>
      </c>
      <c r="C300" s="9">
        <v>48225</v>
      </c>
      <c r="D300" s="38">
        <v>38787</v>
      </c>
      <c r="E300" s="38">
        <v>89532</v>
      </c>
      <c r="F300" s="59">
        <v>4565.3</v>
      </c>
      <c r="G300" s="38">
        <v>3030</v>
      </c>
      <c r="H300" s="25"/>
      <c r="I300" s="37"/>
      <c r="J300" s="9">
        <f t="shared" si="101"/>
        <v>50745</v>
      </c>
      <c r="K300" s="38">
        <v>1693</v>
      </c>
      <c r="L300" s="38">
        <v>792</v>
      </c>
      <c r="M300" s="38">
        <f t="shared" si="112"/>
        <v>35</v>
      </c>
      <c r="N300" s="78">
        <f t="shared" si="113"/>
        <v>1072862</v>
      </c>
      <c r="O300" s="79">
        <f t="shared" si="114"/>
        <v>745325</v>
      </c>
      <c r="P300" s="79">
        <f t="shared" si="115"/>
        <v>1878054</v>
      </c>
      <c r="Q300" s="80">
        <f t="shared" si="116"/>
        <v>16415118</v>
      </c>
      <c r="R300" s="80">
        <f t="shared" si="116"/>
        <v>8947521</v>
      </c>
      <c r="S300" s="80">
        <f t="shared" si="116"/>
        <v>26084097.34</v>
      </c>
      <c r="T300" s="84">
        <f>N300/'2015'!M300-1</f>
        <v>0.188396742953164</v>
      </c>
      <c r="U300" s="84">
        <f>O300/'2015'!N300-1</f>
        <v>0.0124456132677138</v>
      </c>
      <c r="V300" s="84">
        <f>P300/'2015'!O300-1</f>
        <v>0.119301737907359</v>
      </c>
      <c r="W300" s="85">
        <f>Q300/'2015'!P300-1</f>
        <v>0.0828460671003517</v>
      </c>
      <c r="X300" s="85">
        <f>R300/'2015'!Q300-1</f>
        <v>0.0258422205055147</v>
      </c>
      <c r="Y300" s="85">
        <f>S300/'2015'!R300-1</f>
        <v>0.0682282740097682</v>
      </c>
      <c r="Z300" s="54">
        <f t="shared" ref="Z300:Z304" si="118">Z299+0.244</f>
        <v>125.208</v>
      </c>
      <c r="AA300" s="101">
        <f t="shared" si="104"/>
        <v>1516.3038</v>
      </c>
      <c r="AB300" s="109"/>
      <c r="AC300" s="109"/>
      <c r="AD300" s="9">
        <f t="shared" si="105"/>
        <v>17136576.34</v>
      </c>
      <c r="AE300" s="38">
        <f t="shared" si="107"/>
        <v>433971</v>
      </c>
      <c r="AF300" s="38">
        <f t="shared" si="107"/>
        <v>226689</v>
      </c>
      <c r="AG300" s="38">
        <f t="shared" si="106"/>
        <v>60798.3399999999</v>
      </c>
    </row>
    <row r="301" ht="15" customHeight="1" spans="1:33">
      <c r="A301" s="106">
        <v>42666</v>
      </c>
      <c r="B301" s="21" t="s">
        <v>1</v>
      </c>
      <c r="C301" s="9">
        <v>45151</v>
      </c>
      <c r="D301" s="38">
        <f>26568+10051</f>
        <v>36619</v>
      </c>
      <c r="E301" s="38">
        <v>84070</v>
      </c>
      <c r="F301" s="59">
        <v>4183.6</v>
      </c>
      <c r="G301" s="38">
        <v>2931</v>
      </c>
      <c r="H301" s="25"/>
      <c r="I301" s="37"/>
      <c r="J301" s="9">
        <f t="shared" si="101"/>
        <v>47451</v>
      </c>
      <c r="K301" s="38">
        <v>1394</v>
      </c>
      <c r="L301" s="38">
        <v>787</v>
      </c>
      <c r="M301" s="38">
        <f t="shared" si="112"/>
        <v>119</v>
      </c>
      <c r="N301" s="78">
        <f t="shared" si="113"/>
        <v>1118013</v>
      </c>
      <c r="O301" s="79">
        <f t="shared" si="114"/>
        <v>781944</v>
      </c>
      <c r="P301" s="79">
        <f t="shared" si="115"/>
        <v>1962124</v>
      </c>
      <c r="Q301" s="80">
        <f t="shared" si="116"/>
        <v>16460269</v>
      </c>
      <c r="R301" s="80">
        <f t="shared" si="116"/>
        <v>8984140</v>
      </c>
      <c r="S301" s="80">
        <f t="shared" si="116"/>
        <v>26168167.34</v>
      </c>
      <c r="T301" s="84">
        <f>N301/'2015'!M301-1</f>
        <v>0.172307237392601</v>
      </c>
      <c r="U301" s="84">
        <f>O301/'2015'!N301-1</f>
        <v>0.0163960849050473</v>
      </c>
      <c r="V301" s="84">
        <f>P301/'2015'!O301-1</f>
        <v>0.112706279985029</v>
      </c>
      <c r="W301" s="85">
        <f>Q301/'2015'!P301-1</f>
        <v>0.0821904992327487</v>
      </c>
      <c r="X301" s="85">
        <f>R301/'2015'!Q301-1</f>
        <v>0.0261386003363224</v>
      </c>
      <c r="Y301" s="85">
        <f>S301/'2015'!R301-1</f>
        <v>0.067931847382545</v>
      </c>
      <c r="Z301" s="54">
        <f t="shared" si="118"/>
        <v>125.452</v>
      </c>
      <c r="AA301" s="101">
        <f t="shared" si="104"/>
        <v>1520.5749</v>
      </c>
      <c r="AB301" s="109"/>
      <c r="AC301" s="109"/>
      <c r="AD301" s="9">
        <f t="shared" si="105"/>
        <v>17184027.34</v>
      </c>
      <c r="AE301" s="38">
        <f t="shared" si="107"/>
        <v>435365</v>
      </c>
      <c r="AF301" s="38">
        <f t="shared" si="107"/>
        <v>227476</v>
      </c>
      <c r="AG301" s="38">
        <f t="shared" si="106"/>
        <v>60917.3399999999</v>
      </c>
    </row>
    <row r="302" ht="15" customHeight="1" spans="1:33">
      <c r="A302" s="106">
        <v>42667</v>
      </c>
      <c r="B302" s="21" t="s">
        <v>39</v>
      </c>
      <c r="C302" s="9">
        <v>47939</v>
      </c>
      <c r="D302" s="38">
        <f>28892+10020</f>
        <v>38912</v>
      </c>
      <c r="E302" s="38">
        <v>88704</v>
      </c>
      <c r="F302" s="59">
        <v>4477.8</v>
      </c>
      <c r="G302" s="38">
        <v>2887.7</v>
      </c>
      <c r="H302" s="25"/>
      <c r="I302" s="37"/>
      <c r="J302" s="9">
        <f t="shared" si="101"/>
        <v>49792</v>
      </c>
      <c r="K302" s="38">
        <v>881</v>
      </c>
      <c r="L302" s="38">
        <v>789</v>
      </c>
      <c r="M302" s="38">
        <f t="shared" si="112"/>
        <v>183</v>
      </c>
      <c r="N302" s="78">
        <f t="shared" si="113"/>
        <v>1165952</v>
      </c>
      <c r="O302" s="79">
        <f t="shared" si="114"/>
        <v>820856</v>
      </c>
      <c r="P302" s="79">
        <f t="shared" si="115"/>
        <v>2050828</v>
      </c>
      <c r="Q302" s="80">
        <f t="shared" si="116"/>
        <v>16508208</v>
      </c>
      <c r="R302" s="80">
        <f t="shared" si="116"/>
        <v>9023052</v>
      </c>
      <c r="S302" s="80">
        <f t="shared" si="116"/>
        <v>26256871.34</v>
      </c>
      <c r="T302" s="84">
        <f>N302/'2015'!M302-1</f>
        <v>0.160372926967142</v>
      </c>
      <c r="U302" s="84">
        <f>O302/'2015'!N302-1</f>
        <v>0.0239095508477114</v>
      </c>
      <c r="V302" s="84">
        <f>P302/'2015'!O302-1</f>
        <v>0.109716379023465</v>
      </c>
      <c r="W302" s="85">
        <f>Q302/'2015'!P302-1</f>
        <v>0.081706611157059</v>
      </c>
      <c r="X302" s="85">
        <f>R302/'2015'!Q302-1</f>
        <v>0.0267881720783731</v>
      </c>
      <c r="Y302" s="85">
        <f>S302/'2015'!R302-1</f>
        <v>0.0678613337623724</v>
      </c>
      <c r="Z302" s="54">
        <f t="shared" si="118"/>
        <v>125.696</v>
      </c>
      <c r="AA302" s="101">
        <f t="shared" si="104"/>
        <v>1525.1248</v>
      </c>
      <c r="AB302" s="109"/>
      <c r="AC302" s="109"/>
      <c r="AD302" s="9">
        <f t="shared" si="105"/>
        <v>17233819.34</v>
      </c>
      <c r="AE302" s="38">
        <f t="shared" si="107"/>
        <v>436246</v>
      </c>
      <c r="AF302" s="38">
        <f t="shared" si="107"/>
        <v>228265</v>
      </c>
      <c r="AG302" s="38">
        <f t="shared" si="106"/>
        <v>61100.3399999999</v>
      </c>
    </row>
    <row r="303" ht="15" customHeight="1" spans="1:33">
      <c r="A303" s="106">
        <v>42668</v>
      </c>
      <c r="B303" s="21" t="s">
        <v>34</v>
      </c>
      <c r="C303" s="9">
        <v>48054</v>
      </c>
      <c r="D303" s="38">
        <f>30456+10015</f>
        <v>40471</v>
      </c>
      <c r="E303" s="38">
        <v>90691</v>
      </c>
      <c r="F303" s="59">
        <v>4563.2</v>
      </c>
      <c r="G303" s="38">
        <v>3056.2</v>
      </c>
      <c r="H303" s="25"/>
      <c r="I303" s="37"/>
      <c r="J303" s="9">
        <f t="shared" si="101"/>
        <v>50220</v>
      </c>
      <c r="K303" s="38">
        <v>1278</v>
      </c>
      <c r="L303" s="38">
        <v>790</v>
      </c>
      <c r="M303" s="38">
        <f t="shared" si="112"/>
        <v>98</v>
      </c>
      <c r="N303" s="78">
        <f t="shared" si="113"/>
        <v>1214006</v>
      </c>
      <c r="O303" s="79">
        <f t="shared" si="114"/>
        <v>861327</v>
      </c>
      <c r="P303" s="79">
        <f t="shared" si="115"/>
        <v>2141519</v>
      </c>
      <c r="Q303" s="80">
        <f t="shared" si="116"/>
        <v>16556262</v>
      </c>
      <c r="R303" s="80">
        <f t="shared" si="116"/>
        <v>9063523</v>
      </c>
      <c r="S303" s="80">
        <f t="shared" si="116"/>
        <v>26347562.34</v>
      </c>
      <c r="T303" s="84">
        <f>N303/'2015'!M303-1</f>
        <v>0.155218105813269</v>
      </c>
      <c r="U303" s="84">
        <f>O303/'2015'!N303-1</f>
        <v>0.0329841789154546</v>
      </c>
      <c r="V303" s="84">
        <f>P303/'2015'!O303-1</f>
        <v>0.110758467804888</v>
      </c>
      <c r="W303" s="85">
        <f>Q303/'2015'!P303-1</f>
        <v>0.081589535166227</v>
      </c>
      <c r="X303" s="85">
        <f>R303/'2015'!Q303-1</f>
        <v>0.0276356005584264</v>
      </c>
      <c r="Y303" s="85">
        <f>S303/'2015'!R303-1</f>
        <v>0.0680783715320523</v>
      </c>
      <c r="Z303" s="54">
        <f t="shared" si="118"/>
        <v>125.94</v>
      </c>
      <c r="AA303" s="101">
        <f t="shared" si="104"/>
        <v>1529.6862</v>
      </c>
      <c r="AB303" s="109"/>
      <c r="AC303" s="109"/>
      <c r="AD303" s="9">
        <f t="shared" si="105"/>
        <v>17284039.34</v>
      </c>
      <c r="AE303" s="38">
        <f t="shared" si="107"/>
        <v>437524</v>
      </c>
      <c r="AF303" s="38">
        <f t="shared" si="107"/>
        <v>229055</v>
      </c>
      <c r="AG303" s="38">
        <f t="shared" si="106"/>
        <v>61198.3399999999</v>
      </c>
    </row>
    <row r="304" ht="15" customHeight="1" spans="1:33">
      <c r="A304" s="106">
        <v>42669</v>
      </c>
      <c r="B304" s="15" t="s">
        <v>35</v>
      </c>
      <c r="C304" s="33">
        <v>49819</v>
      </c>
      <c r="D304" s="34">
        <f>30810+10054</f>
        <v>40864</v>
      </c>
      <c r="E304" s="34">
        <v>92128</v>
      </c>
      <c r="F304" s="63">
        <v>4592.4</v>
      </c>
      <c r="G304" s="34">
        <v>3083</v>
      </c>
      <c r="H304" s="20"/>
      <c r="I304" s="20"/>
      <c r="J304" s="33">
        <f t="shared" si="101"/>
        <v>51264</v>
      </c>
      <c r="K304" s="34">
        <v>487</v>
      </c>
      <c r="L304" s="34">
        <v>791</v>
      </c>
      <c r="M304" s="34">
        <f t="shared" si="112"/>
        <v>167</v>
      </c>
      <c r="N304" s="81">
        <f t="shared" si="113"/>
        <v>1263825</v>
      </c>
      <c r="O304" s="82">
        <f t="shared" si="114"/>
        <v>902191</v>
      </c>
      <c r="P304" s="82">
        <f t="shared" si="115"/>
        <v>2233647</v>
      </c>
      <c r="Q304" s="81">
        <f t="shared" si="116"/>
        <v>16606081</v>
      </c>
      <c r="R304" s="81">
        <f t="shared" si="116"/>
        <v>9104387</v>
      </c>
      <c r="S304" s="81">
        <f t="shared" si="116"/>
        <v>26439690.34</v>
      </c>
      <c r="T304" s="86">
        <f>N304/'2015'!M304-1</f>
        <v>0.143033763959786</v>
      </c>
      <c r="U304" s="86">
        <f>O304/'2015'!N304-1</f>
        <v>0.0458718255178114</v>
      </c>
      <c r="V304" s="86">
        <f>P304/'2015'!O304-1</f>
        <v>0.109709154609797</v>
      </c>
      <c r="W304" s="86">
        <f>Q304/'2015'!P304-1</f>
        <v>0.0809751642513115</v>
      </c>
      <c r="X304" s="86">
        <f>R304/'2015'!Q304-1</f>
        <v>0.0289093843305932</v>
      </c>
      <c r="Y304" s="86">
        <f>S304/'2015'!R304-1</f>
        <v>0.0681393348330821</v>
      </c>
      <c r="Z304" s="53">
        <f t="shared" si="118"/>
        <v>126.184</v>
      </c>
      <c r="AA304" s="53">
        <f t="shared" si="104"/>
        <v>1534.4241</v>
      </c>
      <c r="AB304" s="34">
        <v>4235.1</v>
      </c>
      <c r="AC304" s="34">
        <f t="shared" si="110"/>
        <v>3623.11185095984</v>
      </c>
      <c r="AD304" s="33">
        <f t="shared" si="105"/>
        <v>17335303.34</v>
      </c>
      <c r="AE304" s="34">
        <f t="shared" si="107"/>
        <v>438011</v>
      </c>
      <c r="AF304" s="34">
        <f t="shared" si="107"/>
        <v>229846</v>
      </c>
      <c r="AG304" s="34">
        <f t="shared" si="106"/>
        <v>61365.3399999999</v>
      </c>
    </row>
    <row r="305" ht="15" customHeight="1" spans="1:33">
      <c r="A305" s="106">
        <v>42670</v>
      </c>
      <c r="B305" s="21" t="s">
        <v>36</v>
      </c>
      <c r="C305" s="9">
        <v>49637</v>
      </c>
      <c r="D305" s="38">
        <v>41633</v>
      </c>
      <c r="E305" s="38">
        <v>92851</v>
      </c>
      <c r="F305" s="59">
        <v>4655.6</v>
      </c>
      <c r="G305" s="38">
        <v>3108.3</v>
      </c>
      <c r="H305" s="25"/>
      <c r="I305" s="37"/>
      <c r="J305" s="9">
        <f t="shared" si="101"/>
        <v>51218</v>
      </c>
      <c r="K305" s="38">
        <v>682</v>
      </c>
      <c r="L305" s="38">
        <v>793</v>
      </c>
      <c r="M305" s="38">
        <f t="shared" si="112"/>
        <v>106</v>
      </c>
      <c r="N305" s="78">
        <f t="shared" si="113"/>
        <v>1313462</v>
      </c>
      <c r="O305" s="79">
        <f t="shared" si="114"/>
        <v>943824</v>
      </c>
      <c r="P305" s="79">
        <f t="shared" si="115"/>
        <v>2326498</v>
      </c>
      <c r="Q305" s="80">
        <f t="shared" si="116"/>
        <v>16655718</v>
      </c>
      <c r="R305" s="80">
        <f t="shared" si="116"/>
        <v>9146020</v>
      </c>
      <c r="S305" s="80">
        <f t="shared" si="116"/>
        <v>26532541.34</v>
      </c>
      <c r="T305" s="84">
        <f>N305/'2015'!M305-1</f>
        <v>0.132491060951079</v>
      </c>
      <c r="U305" s="84">
        <f>O305/'2015'!N305-1</f>
        <v>0.0583941032866797</v>
      </c>
      <c r="V305" s="84">
        <f>P305/'2015'!O305-1</f>
        <v>0.109203079930392</v>
      </c>
      <c r="W305" s="85">
        <f>Q305/'2015'!P305-1</f>
        <v>0.0803998870542666</v>
      </c>
      <c r="X305" s="85">
        <f>R305/'2015'!Q305-1</f>
        <v>0.0302228840545591</v>
      </c>
      <c r="Y305" s="85">
        <f>S305/'2015'!R305-1</f>
        <v>0.0682382372286796</v>
      </c>
      <c r="Z305" s="54">
        <v>126.43</v>
      </c>
      <c r="AA305" s="101">
        <f t="shared" si="104"/>
        <v>1539.1418</v>
      </c>
      <c r="AB305" s="109">
        <v>4235.1</v>
      </c>
      <c r="AC305" s="109">
        <f t="shared" si="110"/>
        <v>3634.25137541026</v>
      </c>
      <c r="AD305" s="9">
        <f t="shared" si="105"/>
        <v>17386521.34</v>
      </c>
      <c r="AE305" s="38">
        <f t="shared" si="107"/>
        <v>438693</v>
      </c>
      <c r="AF305" s="38">
        <f t="shared" si="107"/>
        <v>230639</v>
      </c>
      <c r="AG305" s="38">
        <f t="shared" si="106"/>
        <v>61471.3399999999</v>
      </c>
    </row>
    <row r="306" ht="15" customHeight="1" spans="1:33">
      <c r="A306" s="106">
        <v>42671</v>
      </c>
      <c r="B306" s="21" t="s">
        <v>37</v>
      </c>
      <c r="C306" s="74">
        <v>47749</v>
      </c>
      <c r="D306" s="75">
        <f>31377+10328</f>
        <v>41705</v>
      </c>
      <c r="E306" s="75">
        <v>90672</v>
      </c>
      <c r="F306" s="111">
        <v>4661.2</v>
      </c>
      <c r="G306" s="75">
        <v>3103.2</v>
      </c>
      <c r="H306" s="25"/>
      <c r="I306" s="25"/>
      <c r="J306" s="74">
        <f t="shared" si="101"/>
        <v>48967</v>
      </c>
      <c r="K306" s="75">
        <v>295</v>
      </c>
      <c r="L306" s="75">
        <v>788</v>
      </c>
      <c r="M306" s="75">
        <f t="shared" si="112"/>
        <v>135</v>
      </c>
      <c r="N306" s="78">
        <f t="shared" si="113"/>
        <v>1361211</v>
      </c>
      <c r="O306" s="79">
        <f t="shared" si="114"/>
        <v>985529</v>
      </c>
      <c r="P306" s="79">
        <f t="shared" si="115"/>
        <v>2417170</v>
      </c>
      <c r="Q306" s="80">
        <f t="shared" si="116"/>
        <v>16703467</v>
      </c>
      <c r="R306" s="80">
        <f t="shared" si="116"/>
        <v>9187725</v>
      </c>
      <c r="S306" s="80">
        <f t="shared" si="116"/>
        <v>26623213.34</v>
      </c>
      <c r="T306" s="84">
        <f>N306/'2015'!M306-1</f>
        <v>0.121416308022857</v>
      </c>
      <c r="U306" s="84">
        <f>O306/'2015'!N306-1</f>
        <v>0.0697341970554139</v>
      </c>
      <c r="V306" s="84">
        <f>P306/'2015'!O306-1</f>
        <v>0.107430625519143</v>
      </c>
      <c r="W306" s="85">
        <f>Q306/'2015'!P306-1</f>
        <v>0.0797128766720925</v>
      </c>
      <c r="X306" s="85">
        <f>R306/'2015'!Q306-1</f>
        <v>0.0314892049088591</v>
      </c>
      <c r="Y306" s="85">
        <f>S306/'2015'!R306-1</f>
        <v>0.0682231045701911</v>
      </c>
      <c r="Z306" s="101">
        <f>Z305+0.235</f>
        <v>126.665</v>
      </c>
      <c r="AA306" s="101">
        <f t="shared" si="104"/>
        <v>1543.6817</v>
      </c>
      <c r="AB306" s="110"/>
      <c r="AC306" s="109"/>
      <c r="AD306" s="74">
        <f t="shared" si="105"/>
        <v>17435488.34</v>
      </c>
      <c r="AE306" s="75">
        <f t="shared" si="107"/>
        <v>438988</v>
      </c>
      <c r="AF306" s="75">
        <f t="shared" si="107"/>
        <v>231427</v>
      </c>
      <c r="AG306" s="75">
        <f t="shared" si="106"/>
        <v>61606.3399999999</v>
      </c>
    </row>
    <row r="307" ht="15" customHeight="1" spans="1:33">
      <c r="A307" s="106">
        <v>42672</v>
      </c>
      <c r="B307" s="21" t="s">
        <v>38</v>
      </c>
      <c r="C307" s="9">
        <v>46498</v>
      </c>
      <c r="D307" s="38">
        <f>29487+10863</f>
        <v>40350</v>
      </c>
      <c r="E307" s="38">
        <v>88510</v>
      </c>
      <c r="F307" s="59">
        <v>4520.5</v>
      </c>
      <c r="G307" s="38">
        <v>3035.4</v>
      </c>
      <c r="H307" s="25"/>
      <c r="I307" s="37"/>
      <c r="J307" s="9">
        <f t="shared" si="101"/>
        <v>48160</v>
      </c>
      <c r="K307" s="38">
        <v>321</v>
      </c>
      <c r="L307" s="38">
        <v>793</v>
      </c>
      <c r="M307" s="38">
        <f t="shared" si="112"/>
        <v>548</v>
      </c>
      <c r="N307" s="78">
        <f t="shared" si="113"/>
        <v>1407709</v>
      </c>
      <c r="O307" s="79">
        <f t="shared" si="114"/>
        <v>1025879</v>
      </c>
      <c r="P307" s="79">
        <f t="shared" si="115"/>
        <v>2505680</v>
      </c>
      <c r="Q307" s="80">
        <f t="shared" si="116"/>
        <v>16749965</v>
      </c>
      <c r="R307" s="80">
        <f t="shared" si="116"/>
        <v>9228075</v>
      </c>
      <c r="S307" s="80">
        <f t="shared" si="116"/>
        <v>26711723.34</v>
      </c>
      <c r="T307" s="84">
        <f>N307/'2015'!M307-1</f>
        <v>0.111027012692635</v>
      </c>
      <c r="U307" s="84">
        <f>O307/'2015'!N307-1</f>
        <v>0.0774240436733782</v>
      </c>
      <c r="V307" s="84">
        <f>P307/'2015'!O307-1</f>
        <v>0.10477282246864</v>
      </c>
      <c r="W307" s="85">
        <f>Q307/'2015'!P307-1</f>
        <v>0.0790078234994609</v>
      </c>
      <c r="X307" s="85">
        <f>R307/'2015'!Q307-1</f>
        <v>0.0324404981003832</v>
      </c>
      <c r="Y307" s="85">
        <f>S307/'2015'!R307-1</f>
        <v>0.0681158999327542</v>
      </c>
      <c r="Z307" s="54">
        <f t="shared" ref="Z307:Z308" si="119">Z306+0.235</f>
        <v>126.9</v>
      </c>
      <c r="AA307" s="101">
        <f t="shared" si="104"/>
        <v>1548.0965</v>
      </c>
      <c r="AB307" s="109"/>
      <c r="AC307" s="109"/>
      <c r="AD307" s="9">
        <f t="shared" si="105"/>
        <v>17483648.34</v>
      </c>
      <c r="AE307" s="38">
        <f t="shared" si="107"/>
        <v>439309</v>
      </c>
      <c r="AF307" s="38">
        <f t="shared" si="107"/>
        <v>232220</v>
      </c>
      <c r="AG307" s="38">
        <f t="shared" si="106"/>
        <v>62154.3399999999</v>
      </c>
    </row>
    <row r="308" ht="15" customHeight="1" spans="1:33">
      <c r="A308" s="106">
        <v>42673</v>
      </c>
      <c r="B308" s="21" t="s">
        <v>1</v>
      </c>
      <c r="C308" s="9">
        <v>42594</v>
      </c>
      <c r="D308" s="38">
        <f>30530+10922</f>
        <v>41452</v>
      </c>
      <c r="E308" s="38">
        <v>85348</v>
      </c>
      <c r="F308" s="59">
        <v>4175.1</v>
      </c>
      <c r="G308" s="38">
        <v>3976.6</v>
      </c>
      <c r="H308" s="25"/>
      <c r="I308" s="37"/>
      <c r="J308" s="9">
        <f t="shared" si="101"/>
        <v>43896</v>
      </c>
      <c r="K308" s="38">
        <v>373</v>
      </c>
      <c r="L308" s="38">
        <v>789</v>
      </c>
      <c r="M308" s="38">
        <f t="shared" si="112"/>
        <v>140</v>
      </c>
      <c r="N308" s="78">
        <f t="shared" si="113"/>
        <v>1450303</v>
      </c>
      <c r="O308" s="79">
        <f t="shared" si="114"/>
        <v>1067331</v>
      </c>
      <c r="P308" s="79">
        <f t="shared" si="115"/>
        <v>2591028</v>
      </c>
      <c r="Q308" s="80">
        <f t="shared" si="116"/>
        <v>16792559</v>
      </c>
      <c r="R308" s="80">
        <f t="shared" si="116"/>
        <v>9269527</v>
      </c>
      <c r="S308" s="80">
        <f t="shared" si="116"/>
        <v>26797071.34</v>
      </c>
      <c r="T308" s="84">
        <f>N308/'2015'!M308-1</f>
        <v>0.0999668562006588</v>
      </c>
      <c r="U308" s="84">
        <f>O308/'2015'!N308-1</f>
        <v>0.0851965914856279</v>
      </c>
      <c r="V308" s="84">
        <f>P308/'2015'!O308-1</f>
        <v>0.101390602191875</v>
      </c>
      <c r="W308" s="85">
        <f>Q308/'2015'!P308-1</f>
        <v>0.078177324602819</v>
      </c>
      <c r="X308" s="85">
        <f>R308/'2015'!Q308-1</f>
        <v>0.033450151491232</v>
      </c>
      <c r="Y308" s="85">
        <f>S308/'2015'!R308-1</f>
        <v>0.0679221865115534</v>
      </c>
      <c r="Z308" s="54">
        <f t="shared" si="119"/>
        <v>127.135</v>
      </c>
      <c r="AA308" s="101">
        <f t="shared" si="104"/>
        <v>1552.1209</v>
      </c>
      <c r="AB308" s="109"/>
      <c r="AC308" s="109"/>
      <c r="AD308" s="9">
        <f t="shared" si="105"/>
        <v>17527544.34</v>
      </c>
      <c r="AE308" s="38">
        <f t="shared" si="107"/>
        <v>439682</v>
      </c>
      <c r="AF308" s="38">
        <f t="shared" si="107"/>
        <v>233009</v>
      </c>
      <c r="AG308" s="38">
        <f t="shared" si="106"/>
        <v>62294.3399999999</v>
      </c>
    </row>
    <row r="309" s="1" customFormat="1" ht="15" customHeight="1" spans="1:33">
      <c r="A309" s="26">
        <v>42674</v>
      </c>
      <c r="B309" s="26" t="s">
        <v>39</v>
      </c>
      <c r="C309" s="43">
        <v>46414</v>
      </c>
      <c r="D309" s="44">
        <f>30769+10763</f>
        <v>41532</v>
      </c>
      <c r="E309" s="44">
        <v>89681</v>
      </c>
      <c r="F309" s="61">
        <v>4562.2</v>
      </c>
      <c r="G309" s="44">
        <v>2907.9</v>
      </c>
      <c r="H309" s="31"/>
      <c r="I309" s="31"/>
      <c r="J309" s="43">
        <f t="shared" si="101"/>
        <v>48149</v>
      </c>
      <c r="K309" s="44">
        <v>351</v>
      </c>
      <c r="L309" s="44">
        <v>789</v>
      </c>
      <c r="M309" s="44">
        <f t="shared" si="112"/>
        <v>595</v>
      </c>
      <c r="N309" s="91">
        <f t="shared" si="113"/>
        <v>1496717</v>
      </c>
      <c r="O309" s="92">
        <f t="shared" si="114"/>
        <v>1108863</v>
      </c>
      <c r="P309" s="92">
        <f t="shared" si="115"/>
        <v>2680709</v>
      </c>
      <c r="Q309" s="91">
        <f t="shared" si="116"/>
        <v>16838973</v>
      </c>
      <c r="R309" s="91">
        <f t="shared" si="116"/>
        <v>9311059</v>
      </c>
      <c r="S309" s="91">
        <f t="shared" si="116"/>
        <v>26886752.34</v>
      </c>
      <c r="T309" s="93">
        <f>N309/'2015'!M309-1</f>
        <v>0.0939866138549599</v>
      </c>
      <c r="U309" s="93">
        <f>O309/'2015'!N309-1</f>
        <v>0.0930961806897312</v>
      </c>
      <c r="V309" s="93">
        <f>P309/'2015'!O309-1</f>
        <v>0.101192999579357</v>
      </c>
      <c r="W309" s="93">
        <f>Q309/'2015'!P309-1</f>
        <v>0.0777228963201262</v>
      </c>
      <c r="X309" s="93">
        <f>R309/'2015'!Q309-1</f>
        <v>0.0345180866192027</v>
      </c>
      <c r="Y309" s="93">
        <f>S309/'2015'!R309-1</f>
        <v>0.0680119101088514</v>
      </c>
      <c r="Z309" s="56">
        <v>127.3719</v>
      </c>
      <c r="AA309" s="56">
        <f t="shared" si="104"/>
        <v>1556.5254</v>
      </c>
      <c r="AB309" s="44">
        <v>4236</v>
      </c>
      <c r="AC309" s="44">
        <f t="shared" si="110"/>
        <v>3674.51699716714</v>
      </c>
      <c r="AD309" s="43">
        <f t="shared" si="105"/>
        <v>17575693.34</v>
      </c>
      <c r="AE309" s="44">
        <v>440084</v>
      </c>
      <c r="AF309" s="44">
        <f t="shared" si="107"/>
        <v>233798</v>
      </c>
      <c r="AG309" s="44">
        <f t="shared" si="106"/>
        <v>62838.3399999999</v>
      </c>
    </row>
    <row r="310" ht="15" customHeight="1" spans="1:33">
      <c r="A310" s="106">
        <v>42675</v>
      </c>
      <c r="B310" s="21" t="s">
        <v>34</v>
      </c>
      <c r="C310" s="9">
        <v>46218</v>
      </c>
      <c r="D310" s="38">
        <f>28596+11109</f>
        <v>39705</v>
      </c>
      <c r="E310" s="38">
        <v>87266</v>
      </c>
      <c r="F310" s="59">
        <v>4344.2</v>
      </c>
      <c r="G310" s="38">
        <v>2943.8</v>
      </c>
      <c r="H310" s="25"/>
      <c r="I310" s="37"/>
      <c r="J310" s="9">
        <f t="shared" si="101"/>
        <v>47561</v>
      </c>
      <c r="K310" s="38">
        <v>432</v>
      </c>
      <c r="L310" s="38">
        <v>790</v>
      </c>
      <c r="M310" s="38">
        <f t="shared" si="112"/>
        <v>121</v>
      </c>
      <c r="N310" s="78">
        <f>C310</f>
        <v>46218</v>
      </c>
      <c r="O310" s="79">
        <f>D310</f>
        <v>39705</v>
      </c>
      <c r="P310" s="79">
        <f>E310</f>
        <v>87266</v>
      </c>
      <c r="Q310" s="80">
        <f>Q$309+N310</f>
        <v>16885191</v>
      </c>
      <c r="R310" s="80">
        <f>R$309+O310</f>
        <v>9350764</v>
      </c>
      <c r="S310" s="80">
        <f>S$309+P310</f>
        <v>26974018.34</v>
      </c>
      <c r="T310" s="84">
        <f>N310/'2015'!M310-1</f>
        <v>0.063338318187047</v>
      </c>
      <c r="U310" s="84">
        <f>O310/'2015'!N310-1</f>
        <v>0.293069758353416</v>
      </c>
      <c r="V310" s="84">
        <f>P310/'2015'!O310-1</f>
        <v>0.158403355767061</v>
      </c>
      <c r="W310" s="85">
        <f>Q310/'2015'!P310-1</f>
        <v>0.077682991820935</v>
      </c>
      <c r="X310" s="85">
        <f>R310/'2015'!Q310-1</f>
        <v>0.0353971708173844</v>
      </c>
      <c r="Y310" s="85">
        <f>S310/'2015'!R310-1</f>
        <v>0.068281592563048</v>
      </c>
      <c r="Z310" s="54">
        <f>Z309+0.2817</f>
        <v>127.6536</v>
      </c>
      <c r="AA310" s="101">
        <f t="shared" si="104"/>
        <v>1560.8655</v>
      </c>
      <c r="AB310" s="109"/>
      <c r="AC310" s="109"/>
      <c r="AD310" s="9">
        <f t="shared" si="105"/>
        <v>17623254.34</v>
      </c>
      <c r="AE310" s="38">
        <f t="shared" si="107"/>
        <v>440516</v>
      </c>
      <c r="AF310" s="38">
        <f t="shared" si="107"/>
        <v>234588</v>
      </c>
      <c r="AG310" s="38">
        <f t="shared" si="106"/>
        <v>62959.3399999999</v>
      </c>
    </row>
    <row r="311" ht="15" customHeight="1" spans="1:33">
      <c r="A311" s="106">
        <v>42676</v>
      </c>
      <c r="B311" s="15" t="s">
        <v>35</v>
      </c>
      <c r="C311" s="33">
        <v>49464</v>
      </c>
      <c r="D311" s="34">
        <f>29043+10293</f>
        <v>39336</v>
      </c>
      <c r="E311" s="34">
        <v>90100</v>
      </c>
      <c r="F311" s="63">
        <v>4557.5</v>
      </c>
      <c r="G311" s="34">
        <v>2963.3</v>
      </c>
      <c r="H311" s="20"/>
      <c r="I311" s="20"/>
      <c r="J311" s="33">
        <f t="shared" si="101"/>
        <v>50764</v>
      </c>
      <c r="K311" s="34">
        <v>384</v>
      </c>
      <c r="L311" s="34">
        <v>792</v>
      </c>
      <c r="M311" s="34">
        <f t="shared" si="112"/>
        <v>124</v>
      </c>
      <c r="N311" s="81">
        <f t="shared" ref="N311:N339" si="120">C311+N310</f>
        <v>95682</v>
      </c>
      <c r="O311" s="82">
        <f t="shared" ref="O311:O338" si="121">D311+O310</f>
        <v>79041</v>
      </c>
      <c r="P311" s="82">
        <f t="shared" ref="P311:P339" si="122">E311+P310</f>
        <v>177366</v>
      </c>
      <c r="Q311" s="81">
        <f t="shared" ref="Q311:S339" si="123">Q$309+N311</f>
        <v>16934655</v>
      </c>
      <c r="R311" s="81">
        <f t="shared" si="123"/>
        <v>9390100</v>
      </c>
      <c r="S311" s="81">
        <f t="shared" si="123"/>
        <v>27064118.34</v>
      </c>
      <c r="T311" s="86">
        <f>N311/'2015'!M311-1</f>
        <v>0.037124554234367</v>
      </c>
      <c r="U311" s="86">
        <f>O311/'2015'!N311-1</f>
        <v>0.280264990767437</v>
      </c>
      <c r="V311" s="86">
        <f>P311/'2015'!O311-1</f>
        <v>0.135498492327194</v>
      </c>
      <c r="W311" s="86">
        <f>Q311/'2015'!P311-1</f>
        <v>0.0774845862801192</v>
      </c>
      <c r="X311" s="86">
        <f>R311/'2015'!Q311-1</f>
        <v>0.0361922997938342</v>
      </c>
      <c r="Y311" s="86">
        <f>S311/'2015'!R311-1</f>
        <v>0.0684280627420031</v>
      </c>
      <c r="Z311" s="53">
        <f t="shared" ref="Z311:Z338" si="124">Z310+0.2817</f>
        <v>127.9353</v>
      </c>
      <c r="AA311" s="53">
        <f t="shared" si="104"/>
        <v>1565.5302</v>
      </c>
      <c r="AB311" s="34">
        <v>4236</v>
      </c>
      <c r="AC311" s="34">
        <f t="shared" si="110"/>
        <v>3695.77478753541</v>
      </c>
      <c r="AD311" s="33">
        <f t="shared" si="105"/>
        <v>17674018.34</v>
      </c>
      <c r="AE311" s="34">
        <f t="shared" si="107"/>
        <v>440900</v>
      </c>
      <c r="AF311" s="34">
        <f t="shared" si="107"/>
        <v>235380</v>
      </c>
      <c r="AG311" s="34">
        <f t="shared" si="106"/>
        <v>63083.3399999999</v>
      </c>
    </row>
    <row r="312" ht="15" customHeight="1" spans="1:33">
      <c r="A312" s="106">
        <v>42677</v>
      </c>
      <c r="B312" s="21" t="s">
        <v>36</v>
      </c>
      <c r="C312" s="9">
        <v>50812</v>
      </c>
      <c r="D312" s="38">
        <f>28860+10319</f>
        <v>39179</v>
      </c>
      <c r="E312" s="38">
        <v>91675</v>
      </c>
      <c r="F312" s="59">
        <v>4560.8</v>
      </c>
      <c r="G312" s="38">
        <v>3057</v>
      </c>
      <c r="H312" s="25"/>
      <c r="I312" s="37"/>
      <c r="J312" s="9">
        <f t="shared" si="101"/>
        <v>52496</v>
      </c>
      <c r="K312" s="38">
        <v>649</v>
      </c>
      <c r="L312" s="38">
        <v>792</v>
      </c>
      <c r="M312" s="38">
        <f t="shared" si="112"/>
        <v>243</v>
      </c>
      <c r="N312" s="78">
        <f t="shared" si="120"/>
        <v>146494</v>
      </c>
      <c r="O312" s="79">
        <f t="shared" si="121"/>
        <v>118220</v>
      </c>
      <c r="P312" s="79">
        <f t="shared" si="122"/>
        <v>269041</v>
      </c>
      <c r="Q312" s="80">
        <f t="shared" si="123"/>
        <v>16985467</v>
      </c>
      <c r="R312" s="80">
        <f t="shared" si="123"/>
        <v>9429279</v>
      </c>
      <c r="S312" s="80">
        <f t="shared" si="123"/>
        <v>27155793.34</v>
      </c>
      <c r="T312" s="84">
        <f>N312/'2015'!M312-1</f>
        <v>0.00322551926751258</v>
      </c>
      <c r="U312" s="84">
        <f>O312/'2015'!N312-1</f>
        <v>0.300592978866189</v>
      </c>
      <c r="V312" s="84">
        <f>P312/'2015'!O312-1</f>
        <v>0.119213425186369</v>
      </c>
      <c r="W312" s="85">
        <f>Q312/'2015'!P312-1</f>
        <v>0.0770331112154965</v>
      </c>
      <c r="X312" s="85">
        <f>R312/'2015'!Q312-1</f>
        <v>0.0371783731223767</v>
      </c>
      <c r="Y312" s="85">
        <f>S312/'2015'!R312-1</f>
        <v>0.0684961926959176</v>
      </c>
      <c r="Z312" s="54">
        <f t="shared" si="124"/>
        <v>128.217</v>
      </c>
      <c r="AA312" s="101">
        <f t="shared" si="104"/>
        <v>1570.3297</v>
      </c>
      <c r="AB312" s="109"/>
      <c r="AC312" s="109"/>
      <c r="AD312" s="9">
        <f t="shared" si="105"/>
        <v>17726514.34</v>
      </c>
      <c r="AE312" s="38">
        <f t="shared" si="107"/>
        <v>441549</v>
      </c>
      <c r="AF312" s="38">
        <f t="shared" si="107"/>
        <v>236172</v>
      </c>
      <c r="AG312" s="38">
        <f t="shared" si="106"/>
        <v>63326.3399999999</v>
      </c>
    </row>
    <row r="313" ht="15" customHeight="1" spans="1:33">
      <c r="A313" s="106">
        <v>42678</v>
      </c>
      <c r="B313" s="21" t="s">
        <v>37</v>
      </c>
      <c r="C313" s="74">
        <v>52933</v>
      </c>
      <c r="D313" s="75">
        <f>27119+10387</f>
        <v>37506</v>
      </c>
      <c r="E313" s="75">
        <v>91977</v>
      </c>
      <c r="F313" s="111">
        <v>4577.1</v>
      </c>
      <c r="G313" s="75">
        <v>4577.1</v>
      </c>
      <c r="H313" s="25"/>
      <c r="I313" s="25"/>
      <c r="J313" s="74">
        <f t="shared" si="101"/>
        <v>54471</v>
      </c>
      <c r="K313" s="75">
        <v>476</v>
      </c>
      <c r="L313" s="75">
        <v>791</v>
      </c>
      <c r="M313" s="75">
        <f t="shared" si="112"/>
        <v>271</v>
      </c>
      <c r="N313" s="78">
        <f t="shared" si="120"/>
        <v>199427</v>
      </c>
      <c r="O313" s="79">
        <f t="shared" si="121"/>
        <v>155726</v>
      </c>
      <c r="P313" s="79">
        <f t="shared" si="122"/>
        <v>361018</v>
      </c>
      <c r="Q313" s="80">
        <f t="shared" si="123"/>
        <v>17038400</v>
      </c>
      <c r="R313" s="80">
        <f t="shared" si="123"/>
        <v>9466785</v>
      </c>
      <c r="S313" s="80">
        <f t="shared" si="123"/>
        <v>27247770.34</v>
      </c>
      <c r="T313" s="84">
        <f>N313/'2015'!M313-1</f>
        <v>-0.00965874103648967</v>
      </c>
      <c r="U313" s="84">
        <f>O313/'2015'!N313-1</f>
        <v>0.310405762466551</v>
      </c>
      <c r="V313" s="84">
        <f>P313/'2015'!O313-1</f>
        <v>0.110158520272452</v>
      </c>
      <c r="W313" s="85">
        <f>Q313/'2015'!P313-1</f>
        <v>0.0766110384351479</v>
      </c>
      <c r="X313" s="85">
        <f>R313/'2015'!Q313-1</f>
        <v>0.0381133432340328</v>
      </c>
      <c r="Y313" s="85">
        <f>S313/'2015'!R313-1</f>
        <v>0.0685493998064923</v>
      </c>
      <c r="Z313" s="101">
        <f t="shared" si="124"/>
        <v>128.4987</v>
      </c>
      <c r="AA313" s="101">
        <f t="shared" si="104"/>
        <v>1575.3413</v>
      </c>
      <c r="AB313" s="110"/>
      <c r="AC313" s="109"/>
      <c r="AD313" s="74">
        <f t="shared" si="105"/>
        <v>17780985.34</v>
      </c>
      <c r="AE313" s="75">
        <f t="shared" si="107"/>
        <v>442025</v>
      </c>
      <c r="AF313" s="75">
        <f t="shared" si="107"/>
        <v>236963</v>
      </c>
      <c r="AG313" s="75">
        <f t="shared" si="106"/>
        <v>63597.3399999999</v>
      </c>
    </row>
    <row r="314" ht="15" customHeight="1" spans="1:33">
      <c r="A314" s="106">
        <v>42679</v>
      </c>
      <c r="B314" s="21" t="s">
        <v>38</v>
      </c>
      <c r="C314" s="9">
        <v>51768</v>
      </c>
      <c r="D314" s="38">
        <f>27193+9995</f>
        <v>37188</v>
      </c>
      <c r="E314" s="38">
        <v>90539</v>
      </c>
      <c r="F314" s="59">
        <v>4517.5</v>
      </c>
      <c r="G314" s="38">
        <v>4517.5</v>
      </c>
      <c r="H314" s="25"/>
      <c r="I314" s="37"/>
      <c r="J314" s="9">
        <f t="shared" si="101"/>
        <v>53351</v>
      </c>
      <c r="K314" s="38">
        <v>507</v>
      </c>
      <c r="L314" s="38">
        <v>792</v>
      </c>
      <c r="M314" s="38">
        <f t="shared" si="112"/>
        <v>284</v>
      </c>
      <c r="N314" s="78">
        <f t="shared" si="120"/>
        <v>251195</v>
      </c>
      <c r="O314" s="79">
        <f t="shared" si="121"/>
        <v>192914</v>
      </c>
      <c r="P314" s="79">
        <f t="shared" si="122"/>
        <v>451557</v>
      </c>
      <c r="Q314" s="80">
        <f t="shared" si="123"/>
        <v>17090168</v>
      </c>
      <c r="R314" s="80">
        <f t="shared" si="123"/>
        <v>9503973</v>
      </c>
      <c r="S314" s="80">
        <f t="shared" si="123"/>
        <v>27338309.34</v>
      </c>
      <c r="T314" s="84">
        <f>N314/'2015'!M314-1</f>
        <v>-0.0205027821862096</v>
      </c>
      <c r="U314" s="84">
        <f>O314/'2015'!N314-1</f>
        <v>0.325769185834748</v>
      </c>
      <c r="V314" s="84">
        <f>P314/'2015'!O314-1</f>
        <v>0.103835435611616</v>
      </c>
      <c r="W314" s="85">
        <f>Q314/'2015'!P314-1</f>
        <v>0.0761367109630995</v>
      </c>
      <c r="X314" s="85">
        <f>R314/'2015'!Q314-1</f>
        <v>0.0391518860813389</v>
      </c>
      <c r="Y314" s="85">
        <f>S314/'2015'!R314-1</f>
        <v>0.0685847244458093</v>
      </c>
      <c r="Z314" s="54">
        <f t="shared" si="124"/>
        <v>128.7804</v>
      </c>
      <c r="AA314" s="101">
        <f t="shared" si="104"/>
        <v>1580.2364</v>
      </c>
      <c r="AB314" s="109"/>
      <c r="AC314" s="109"/>
      <c r="AD314" s="9">
        <f t="shared" si="105"/>
        <v>17834336.34</v>
      </c>
      <c r="AE314" s="38">
        <f t="shared" si="107"/>
        <v>442532</v>
      </c>
      <c r="AF314" s="38">
        <f t="shared" si="107"/>
        <v>237755</v>
      </c>
      <c r="AG314" s="38">
        <f t="shared" si="106"/>
        <v>63881.3399999999</v>
      </c>
    </row>
    <row r="315" ht="15" customHeight="1" spans="1:33">
      <c r="A315" s="106">
        <v>42680</v>
      </c>
      <c r="B315" s="21" t="s">
        <v>1</v>
      </c>
      <c r="C315" s="9">
        <v>48663</v>
      </c>
      <c r="D315" s="38">
        <f>26052+10301</f>
        <v>36353</v>
      </c>
      <c r="E315" s="38">
        <v>86659</v>
      </c>
      <c r="F315" s="59">
        <v>4238.8</v>
      </c>
      <c r="G315" s="38">
        <v>4238.8</v>
      </c>
      <c r="H315" s="25"/>
      <c r="I315" s="37"/>
      <c r="J315" s="9">
        <f t="shared" si="101"/>
        <v>50306</v>
      </c>
      <c r="K315" s="38">
        <v>612</v>
      </c>
      <c r="L315" s="38">
        <v>789</v>
      </c>
      <c r="M315" s="38">
        <f t="shared" si="112"/>
        <v>242</v>
      </c>
      <c r="N315" s="78">
        <f t="shared" si="120"/>
        <v>299858</v>
      </c>
      <c r="O315" s="79">
        <f t="shared" si="121"/>
        <v>229267</v>
      </c>
      <c r="P315" s="79">
        <f t="shared" si="122"/>
        <v>538216</v>
      </c>
      <c r="Q315" s="80">
        <f t="shared" si="123"/>
        <v>17138831</v>
      </c>
      <c r="R315" s="80">
        <f t="shared" si="123"/>
        <v>9540326</v>
      </c>
      <c r="S315" s="80">
        <f t="shared" si="123"/>
        <v>27424968.34</v>
      </c>
      <c r="T315" s="84">
        <f>N315/'2015'!M315-1</f>
        <v>-0.0437530694117572</v>
      </c>
      <c r="U315" s="84">
        <f>O315/'2015'!N315-1</f>
        <v>0.336748080298057</v>
      </c>
      <c r="V315" s="84">
        <f>P315/'2015'!O315-1</f>
        <v>0.0916938804486724</v>
      </c>
      <c r="W315" s="85">
        <f>Q315/'2015'!P315-1</f>
        <v>0.075332897524012</v>
      </c>
      <c r="X315" s="85">
        <f>R315/'2015'!Q315-1</f>
        <v>0.040169674878493</v>
      </c>
      <c r="Y315" s="85">
        <f>S315/'2015'!R315-1</f>
        <v>0.0684667813196804</v>
      </c>
      <c r="Z315" s="54">
        <f t="shared" si="124"/>
        <v>129.0621</v>
      </c>
      <c r="AA315" s="101">
        <f t="shared" si="104"/>
        <v>1584.821</v>
      </c>
      <c r="AB315" s="109"/>
      <c r="AC315" s="109"/>
      <c r="AD315" s="9">
        <f t="shared" si="105"/>
        <v>17884642.34</v>
      </c>
      <c r="AE315" s="38">
        <f t="shared" si="107"/>
        <v>443144</v>
      </c>
      <c r="AF315" s="38">
        <f t="shared" si="107"/>
        <v>238544</v>
      </c>
      <c r="AG315" s="38">
        <f t="shared" si="106"/>
        <v>64123.3399999999</v>
      </c>
    </row>
    <row r="316" ht="15" customHeight="1" spans="1:33">
      <c r="A316" s="106">
        <v>42681</v>
      </c>
      <c r="B316" s="21" t="s">
        <v>39</v>
      </c>
      <c r="C316" s="9">
        <v>53132</v>
      </c>
      <c r="D316" s="38">
        <f>25842+10425</f>
        <v>36267</v>
      </c>
      <c r="E316" s="38">
        <v>91381</v>
      </c>
      <c r="F316" s="59">
        <v>4687.6</v>
      </c>
      <c r="G316" s="38">
        <v>2941.6</v>
      </c>
      <c r="H316" s="25"/>
      <c r="I316" s="37"/>
      <c r="J316" s="9">
        <f t="shared" si="101"/>
        <v>55114</v>
      </c>
      <c r="K316" s="38">
        <v>1085</v>
      </c>
      <c r="L316" s="38">
        <v>792</v>
      </c>
      <c r="M316" s="38">
        <f t="shared" si="112"/>
        <v>105</v>
      </c>
      <c r="N316" s="78">
        <f t="shared" si="120"/>
        <v>352990</v>
      </c>
      <c r="O316" s="79">
        <f t="shared" si="121"/>
        <v>265534</v>
      </c>
      <c r="P316" s="79">
        <f t="shared" si="122"/>
        <v>629597</v>
      </c>
      <c r="Q316" s="80">
        <f t="shared" si="123"/>
        <v>17191963</v>
      </c>
      <c r="R316" s="80">
        <f t="shared" si="123"/>
        <v>9576593</v>
      </c>
      <c r="S316" s="80">
        <f t="shared" si="123"/>
        <v>27516349.34</v>
      </c>
      <c r="T316" s="84">
        <f>N316/'2015'!M316-1</f>
        <v>-0.0451084089648736</v>
      </c>
      <c r="U316" s="84">
        <f>O316/'2015'!N316-1</f>
        <v>0.339322102289922</v>
      </c>
      <c r="V316" s="84">
        <f>P316/'2015'!O316-1</f>
        <v>0.09121838857335</v>
      </c>
      <c r="W316" s="85">
        <f>Q316/'2015'!P316-1</f>
        <v>0.0748839739281304</v>
      </c>
      <c r="X316" s="85">
        <f>R316/'2015'!Q316-1</f>
        <v>0.0410875821574987</v>
      </c>
      <c r="Y316" s="85">
        <f>S316/'2015'!R316-1</f>
        <v>0.06853185447337</v>
      </c>
      <c r="Z316" s="54">
        <f t="shared" si="124"/>
        <v>129.3438</v>
      </c>
      <c r="AA316" s="101">
        <f t="shared" si="104"/>
        <v>1589.8525</v>
      </c>
      <c r="AB316" s="109"/>
      <c r="AC316" s="109"/>
      <c r="AD316" s="9">
        <f t="shared" si="105"/>
        <v>17939756.34</v>
      </c>
      <c r="AE316" s="38">
        <f t="shared" si="107"/>
        <v>444229</v>
      </c>
      <c r="AF316" s="38">
        <f t="shared" si="107"/>
        <v>239336</v>
      </c>
      <c r="AG316" s="38">
        <f t="shared" si="106"/>
        <v>64228.3399999999</v>
      </c>
    </row>
    <row r="317" ht="15" customHeight="1" spans="1:33">
      <c r="A317" s="106">
        <v>42682</v>
      </c>
      <c r="B317" s="21" t="s">
        <v>34</v>
      </c>
      <c r="C317" s="9">
        <v>54882</v>
      </c>
      <c r="D317" s="38">
        <f>25654+10281</f>
        <v>35935</v>
      </c>
      <c r="E317" s="38">
        <v>92532</v>
      </c>
      <c r="F317" s="59">
        <v>4702.3</v>
      </c>
      <c r="G317" s="38">
        <v>3041.4</v>
      </c>
      <c r="H317" s="25"/>
      <c r="I317" s="37"/>
      <c r="J317" s="9">
        <f t="shared" si="101"/>
        <v>56597</v>
      </c>
      <c r="K317" s="38">
        <v>813</v>
      </c>
      <c r="L317" s="38">
        <v>794</v>
      </c>
      <c r="M317" s="38">
        <f t="shared" si="112"/>
        <v>108</v>
      </c>
      <c r="N317" s="78">
        <f t="shared" si="120"/>
        <v>407872</v>
      </c>
      <c r="O317" s="79">
        <f t="shared" si="121"/>
        <v>301469</v>
      </c>
      <c r="P317" s="79">
        <f t="shared" si="122"/>
        <v>722129</v>
      </c>
      <c r="Q317" s="80">
        <f t="shared" si="123"/>
        <v>17246845</v>
      </c>
      <c r="R317" s="80">
        <f t="shared" si="123"/>
        <v>9612528</v>
      </c>
      <c r="S317" s="80">
        <f t="shared" si="123"/>
        <v>27608881.34</v>
      </c>
      <c r="T317" s="84">
        <f>N317/'2015'!M317-1</f>
        <v>-0.0306487185337287</v>
      </c>
      <c r="U317" s="84">
        <f>O317/'2015'!N317-1</f>
        <v>0.355751631341545</v>
      </c>
      <c r="V317" s="84">
        <f>P317/'2015'!O317-1</f>
        <v>0.101430994405364</v>
      </c>
      <c r="W317" s="85">
        <f>Q317/'2015'!P317-1</f>
        <v>0.0748809951392158</v>
      </c>
      <c r="X317" s="85">
        <f>R317/'2015'!Q317-1</f>
        <v>0.0422631177308797</v>
      </c>
      <c r="Y317" s="85">
        <f>S317/'2015'!R317-1</f>
        <v>0.0688601605972294</v>
      </c>
      <c r="Z317" s="54">
        <f t="shared" si="124"/>
        <v>129.6255</v>
      </c>
      <c r="AA317" s="101">
        <f t="shared" si="104"/>
        <v>1595.059</v>
      </c>
      <c r="AB317" s="109"/>
      <c r="AC317" s="109"/>
      <c r="AD317" s="9">
        <f t="shared" si="105"/>
        <v>17996353.34</v>
      </c>
      <c r="AE317" s="38">
        <f t="shared" si="107"/>
        <v>445042</v>
      </c>
      <c r="AF317" s="38">
        <f t="shared" si="107"/>
        <v>240130</v>
      </c>
      <c r="AG317" s="38">
        <f t="shared" si="106"/>
        <v>64336.3399999999</v>
      </c>
    </row>
    <row r="318" ht="15" customHeight="1" spans="1:33">
      <c r="A318" s="106">
        <v>42683</v>
      </c>
      <c r="B318" s="15" t="s">
        <v>35</v>
      </c>
      <c r="C318" s="33">
        <v>53319</v>
      </c>
      <c r="D318" s="34">
        <f>29037+10232</f>
        <v>39269</v>
      </c>
      <c r="E318" s="34">
        <v>94333</v>
      </c>
      <c r="F318" s="63">
        <v>4766.3</v>
      </c>
      <c r="G318" s="34">
        <v>3048.2</v>
      </c>
      <c r="H318" s="20"/>
      <c r="I318" s="20"/>
      <c r="J318" s="33">
        <f t="shared" si="101"/>
        <v>55064</v>
      </c>
      <c r="K318" s="34">
        <v>867</v>
      </c>
      <c r="L318" s="34">
        <v>788</v>
      </c>
      <c r="M318" s="34">
        <f t="shared" si="112"/>
        <v>90</v>
      </c>
      <c r="N318" s="81">
        <f t="shared" si="120"/>
        <v>461191</v>
      </c>
      <c r="O318" s="82">
        <f t="shared" si="121"/>
        <v>340738</v>
      </c>
      <c r="P318" s="82">
        <f t="shared" si="122"/>
        <v>816462</v>
      </c>
      <c r="Q318" s="81">
        <f t="shared" si="123"/>
        <v>17300164</v>
      </c>
      <c r="R318" s="81">
        <f t="shared" si="123"/>
        <v>9651797</v>
      </c>
      <c r="S318" s="81">
        <f t="shared" si="123"/>
        <v>27703214.34</v>
      </c>
      <c r="T318" s="86">
        <f>N318/'2015'!M318-1</f>
        <v>-0.030221022241007</v>
      </c>
      <c r="U318" s="86">
        <f>O318/'2015'!N318-1</f>
        <v>0.36701476789017</v>
      </c>
      <c r="V318" s="86">
        <f>P318/'2015'!O318-1</f>
        <v>0.10608176851266</v>
      </c>
      <c r="W318" s="86">
        <f>Q318/'2015'!P318-1</f>
        <v>0.0745344701179145</v>
      </c>
      <c r="X318" s="86">
        <f>R318/'2015'!Q318-1</f>
        <v>0.0434781245540368</v>
      </c>
      <c r="Y318" s="86">
        <f>S318/'2015'!R318-1</f>
        <v>0.0690963780052884</v>
      </c>
      <c r="Z318" s="53">
        <f t="shared" si="124"/>
        <v>129.9072</v>
      </c>
      <c r="AA318" s="53">
        <f t="shared" si="104"/>
        <v>1600.1092</v>
      </c>
      <c r="AB318" s="34">
        <v>4236</v>
      </c>
      <c r="AC318" s="34">
        <f t="shared" si="110"/>
        <v>3777.4060434372</v>
      </c>
      <c r="AD318" s="33">
        <f t="shared" si="105"/>
        <v>18051417.34</v>
      </c>
      <c r="AE318" s="34">
        <f t="shared" si="107"/>
        <v>445909</v>
      </c>
      <c r="AF318" s="34">
        <f t="shared" si="107"/>
        <v>240918</v>
      </c>
      <c r="AG318" s="34">
        <f t="shared" si="106"/>
        <v>64426.3399999999</v>
      </c>
    </row>
    <row r="319" ht="15" customHeight="1" spans="1:33">
      <c r="A319" s="106">
        <v>42684</v>
      </c>
      <c r="B319" s="21" t="s">
        <v>36</v>
      </c>
      <c r="C319" s="9">
        <v>54859</v>
      </c>
      <c r="D319" s="38">
        <f>28827+10232</f>
        <v>39059</v>
      </c>
      <c r="E319" s="38">
        <v>95555</v>
      </c>
      <c r="F319" s="59">
        <v>4850.8</v>
      </c>
      <c r="G319" s="38">
        <v>3121.6</v>
      </c>
      <c r="H319" s="25"/>
      <c r="I319" s="37"/>
      <c r="J319" s="9">
        <f t="shared" si="101"/>
        <v>56496</v>
      </c>
      <c r="K319" s="38">
        <v>661</v>
      </c>
      <c r="L319" s="38">
        <v>791</v>
      </c>
      <c r="M319" s="38">
        <f t="shared" si="112"/>
        <v>185</v>
      </c>
      <c r="N319" s="78">
        <f t="shared" si="120"/>
        <v>516050</v>
      </c>
      <c r="O319" s="79">
        <f t="shared" si="121"/>
        <v>379797</v>
      </c>
      <c r="P319" s="79">
        <f t="shared" si="122"/>
        <v>912017</v>
      </c>
      <c r="Q319" s="80">
        <f t="shared" si="123"/>
        <v>17355023</v>
      </c>
      <c r="R319" s="80">
        <f t="shared" si="123"/>
        <v>9690856</v>
      </c>
      <c r="S319" s="80">
        <f t="shared" si="123"/>
        <v>27798769.34</v>
      </c>
      <c r="T319" s="84">
        <f>N319/'2015'!M319-1</f>
        <v>-0.0285715361389084</v>
      </c>
      <c r="U319" s="84">
        <f>O319/'2015'!N319-1</f>
        <v>0.376135918952998</v>
      </c>
      <c r="V319" s="84">
        <f>P319/'2015'!O319-1</f>
        <v>0.109651476161797</v>
      </c>
      <c r="W319" s="85">
        <f>Q319/'2015'!P319-1</f>
        <v>0.0742277717623991</v>
      </c>
      <c r="X319" s="85">
        <f>R319/'2015'!Q319-1</f>
        <v>0.0446818049860231</v>
      </c>
      <c r="Y319" s="85">
        <f>S319/'2015'!R319-1</f>
        <v>0.0693283712761683</v>
      </c>
      <c r="Z319" s="54">
        <f t="shared" si="124"/>
        <v>130.1889</v>
      </c>
      <c r="AA319" s="101">
        <f t="shared" si="104"/>
        <v>1605.3134</v>
      </c>
      <c r="AB319" s="109"/>
      <c r="AC319" s="109"/>
      <c r="AD319" s="9">
        <f t="shared" si="105"/>
        <v>18107913.34</v>
      </c>
      <c r="AE319" s="38">
        <f t="shared" si="107"/>
        <v>446570</v>
      </c>
      <c r="AF319" s="38">
        <f t="shared" si="107"/>
        <v>241709</v>
      </c>
      <c r="AG319" s="38">
        <f t="shared" si="106"/>
        <v>64611.3399999999</v>
      </c>
    </row>
    <row r="320" ht="15" customHeight="1" spans="1:33">
      <c r="A320" s="106">
        <v>42685</v>
      </c>
      <c r="B320" s="21" t="s">
        <v>37</v>
      </c>
      <c r="C320" s="74">
        <v>51940</v>
      </c>
      <c r="D320" s="75">
        <f>30098+10436</f>
        <v>40534</v>
      </c>
      <c r="E320" s="75">
        <v>94466</v>
      </c>
      <c r="F320" s="111">
        <v>4734.4</v>
      </c>
      <c r="G320" s="75">
        <v>3163.3</v>
      </c>
      <c r="H320" s="25"/>
      <c r="I320" s="25"/>
      <c r="J320" s="74">
        <f t="shared" si="101"/>
        <v>53932</v>
      </c>
      <c r="K320" s="75">
        <v>867</v>
      </c>
      <c r="L320" s="75">
        <v>792</v>
      </c>
      <c r="M320" s="75">
        <f t="shared" si="112"/>
        <v>333</v>
      </c>
      <c r="N320" s="78">
        <f t="shared" si="120"/>
        <v>567990</v>
      </c>
      <c r="O320" s="79">
        <f t="shared" si="121"/>
        <v>420331</v>
      </c>
      <c r="P320" s="79">
        <f t="shared" si="122"/>
        <v>1006483</v>
      </c>
      <c r="Q320" s="80">
        <f t="shared" si="123"/>
        <v>17406963</v>
      </c>
      <c r="R320" s="80">
        <f t="shared" si="123"/>
        <v>9731390</v>
      </c>
      <c r="S320" s="80">
        <f t="shared" si="123"/>
        <v>27893235.34</v>
      </c>
      <c r="T320" s="84">
        <f>N320/'2015'!M320-1</f>
        <v>-0.0338531567022514</v>
      </c>
      <c r="U320" s="84">
        <f>O320/'2015'!N320-1</f>
        <v>0.390917183161977</v>
      </c>
      <c r="V320" s="84">
        <f>P320/'2015'!O320-1</f>
        <v>0.110916971764683</v>
      </c>
      <c r="W320" s="85">
        <f>Q320/'2015'!P320-1</f>
        <v>0.0736769588015453</v>
      </c>
      <c r="X320" s="85">
        <f>R320/'2015'!Q320-1</f>
        <v>0.0460958142794794</v>
      </c>
      <c r="Y320" s="85">
        <f>S320/'2015'!R320-1</f>
        <v>0.0695023560447712</v>
      </c>
      <c r="Z320" s="101">
        <f t="shared" si="124"/>
        <v>130.4706</v>
      </c>
      <c r="AA320" s="101">
        <f t="shared" si="104"/>
        <v>1610.2257</v>
      </c>
      <c r="AB320" s="110"/>
      <c r="AC320" s="109"/>
      <c r="AD320" s="74">
        <f t="shared" si="105"/>
        <v>18161845.34</v>
      </c>
      <c r="AE320" s="75">
        <f t="shared" si="107"/>
        <v>447437</v>
      </c>
      <c r="AF320" s="75">
        <f t="shared" si="107"/>
        <v>242501</v>
      </c>
      <c r="AG320" s="75">
        <f t="shared" si="106"/>
        <v>64944.3399999999</v>
      </c>
    </row>
    <row r="321" ht="15" customHeight="1" spans="1:33">
      <c r="A321" s="106">
        <v>42686</v>
      </c>
      <c r="B321" s="21" t="s">
        <v>38</v>
      </c>
      <c r="C321" s="9">
        <v>52291</v>
      </c>
      <c r="D321" s="38">
        <f>28391+10300</f>
        <v>38691</v>
      </c>
      <c r="E321" s="38">
        <v>92515</v>
      </c>
      <c r="F321" s="59">
        <v>4675.2</v>
      </c>
      <c r="G321" s="38">
        <v>3086.5</v>
      </c>
      <c r="H321" s="25"/>
      <c r="I321" s="37"/>
      <c r="J321" s="9">
        <f t="shared" ref="J321:J370" si="125">E321-D321</f>
        <v>53824</v>
      </c>
      <c r="K321" s="38">
        <v>545</v>
      </c>
      <c r="L321" s="38">
        <v>791</v>
      </c>
      <c r="M321" s="38">
        <f t="shared" si="112"/>
        <v>197</v>
      </c>
      <c r="N321" s="78">
        <f t="shared" si="120"/>
        <v>620281</v>
      </c>
      <c r="O321" s="79">
        <f t="shared" si="121"/>
        <v>459022</v>
      </c>
      <c r="P321" s="79">
        <f t="shared" si="122"/>
        <v>1098998</v>
      </c>
      <c r="Q321" s="80">
        <f t="shared" si="123"/>
        <v>17459254</v>
      </c>
      <c r="R321" s="80">
        <f t="shared" si="123"/>
        <v>9770081</v>
      </c>
      <c r="S321" s="80">
        <f t="shared" si="123"/>
        <v>27985750.34</v>
      </c>
      <c r="T321" s="84">
        <f>N321/'2015'!M321-1</f>
        <v>-0.0376272432908789</v>
      </c>
      <c r="U321" s="84">
        <f>O321/'2015'!N321-1</f>
        <v>0.3970338041629</v>
      </c>
      <c r="V321" s="84">
        <f>P321/'2015'!O321-1</f>
        <v>0.109259762058806</v>
      </c>
      <c r="W321" s="85">
        <f>Q321/'2015'!P321-1</f>
        <v>0.0731530744321849</v>
      </c>
      <c r="X321" s="85">
        <f>R321/'2015'!Q321-1</f>
        <v>0.0472860188368425</v>
      </c>
      <c r="Y321" s="85">
        <f>S321/'2015'!R321-1</f>
        <v>0.0695737580989806</v>
      </c>
      <c r="Z321" s="54">
        <f t="shared" si="124"/>
        <v>130.7523</v>
      </c>
      <c r="AA321" s="101">
        <f t="shared" si="104"/>
        <v>1615.1731</v>
      </c>
      <c r="AB321" s="109"/>
      <c r="AC321" s="109"/>
      <c r="AD321" s="9">
        <f t="shared" si="105"/>
        <v>18215669.34</v>
      </c>
      <c r="AE321" s="38">
        <f t="shared" si="107"/>
        <v>447982</v>
      </c>
      <c r="AF321" s="38">
        <f t="shared" si="107"/>
        <v>243292</v>
      </c>
      <c r="AG321" s="38">
        <f t="shared" si="106"/>
        <v>65141.3399999999</v>
      </c>
    </row>
    <row r="322" ht="15" customHeight="1" spans="1:33">
      <c r="A322" s="106">
        <v>42687</v>
      </c>
      <c r="B322" s="21" t="s">
        <v>1</v>
      </c>
      <c r="C322" s="9">
        <v>49162</v>
      </c>
      <c r="D322" s="38">
        <f>27952+10393</f>
        <v>38345</v>
      </c>
      <c r="E322" s="38">
        <v>88918</v>
      </c>
      <c r="F322" s="59">
        <v>4366.3</v>
      </c>
      <c r="G322" s="38">
        <v>3077.6</v>
      </c>
      <c r="H322" s="25"/>
      <c r="I322" s="37"/>
      <c r="J322" s="9">
        <f t="shared" si="125"/>
        <v>50573</v>
      </c>
      <c r="K322" s="38">
        <v>496</v>
      </c>
      <c r="L322" s="38">
        <v>791</v>
      </c>
      <c r="M322" s="38">
        <f t="shared" si="112"/>
        <v>124</v>
      </c>
      <c r="N322" s="78">
        <f t="shared" si="120"/>
        <v>669443</v>
      </c>
      <c r="O322" s="79">
        <f t="shared" si="121"/>
        <v>497367</v>
      </c>
      <c r="P322" s="79">
        <f t="shared" si="122"/>
        <v>1187916</v>
      </c>
      <c r="Q322" s="80">
        <f t="shared" si="123"/>
        <v>17508416</v>
      </c>
      <c r="R322" s="80">
        <f t="shared" si="123"/>
        <v>9808426</v>
      </c>
      <c r="S322" s="80">
        <f t="shared" si="123"/>
        <v>28074668.34</v>
      </c>
      <c r="T322" s="84">
        <f>N322/'2015'!M322-1</f>
        <v>-0.0458460481550265</v>
      </c>
      <c r="U322" s="84">
        <f>O322/'2015'!N322-1</f>
        <v>0.408225670820274</v>
      </c>
      <c r="V322" s="84">
        <f>P322/'2015'!O322-1</f>
        <v>0.106545099558841</v>
      </c>
      <c r="W322" s="85">
        <f>Q322/'2015'!P322-1</f>
        <v>0.072412590466584</v>
      </c>
      <c r="X322" s="85">
        <f>R322/'2015'!Q322-1</f>
        <v>0.0486291330475956</v>
      </c>
      <c r="Y322" s="85">
        <f>S322/'2015'!R322-1</f>
        <v>0.0695878999625001</v>
      </c>
      <c r="Z322" s="54">
        <f t="shared" si="124"/>
        <v>131.034</v>
      </c>
      <c r="AA322" s="101">
        <f t="shared" si="104"/>
        <v>1619.8076</v>
      </c>
      <c r="AB322" s="109"/>
      <c r="AC322" s="109"/>
      <c r="AD322" s="9">
        <f t="shared" si="105"/>
        <v>18266242.34</v>
      </c>
      <c r="AE322" s="38">
        <f t="shared" si="107"/>
        <v>448478</v>
      </c>
      <c r="AF322" s="38">
        <f t="shared" si="107"/>
        <v>244083</v>
      </c>
      <c r="AG322" s="38">
        <f t="shared" si="106"/>
        <v>65265.3399999999</v>
      </c>
    </row>
    <row r="323" ht="15" customHeight="1" spans="1:33">
      <c r="A323" s="106">
        <v>42688</v>
      </c>
      <c r="B323" s="21" t="s">
        <v>39</v>
      </c>
      <c r="C323" s="9">
        <v>53222</v>
      </c>
      <c r="D323" s="38">
        <f>27891+10466</f>
        <v>38357</v>
      </c>
      <c r="E323" s="38">
        <v>93013</v>
      </c>
      <c r="F323" s="59">
        <v>4758.2</v>
      </c>
      <c r="G323" s="38">
        <v>2975.4</v>
      </c>
      <c r="H323" s="25"/>
      <c r="I323" s="37"/>
      <c r="J323" s="9">
        <f t="shared" si="125"/>
        <v>54656</v>
      </c>
      <c r="K323" s="38">
        <v>531</v>
      </c>
      <c r="L323" s="38">
        <v>791</v>
      </c>
      <c r="M323" s="38">
        <f t="shared" si="112"/>
        <v>112</v>
      </c>
      <c r="N323" s="78">
        <f t="shared" si="120"/>
        <v>722665</v>
      </c>
      <c r="O323" s="79">
        <f t="shared" si="121"/>
        <v>535724</v>
      </c>
      <c r="P323" s="79">
        <f t="shared" si="122"/>
        <v>1280929</v>
      </c>
      <c r="Q323" s="80">
        <f t="shared" si="123"/>
        <v>17561638</v>
      </c>
      <c r="R323" s="80">
        <f t="shared" si="123"/>
        <v>9846783</v>
      </c>
      <c r="S323" s="80">
        <f t="shared" si="123"/>
        <v>28167681.34</v>
      </c>
      <c r="T323" s="84">
        <f>N323/'2015'!M323-1</f>
        <v>-0.0434992654163303</v>
      </c>
      <c r="U323" s="84">
        <f>O323/'2015'!N323-1</f>
        <v>0.415966908509429</v>
      </c>
      <c r="V323" s="84">
        <f>P323/'2015'!O323-1</f>
        <v>0.110270440813065</v>
      </c>
      <c r="W323" s="85">
        <f>Q323/'2015'!P323-1</f>
        <v>0.0721315448640012</v>
      </c>
      <c r="X323" s="85">
        <f>R323/'2015'!Q323-1</f>
        <v>0.049906021370915</v>
      </c>
      <c r="Y323" s="85">
        <f>S323/'2015'!R323-1</f>
        <v>0.0698636842726967</v>
      </c>
      <c r="Z323" s="54">
        <f t="shared" si="124"/>
        <v>131.3157</v>
      </c>
      <c r="AA323" s="101">
        <f t="shared" si="104"/>
        <v>1624.8481</v>
      </c>
      <c r="AB323" s="109"/>
      <c r="AC323" s="109"/>
      <c r="AD323" s="9">
        <f t="shared" si="105"/>
        <v>18320898.34</v>
      </c>
      <c r="AE323" s="38">
        <f t="shared" si="107"/>
        <v>449009</v>
      </c>
      <c r="AF323" s="38">
        <f t="shared" si="107"/>
        <v>244874</v>
      </c>
      <c r="AG323" s="38">
        <f t="shared" si="106"/>
        <v>65377.3399999999</v>
      </c>
    </row>
    <row r="324" ht="15" customHeight="1" spans="1:33">
      <c r="A324" s="106">
        <v>42689</v>
      </c>
      <c r="B324" s="21" t="s">
        <v>34</v>
      </c>
      <c r="C324" s="9">
        <v>51882</v>
      </c>
      <c r="D324" s="38">
        <f>29490+10315</f>
        <v>39805</v>
      </c>
      <c r="E324" s="38">
        <v>93252</v>
      </c>
      <c r="F324" s="59">
        <v>4725.6</v>
      </c>
      <c r="G324" s="38">
        <v>3068.5</v>
      </c>
      <c r="H324" s="25"/>
      <c r="I324" s="37"/>
      <c r="J324" s="9">
        <f t="shared" si="125"/>
        <v>53447</v>
      </c>
      <c r="K324" s="38">
        <v>722</v>
      </c>
      <c r="L324" s="38">
        <v>791</v>
      </c>
      <c r="M324" s="38">
        <f t="shared" si="112"/>
        <v>52</v>
      </c>
      <c r="N324" s="78">
        <f t="shared" si="120"/>
        <v>774547</v>
      </c>
      <c r="O324" s="79">
        <f t="shared" si="121"/>
        <v>575529</v>
      </c>
      <c r="P324" s="79">
        <f t="shared" si="122"/>
        <v>1374181</v>
      </c>
      <c r="Q324" s="80">
        <f t="shared" si="123"/>
        <v>17613520</v>
      </c>
      <c r="R324" s="80">
        <f t="shared" si="123"/>
        <v>9886588</v>
      </c>
      <c r="S324" s="80">
        <f t="shared" si="123"/>
        <v>28260933.34</v>
      </c>
      <c r="T324" s="84">
        <f>N324/'2015'!M324-1</f>
        <v>-0.035854813151412</v>
      </c>
      <c r="U324" s="84">
        <f>O324/'2015'!N324-1</f>
        <v>0.423706298376982</v>
      </c>
      <c r="V324" s="84">
        <f>P324/'2015'!O324-1</f>
        <v>0.118609947967882</v>
      </c>
      <c r="W324" s="85">
        <f>Q324/'2015'!P324-1</f>
        <v>0.0721687739713619</v>
      </c>
      <c r="X324" s="85">
        <f>R324/'2015'!Q324-1</f>
        <v>0.0512468858423989</v>
      </c>
      <c r="Y324" s="85">
        <f>S324/'2015'!R324-1</f>
        <v>0.0703661178879578</v>
      </c>
      <c r="Z324" s="54">
        <f t="shared" si="124"/>
        <v>131.5974</v>
      </c>
      <c r="AA324" s="101">
        <f t="shared" si="104"/>
        <v>1629.7546</v>
      </c>
      <c r="AB324" s="109"/>
      <c r="AC324" s="109"/>
      <c r="AD324" s="9">
        <f t="shared" si="105"/>
        <v>18374345.34</v>
      </c>
      <c r="AE324" s="38">
        <f t="shared" si="107"/>
        <v>449731</v>
      </c>
      <c r="AF324" s="38">
        <f t="shared" si="107"/>
        <v>245665</v>
      </c>
      <c r="AG324" s="38">
        <f t="shared" si="106"/>
        <v>65429.3399999999</v>
      </c>
    </row>
    <row r="325" ht="15" customHeight="1" spans="1:33">
      <c r="A325" s="106">
        <v>42690</v>
      </c>
      <c r="B325" s="15" t="s">
        <v>35</v>
      </c>
      <c r="C325" s="33">
        <v>53012</v>
      </c>
      <c r="D325" s="34">
        <f>28583+10397</f>
        <v>38980</v>
      </c>
      <c r="E325" s="34">
        <v>93130</v>
      </c>
      <c r="F325" s="63">
        <v>4691.9</v>
      </c>
      <c r="G325" s="34">
        <v>3093</v>
      </c>
      <c r="H325" s="20"/>
      <c r="I325" s="20"/>
      <c r="J325" s="33">
        <f t="shared" si="125"/>
        <v>54150</v>
      </c>
      <c r="K325" s="34">
        <v>305</v>
      </c>
      <c r="L325" s="34">
        <v>795</v>
      </c>
      <c r="M325" s="34">
        <f t="shared" si="112"/>
        <v>38</v>
      </c>
      <c r="N325" s="81">
        <f t="shared" si="120"/>
        <v>827559</v>
      </c>
      <c r="O325" s="82">
        <f t="shared" si="121"/>
        <v>614509</v>
      </c>
      <c r="P325" s="82">
        <f t="shared" si="122"/>
        <v>1467311</v>
      </c>
      <c r="Q325" s="81">
        <f t="shared" si="123"/>
        <v>17666532</v>
      </c>
      <c r="R325" s="81">
        <f t="shared" si="123"/>
        <v>9925568</v>
      </c>
      <c r="S325" s="81">
        <f t="shared" si="123"/>
        <v>28354063.34</v>
      </c>
      <c r="T325" s="86">
        <f>N325/'2015'!M325-1</f>
        <v>-0.0329023482144736</v>
      </c>
      <c r="U325" s="86">
        <f>O325/'2015'!N325-1</f>
        <v>0.430071793439685</v>
      </c>
      <c r="V325" s="86">
        <f>P325/'2015'!O325-1</f>
        <v>0.122017858248907</v>
      </c>
      <c r="W325" s="86">
        <f>Q325/'2015'!P325-1</f>
        <v>0.071978851840006</v>
      </c>
      <c r="X325" s="86">
        <f>R325/'2015'!Q325-1</f>
        <v>0.0525424577161953</v>
      </c>
      <c r="Y325" s="86">
        <f>S325/'2015'!R325-1</f>
        <v>0.070678817312257</v>
      </c>
      <c r="Z325" s="53">
        <f t="shared" si="124"/>
        <v>131.8791</v>
      </c>
      <c r="AA325" s="53">
        <f t="shared" si="104"/>
        <v>1634.7741</v>
      </c>
      <c r="AB325" s="34">
        <v>4236</v>
      </c>
      <c r="AC325" s="34">
        <f t="shared" si="110"/>
        <v>3859.24008498584</v>
      </c>
      <c r="AD325" s="33">
        <f t="shared" si="105"/>
        <v>18428495.34</v>
      </c>
      <c r="AE325" s="34">
        <f t="shared" si="107"/>
        <v>450036</v>
      </c>
      <c r="AF325" s="34">
        <f t="shared" si="107"/>
        <v>246460</v>
      </c>
      <c r="AG325" s="34">
        <f t="shared" si="106"/>
        <v>65467.3399999999</v>
      </c>
    </row>
    <row r="326" ht="15" customHeight="1" spans="1:33">
      <c r="A326" s="106">
        <v>42691</v>
      </c>
      <c r="B326" s="21" t="s">
        <v>36</v>
      </c>
      <c r="C326" s="9">
        <v>52074</v>
      </c>
      <c r="D326" s="38">
        <f>29382+10274</f>
        <v>39656</v>
      </c>
      <c r="E326" s="38">
        <v>93049</v>
      </c>
      <c r="F326" s="59">
        <v>4722.8</v>
      </c>
      <c r="G326" s="38">
        <v>3087.1</v>
      </c>
      <c r="H326" s="25"/>
      <c r="I326" s="37"/>
      <c r="J326" s="9">
        <f t="shared" ref="J326" si="126">E326-D326</f>
        <v>53393</v>
      </c>
      <c r="K326" s="38">
        <v>462</v>
      </c>
      <c r="L326" s="38">
        <v>787</v>
      </c>
      <c r="M326" s="38">
        <f t="shared" ref="M326" si="127">J326-K326-L326-C326</f>
        <v>70</v>
      </c>
      <c r="N326" s="78">
        <f t="shared" si="120"/>
        <v>879633</v>
      </c>
      <c r="O326" s="79">
        <f t="shared" si="121"/>
        <v>654165</v>
      </c>
      <c r="P326" s="79">
        <f t="shared" si="122"/>
        <v>1560360</v>
      </c>
      <c r="Q326" s="80">
        <f t="shared" si="123"/>
        <v>17718606</v>
      </c>
      <c r="R326" s="80">
        <f t="shared" si="123"/>
        <v>9965224</v>
      </c>
      <c r="S326" s="80">
        <f t="shared" si="123"/>
        <v>28447112.34</v>
      </c>
      <c r="T326" s="84">
        <f>N326/'2015'!M326-1</f>
        <v>-0.0332980926047222</v>
      </c>
      <c r="U326" s="84">
        <f>O326/'2015'!N326-1</f>
        <v>0.439579326341178</v>
      </c>
      <c r="V326" s="84">
        <f>P326/'2015'!O326-1</f>
        <v>0.123480141669841</v>
      </c>
      <c r="W326" s="85">
        <f>Q326/'2015'!P326-1</f>
        <v>0.071613159307889</v>
      </c>
      <c r="X326" s="85">
        <f>R326/'2015'!Q326-1</f>
        <v>0.0539860348138621</v>
      </c>
      <c r="Y326" s="85">
        <f>S326/'2015'!R326-1</f>
        <v>0.0709120526690741</v>
      </c>
      <c r="Z326" s="54">
        <f t="shared" si="124"/>
        <v>132.1608</v>
      </c>
      <c r="AA326" s="101">
        <f t="shared" ref="AA326:AA370" si="128">Q326/10000-Z326</f>
        <v>1639.6998</v>
      </c>
      <c r="AB326" s="109"/>
      <c r="AC326" s="109"/>
      <c r="AD326" s="9">
        <f t="shared" ref="AD326:AD370" si="129">S326-R326</f>
        <v>18481888.34</v>
      </c>
      <c r="AE326" s="38">
        <f t="shared" si="107"/>
        <v>450498</v>
      </c>
      <c r="AF326" s="38">
        <f t="shared" si="107"/>
        <v>247247</v>
      </c>
      <c r="AG326" s="38">
        <f t="shared" ref="AG326:AG370" si="130">AD326-Q326-AE326-AF326</f>
        <v>65537.3399999999</v>
      </c>
    </row>
    <row r="327" ht="15" customHeight="1" spans="1:33">
      <c r="A327" s="106">
        <v>42692</v>
      </c>
      <c r="B327" s="21" t="s">
        <v>37</v>
      </c>
      <c r="C327" s="74">
        <v>53814</v>
      </c>
      <c r="D327" s="75">
        <f>28039+10257</f>
        <v>38296</v>
      </c>
      <c r="E327" s="75">
        <v>93386</v>
      </c>
      <c r="F327" s="111">
        <v>4674</v>
      </c>
      <c r="G327" s="75">
        <v>3098.8</v>
      </c>
      <c r="H327" s="25"/>
      <c r="I327" s="25"/>
      <c r="J327" s="74">
        <f t="shared" si="125"/>
        <v>55090</v>
      </c>
      <c r="K327" s="75">
        <v>319</v>
      </c>
      <c r="L327" s="75">
        <v>791</v>
      </c>
      <c r="M327" s="75">
        <f t="shared" si="112"/>
        <v>166</v>
      </c>
      <c r="N327" s="78">
        <f t="shared" si="120"/>
        <v>933447</v>
      </c>
      <c r="O327" s="79">
        <f t="shared" si="121"/>
        <v>692461</v>
      </c>
      <c r="P327" s="79">
        <f t="shared" si="122"/>
        <v>1653746</v>
      </c>
      <c r="Q327" s="80">
        <f t="shared" si="123"/>
        <v>17772420</v>
      </c>
      <c r="R327" s="80">
        <f t="shared" si="123"/>
        <v>10003520</v>
      </c>
      <c r="S327" s="80">
        <f t="shared" si="123"/>
        <v>28540498.34</v>
      </c>
      <c r="T327" s="84">
        <f>N327/'2015'!M327-1</f>
        <v>-0.0296788558811972</v>
      </c>
      <c r="U327" s="84">
        <f>O327/'2015'!N327-1</f>
        <v>0.441497909970523</v>
      </c>
      <c r="V327" s="84">
        <f>P327/'2015'!O327-1</f>
        <v>0.125659656872922</v>
      </c>
      <c r="W327" s="85">
        <f>Q327/'2015'!P327-1</f>
        <v>0.0714937488933074</v>
      </c>
      <c r="X327" s="85">
        <f>R327/'2015'!Q327-1</f>
        <v>0.0551391507789618</v>
      </c>
      <c r="Y327" s="85">
        <f>S327/'2015'!R327-1</f>
        <v>0.0711906079467293</v>
      </c>
      <c r="Z327" s="101">
        <f t="shared" si="124"/>
        <v>132.4425</v>
      </c>
      <c r="AA327" s="101">
        <f t="shared" si="128"/>
        <v>1644.7995</v>
      </c>
      <c r="AB327" s="110"/>
      <c r="AC327" s="109"/>
      <c r="AD327" s="74">
        <f t="shared" si="129"/>
        <v>18536978.34</v>
      </c>
      <c r="AE327" s="75">
        <f t="shared" ref="AE327:AF370" si="131">AE326+K327</f>
        <v>450817</v>
      </c>
      <c r="AF327" s="75">
        <f t="shared" si="131"/>
        <v>248038</v>
      </c>
      <c r="AG327" s="75">
        <f t="shared" si="130"/>
        <v>65703.3399999999</v>
      </c>
    </row>
    <row r="328" ht="15" customHeight="1" spans="1:33">
      <c r="A328" s="106">
        <v>42693</v>
      </c>
      <c r="B328" s="21" t="s">
        <v>38</v>
      </c>
      <c r="C328" s="9">
        <v>52455</v>
      </c>
      <c r="D328" s="38">
        <f>28701+10446</f>
        <v>39147</v>
      </c>
      <c r="E328" s="38">
        <v>92768</v>
      </c>
      <c r="F328" s="59">
        <v>4678.4</v>
      </c>
      <c r="G328" s="38">
        <v>3096.5</v>
      </c>
      <c r="H328" s="25"/>
      <c r="I328" s="37"/>
      <c r="J328" s="9">
        <f t="shared" si="125"/>
        <v>53621</v>
      </c>
      <c r="K328" s="38">
        <v>206</v>
      </c>
      <c r="L328" s="38">
        <v>792</v>
      </c>
      <c r="M328" s="38">
        <f t="shared" si="112"/>
        <v>168</v>
      </c>
      <c r="N328" s="78">
        <f t="shared" si="120"/>
        <v>985902</v>
      </c>
      <c r="O328" s="79">
        <f t="shared" si="121"/>
        <v>731608</v>
      </c>
      <c r="P328" s="79">
        <f t="shared" si="122"/>
        <v>1746514</v>
      </c>
      <c r="Q328" s="80">
        <f t="shared" si="123"/>
        <v>17824875</v>
      </c>
      <c r="R328" s="80">
        <f t="shared" si="123"/>
        <v>10042667</v>
      </c>
      <c r="S328" s="80">
        <f t="shared" si="123"/>
        <v>28633266.34</v>
      </c>
      <c r="T328" s="84">
        <f>N328/'2015'!M328-1</f>
        <v>-0.0300851071783788</v>
      </c>
      <c r="U328" s="84">
        <f>O328/'2015'!N328-1</f>
        <v>0.449394573348548</v>
      </c>
      <c r="V328" s="84">
        <f>P328/'2015'!O328-1</f>
        <v>0.126167829579578</v>
      </c>
      <c r="W328" s="85">
        <f>Q328/'2015'!P328-1</f>
        <v>0.0711376817882121</v>
      </c>
      <c r="X328" s="85">
        <f>R328/'2015'!Q328-1</f>
        <v>0.0565499695901728</v>
      </c>
      <c r="Y328" s="85">
        <f>S328/'2015'!R328-1</f>
        <v>0.0713866337332372</v>
      </c>
      <c r="Z328" s="54">
        <f t="shared" si="124"/>
        <v>132.7242</v>
      </c>
      <c r="AA328" s="101">
        <f t="shared" si="128"/>
        <v>1649.7633</v>
      </c>
      <c r="AB328" s="109"/>
      <c r="AC328" s="109"/>
      <c r="AD328" s="9">
        <f t="shared" si="129"/>
        <v>18590599.34</v>
      </c>
      <c r="AE328" s="38">
        <f t="shared" si="131"/>
        <v>451023</v>
      </c>
      <c r="AF328" s="38">
        <f t="shared" si="131"/>
        <v>248830</v>
      </c>
      <c r="AG328" s="38">
        <f t="shared" si="130"/>
        <v>65871.3399999999</v>
      </c>
    </row>
    <row r="329" ht="15" customHeight="1" spans="1:33">
      <c r="A329" s="106">
        <v>42694</v>
      </c>
      <c r="B329" s="21" t="s">
        <v>1</v>
      </c>
      <c r="C329" s="9">
        <v>48923</v>
      </c>
      <c r="D329" s="38">
        <f>28460+10482</f>
        <v>38942</v>
      </c>
      <c r="E329" s="38">
        <v>89264</v>
      </c>
      <c r="F329" s="59">
        <v>4448.3</v>
      </c>
      <c r="G329" s="38">
        <v>3067.6</v>
      </c>
      <c r="H329" s="25"/>
      <c r="I329" s="37"/>
      <c r="J329" s="9">
        <f t="shared" si="125"/>
        <v>50322</v>
      </c>
      <c r="K329" s="38">
        <v>251</v>
      </c>
      <c r="L329" s="38">
        <v>790</v>
      </c>
      <c r="M329" s="38">
        <f t="shared" si="112"/>
        <v>358</v>
      </c>
      <c r="N329" s="78">
        <f t="shared" si="120"/>
        <v>1034825</v>
      </c>
      <c r="O329" s="79">
        <f t="shared" si="121"/>
        <v>770550</v>
      </c>
      <c r="P329" s="79">
        <f t="shared" si="122"/>
        <v>1835778</v>
      </c>
      <c r="Q329" s="80">
        <f t="shared" si="123"/>
        <v>17873798</v>
      </c>
      <c r="R329" s="80">
        <f t="shared" si="123"/>
        <v>10081609</v>
      </c>
      <c r="S329" s="80">
        <f t="shared" si="123"/>
        <v>28722530.34</v>
      </c>
      <c r="T329" s="84">
        <f>N329/'2015'!M329-1</f>
        <v>-0.0339184638666414</v>
      </c>
      <c r="U329" s="84">
        <f>O329/'2015'!N329-1</f>
        <v>0.454400289917442</v>
      </c>
      <c r="V329" s="84">
        <f>P329/'2015'!O329-1</f>
        <v>0.124237786673967</v>
      </c>
      <c r="W329" s="85">
        <f>Q329/'2015'!P329-1</f>
        <v>0.0705602662044011</v>
      </c>
      <c r="X329" s="85">
        <f>R329/'2015'!Q329-1</f>
        <v>0.057860342538852</v>
      </c>
      <c r="Y329" s="85">
        <f>S329/'2015'!R329-1</f>
        <v>0.0714367641282343</v>
      </c>
      <c r="Z329" s="54">
        <f t="shared" si="124"/>
        <v>133.0059</v>
      </c>
      <c r="AA329" s="101">
        <f t="shared" si="128"/>
        <v>1654.3739</v>
      </c>
      <c r="AB329" s="109"/>
      <c r="AC329" s="109"/>
      <c r="AD329" s="9">
        <f t="shared" si="129"/>
        <v>18640921.34</v>
      </c>
      <c r="AE329" s="38">
        <f t="shared" si="131"/>
        <v>451274</v>
      </c>
      <c r="AF329" s="38">
        <f t="shared" si="131"/>
        <v>249620</v>
      </c>
      <c r="AG329" s="38">
        <f t="shared" si="130"/>
        <v>66229.3399999999</v>
      </c>
    </row>
    <row r="330" ht="15" customHeight="1" spans="1:33">
      <c r="A330" s="106">
        <v>42695</v>
      </c>
      <c r="B330" s="21" t="s">
        <v>39</v>
      </c>
      <c r="C330" s="9">
        <v>53894</v>
      </c>
      <c r="D330" s="38">
        <f>27159+10508</f>
        <v>37667</v>
      </c>
      <c r="E330" s="38">
        <v>92760</v>
      </c>
      <c r="F330" s="59">
        <v>4744</v>
      </c>
      <c r="G330" s="38">
        <v>2994.1</v>
      </c>
      <c r="H330" s="25"/>
      <c r="I330" s="37"/>
      <c r="J330" s="9">
        <f t="shared" si="125"/>
        <v>55093</v>
      </c>
      <c r="K330" s="38">
        <v>334</v>
      </c>
      <c r="L330" s="38">
        <v>791</v>
      </c>
      <c r="M330" s="38">
        <f t="shared" si="112"/>
        <v>74</v>
      </c>
      <c r="N330" s="78">
        <f t="shared" si="120"/>
        <v>1088719</v>
      </c>
      <c r="O330" s="79">
        <f t="shared" si="121"/>
        <v>808217</v>
      </c>
      <c r="P330" s="79">
        <f t="shared" si="122"/>
        <v>1928538</v>
      </c>
      <c r="Q330" s="80">
        <f t="shared" si="123"/>
        <v>17927692</v>
      </c>
      <c r="R330" s="80">
        <f t="shared" si="123"/>
        <v>10119276</v>
      </c>
      <c r="S330" s="80">
        <f t="shared" si="123"/>
        <v>28815290.34</v>
      </c>
      <c r="T330" s="84">
        <f>N330/'2015'!M330-1</f>
        <v>-0.0314404925004004</v>
      </c>
      <c r="U330" s="84">
        <f>O330/'2015'!N330-1</f>
        <v>0.456063199236132</v>
      </c>
      <c r="V330" s="84">
        <f>P330/'2015'!O330-1</f>
        <v>0.125586346851193</v>
      </c>
      <c r="W330" s="85">
        <f>Q330/'2015'!P330-1</f>
        <v>0.0703965604381727</v>
      </c>
      <c r="X330" s="85">
        <f>R330/'2015'!Q330-1</f>
        <v>0.0590053658366589</v>
      </c>
      <c r="Y330" s="85">
        <f>S330/'2015'!R330-1</f>
        <v>0.0716806885643617</v>
      </c>
      <c r="Z330" s="54">
        <f t="shared" si="124"/>
        <v>133.2876</v>
      </c>
      <c r="AA330" s="101">
        <f t="shared" si="128"/>
        <v>1659.4816</v>
      </c>
      <c r="AB330" s="109"/>
      <c r="AC330" s="109"/>
      <c r="AD330" s="9">
        <f t="shared" si="129"/>
        <v>18696014.34</v>
      </c>
      <c r="AE330" s="38">
        <f t="shared" si="131"/>
        <v>451608</v>
      </c>
      <c r="AF330" s="38">
        <f t="shared" si="131"/>
        <v>250411</v>
      </c>
      <c r="AG330" s="38">
        <f t="shared" si="130"/>
        <v>66303.3399999999</v>
      </c>
    </row>
    <row r="331" ht="15" customHeight="1" spans="1:33">
      <c r="A331" s="106">
        <v>42696</v>
      </c>
      <c r="B331" s="21" t="s">
        <v>34</v>
      </c>
      <c r="C331" s="9">
        <v>54397</v>
      </c>
      <c r="D331" s="38">
        <f>28120+10736</f>
        <v>38856</v>
      </c>
      <c r="E331" s="38">
        <v>94501</v>
      </c>
      <c r="F331" s="59">
        <v>4809.3</v>
      </c>
      <c r="G331" s="38">
        <v>3088.1</v>
      </c>
      <c r="H331" s="25"/>
      <c r="I331" s="37"/>
      <c r="J331" s="9">
        <f t="shared" si="125"/>
        <v>55645</v>
      </c>
      <c r="K331" s="38">
        <v>408</v>
      </c>
      <c r="L331" s="38">
        <v>791</v>
      </c>
      <c r="M331" s="38">
        <f t="shared" si="112"/>
        <v>49</v>
      </c>
      <c r="N331" s="78">
        <f t="shared" si="120"/>
        <v>1143116</v>
      </c>
      <c r="O331" s="79">
        <f t="shared" si="121"/>
        <v>847073</v>
      </c>
      <c r="P331" s="79">
        <f t="shared" si="122"/>
        <v>2023039</v>
      </c>
      <c r="Q331" s="80">
        <f t="shared" si="123"/>
        <v>17982089</v>
      </c>
      <c r="R331" s="80">
        <f t="shared" si="123"/>
        <v>10158132</v>
      </c>
      <c r="S331" s="80">
        <f t="shared" si="123"/>
        <v>28909791.34</v>
      </c>
      <c r="T331" s="84">
        <f>N331/'2015'!M331-1</f>
        <v>-0.0251416300741005</v>
      </c>
      <c r="U331" s="84">
        <f>O331/'2015'!N331-1</f>
        <v>0.460976993751283</v>
      </c>
      <c r="V331" s="84">
        <f>P331/'2015'!O331-1</f>
        <v>0.130768667524089</v>
      </c>
      <c r="W331" s="85">
        <f>Q331/'2015'!P331-1</f>
        <v>0.0705420111540138</v>
      </c>
      <c r="X331" s="85">
        <f>R331/'2015'!Q331-1</f>
        <v>0.0603276639212074</v>
      </c>
      <c r="Y331" s="85">
        <f>S331/'2015'!R331-1</f>
        <v>0.0721759231238011</v>
      </c>
      <c r="Z331" s="54">
        <f t="shared" si="124"/>
        <v>133.5693</v>
      </c>
      <c r="AA331" s="101">
        <f t="shared" si="128"/>
        <v>1664.6396</v>
      </c>
      <c r="AB331" s="109"/>
      <c r="AC331" s="109"/>
      <c r="AD331" s="9">
        <f t="shared" si="129"/>
        <v>18751659.34</v>
      </c>
      <c r="AE331" s="38">
        <f t="shared" si="131"/>
        <v>452016</v>
      </c>
      <c r="AF331" s="38">
        <f t="shared" si="131"/>
        <v>251202</v>
      </c>
      <c r="AG331" s="38">
        <f t="shared" si="130"/>
        <v>66352.3399999999</v>
      </c>
    </row>
    <row r="332" ht="15" customHeight="1" spans="1:33">
      <c r="A332" s="106">
        <v>42697</v>
      </c>
      <c r="B332" s="15" t="s">
        <v>35</v>
      </c>
      <c r="C332" s="33">
        <v>58346</v>
      </c>
      <c r="D332" s="34">
        <f>27755+10218</f>
        <v>37973</v>
      </c>
      <c r="E332" s="34">
        <v>97508</v>
      </c>
      <c r="F332" s="63">
        <v>5011.2</v>
      </c>
      <c r="G332" s="34">
        <v>3088.5</v>
      </c>
      <c r="H332" s="20"/>
      <c r="I332" s="20"/>
      <c r="J332" s="33">
        <f t="shared" si="125"/>
        <v>59535</v>
      </c>
      <c r="K332" s="34">
        <v>373</v>
      </c>
      <c r="L332" s="34">
        <v>792</v>
      </c>
      <c r="M332" s="34">
        <f t="shared" si="112"/>
        <v>24</v>
      </c>
      <c r="N332" s="81">
        <f t="shared" si="120"/>
        <v>1201462</v>
      </c>
      <c r="O332" s="82">
        <f t="shared" si="121"/>
        <v>885046</v>
      </c>
      <c r="P332" s="82">
        <f t="shared" si="122"/>
        <v>2120547</v>
      </c>
      <c r="Q332" s="81">
        <f t="shared" si="123"/>
        <v>18040435</v>
      </c>
      <c r="R332" s="81">
        <f t="shared" si="123"/>
        <v>10196105</v>
      </c>
      <c r="S332" s="81">
        <f t="shared" si="123"/>
        <v>29007299.34</v>
      </c>
      <c r="T332" s="86">
        <f>N332/'2015'!M332-1</f>
        <v>-0.0194756334232686</v>
      </c>
      <c r="U332" s="86">
        <f>O332/'2015'!N332-1</f>
        <v>0.462980258231522</v>
      </c>
      <c r="V332" s="86">
        <f>P332/'2015'!O332-1</f>
        <v>0.134512601076653</v>
      </c>
      <c r="W332" s="86">
        <f>Q332/'2015'!P332-1</f>
        <v>0.0706546165139983</v>
      </c>
      <c r="X332" s="86">
        <f>R332/'2015'!Q332-1</f>
        <v>0.0615033672922074</v>
      </c>
      <c r="Y332" s="86">
        <f>S332/'2015'!R332-1</f>
        <v>0.0726081058340116</v>
      </c>
      <c r="Z332" s="53">
        <f t="shared" si="124"/>
        <v>133.851</v>
      </c>
      <c r="AA332" s="53">
        <f t="shared" si="128"/>
        <v>1670.1925</v>
      </c>
      <c r="AB332" s="34">
        <v>4236</v>
      </c>
      <c r="AC332" s="34">
        <f t="shared" ref="AC332:AC370" si="132">AA332*10000/AB332</f>
        <v>3942.8529272899</v>
      </c>
      <c r="AD332" s="33">
        <f t="shared" si="129"/>
        <v>18811194.34</v>
      </c>
      <c r="AE332" s="34">
        <f t="shared" si="131"/>
        <v>452389</v>
      </c>
      <c r="AF332" s="34">
        <f t="shared" si="131"/>
        <v>251994</v>
      </c>
      <c r="AG332" s="34">
        <f t="shared" si="130"/>
        <v>66376.3399999999</v>
      </c>
    </row>
    <row r="333" ht="15" customHeight="1" spans="1:33">
      <c r="A333" s="106">
        <v>42698</v>
      </c>
      <c r="B333" s="21" t="s">
        <v>36</v>
      </c>
      <c r="C333" s="9">
        <v>60272</v>
      </c>
      <c r="D333" s="38">
        <f>27947+10212</f>
        <v>38159</v>
      </c>
      <c r="E333" s="38">
        <v>99831</v>
      </c>
      <c r="F333" s="59">
        <v>5047.5</v>
      </c>
      <c r="G333" s="38">
        <v>3157.7</v>
      </c>
      <c r="H333" s="25"/>
      <c r="I333" s="37"/>
      <c r="J333" s="9">
        <f t="shared" si="125"/>
        <v>61672</v>
      </c>
      <c r="K333" s="38">
        <v>475</v>
      </c>
      <c r="L333" s="38">
        <v>791</v>
      </c>
      <c r="M333" s="38">
        <f t="shared" si="112"/>
        <v>134</v>
      </c>
      <c r="N333" s="78">
        <f t="shared" si="120"/>
        <v>1261734</v>
      </c>
      <c r="O333" s="79">
        <f t="shared" si="121"/>
        <v>923205</v>
      </c>
      <c r="P333" s="79">
        <f t="shared" si="122"/>
        <v>2220378</v>
      </c>
      <c r="Q333" s="80">
        <f t="shared" si="123"/>
        <v>18100707</v>
      </c>
      <c r="R333" s="80">
        <f t="shared" si="123"/>
        <v>10234264</v>
      </c>
      <c r="S333" s="80">
        <f t="shared" si="123"/>
        <v>29107130.34</v>
      </c>
      <c r="T333" s="84">
        <f>N333/'2015'!M333-1</f>
        <v>-0.0155040090386734</v>
      </c>
      <c r="U333" s="84">
        <f>O333/'2015'!N333-1</f>
        <v>0.466957874448027</v>
      </c>
      <c r="V333" s="84">
        <f>P333/'2015'!O333-1</f>
        <v>0.137542343184208</v>
      </c>
      <c r="W333" s="85">
        <f>Q333/'2015'!P333-1</f>
        <v>0.0706556634378097</v>
      </c>
      <c r="X333" s="85">
        <f>R333/'2015'!Q333-1</f>
        <v>0.0627794215322652</v>
      </c>
      <c r="Y333" s="85">
        <f>S333/'2015'!R333-1</f>
        <v>0.0730150274884449</v>
      </c>
      <c r="Z333" s="54">
        <f t="shared" si="124"/>
        <v>134.1327</v>
      </c>
      <c r="AA333" s="101">
        <f t="shared" si="128"/>
        <v>1675.938</v>
      </c>
      <c r="AB333" s="109"/>
      <c r="AC333" s="109"/>
      <c r="AD333" s="9">
        <f t="shared" si="129"/>
        <v>18872866.34</v>
      </c>
      <c r="AE333" s="38">
        <f t="shared" si="131"/>
        <v>452864</v>
      </c>
      <c r="AF333" s="38">
        <f t="shared" si="131"/>
        <v>252785</v>
      </c>
      <c r="AG333" s="38">
        <f t="shared" si="130"/>
        <v>66510.3399999999</v>
      </c>
    </row>
    <row r="334" ht="15" customHeight="1" spans="1:33">
      <c r="A334" s="106">
        <v>42699</v>
      </c>
      <c r="B334" s="21" t="s">
        <v>37</v>
      </c>
      <c r="C334" s="74">
        <v>60690</v>
      </c>
      <c r="D334" s="75">
        <f>29443+10210</f>
        <v>39653</v>
      </c>
      <c r="E334" s="75">
        <v>102012</v>
      </c>
      <c r="F334" s="111">
        <v>5179.6</v>
      </c>
      <c r="G334" s="75">
        <v>3231.8</v>
      </c>
      <c r="H334" s="25"/>
      <c r="I334" s="25"/>
      <c r="J334" s="74">
        <f t="shared" si="125"/>
        <v>62359</v>
      </c>
      <c r="K334" s="75">
        <v>746</v>
      </c>
      <c r="L334" s="75">
        <v>791</v>
      </c>
      <c r="M334" s="75">
        <f t="shared" si="112"/>
        <v>132</v>
      </c>
      <c r="N334" s="78">
        <f t="shared" si="120"/>
        <v>1322424</v>
      </c>
      <c r="O334" s="79">
        <f t="shared" si="121"/>
        <v>962858</v>
      </c>
      <c r="P334" s="79">
        <f t="shared" si="122"/>
        <v>2322390</v>
      </c>
      <c r="Q334" s="80">
        <f t="shared" si="123"/>
        <v>18161397</v>
      </c>
      <c r="R334" s="80">
        <f t="shared" si="123"/>
        <v>10273917</v>
      </c>
      <c r="S334" s="80">
        <f t="shared" si="123"/>
        <v>29209142.34</v>
      </c>
      <c r="T334" s="84">
        <f>N334/'2015'!M334-1</f>
        <v>-0.0135286745837561</v>
      </c>
      <c r="U334" s="84">
        <f>O334/'2015'!N334-1</f>
        <v>0.474821708656014</v>
      </c>
      <c r="V334" s="84">
        <f>P334/'2015'!O334-1</f>
        <v>0.140259269679058</v>
      </c>
      <c r="W334" s="85">
        <f>Q334/'2015'!P334-1</f>
        <v>0.0705123357330575</v>
      </c>
      <c r="X334" s="85">
        <f>R334/'2015'!Q334-1</f>
        <v>0.0642965004417684</v>
      </c>
      <c r="Y334" s="85">
        <f>S334/'2015'!R334-1</f>
        <v>0.0734195056157181</v>
      </c>
      <c r="Z334" s="101">
        <f t="shared" si="124"/>
        <v>134.4144</v>
      </c>
      <c r="AA334" s="101">
        <f t="shared" si="128"/>
        <v>1681.7253</v>
      </c>
      <c r="AB334" s="110"/>
      <c r="AC334" s="109"/>
      <c r="AD334" s="74">
        <f t="shared" si="129"/>
        <v>18935225.34</v>
      </c>
      <c r="AE334" s="75">
        <f t="shared" si="131"/>
        <v>453610</v>
      </c>
      <c r="AF334" s="75">
        <f t="shared" si="131"/>
        <v>253576</v>
      </c>
      <c r="AG334" s="75">
        <f t="shared" si="130"/>
        <v>66642.3399999999</v>
      </c>
    </row>
    <row r="335" ht="15" customHeight="1" spans="1:33">
      <c r="A335" s="106">
        <v>42700</v>
      </c>
      <c r="B335" s="21" t="s">
        <v>38</v>
      </c>
      <c r="C335" s="9">
        <v>58559</v>
      </c>
      <c r="D335" s="38">
        <f>27887+10193</f>
        <v>38080</v>
      </c>
      <c r="E335" s="38">
        <v>97782</v>
      </c>
      <c r="F335" s="59">
        <v>4971.7</v>
      </c>
      <c r="G335" s="38">
        <v>3248.6</v>
      </c>
      <c r="H335" s="25"/>
      <c r="I335" s="37"/>
      <c r="J335" s="9">
        <f t="shared" si="125"/>
        <v>59702</v>
      </c>
      <c r="K335" s="38">
        <v>236</v>
      </c>
      <c r="L335" s="38">
        <v>791</v>
      </c>
      <c r="M335" s="38">
        <f t="shared" si="112"/>
        <v>116</v>
      </c>
      <c r="N335" s="78">
        <f t="shared" si="120"/>
        <v>1380983</v>
      </c>
      <c r="O335" s="79">
        <f t="shared" si="121"/>
        <v>1000938</v>
      </c>
      <c r="P335" s="79">
        <f t="shared" si="122"/>
        <v>2420172</v>
      </c>
      <c r="Q335" s="80">
        <f t="shared" si="123"/>
        <v>18219956</v>
      </c>
      <c r="R335" s="80">
        <f t="shared" si="123"/>
        <v>10311997</v>
      </c>
      <c r="S335" s="80">
        <f t="shared" si="123"/>
        <v>29306924.34</v>
      </c>
      <c r="T335" s="84">
        <f>N335/'2015'!M335-1</f>
        <v>-0.0152506114648773</v>
      </c>
      <c r="U335" s="84">
        <f>O335/'2015'!N335-1</f>
        <v>0.481580489884367</v>
      </c>
      <c r="V335" s="84">
        <f>P335/'2015'!O335-1</f>
        <v>0.13979646188994</v>
      </c>
      <c r="W335" s="85">
        <f>Q335/'2015'!P335-1</f>
        <v>0.0700654344831475</v>
      </c>
      <c r="X335" s="85">
        <f>R335/'2015'!Q335-1</f>
        <v>0.065732524415379</v>
      </c>
      <c r="Y335" s="85">
        <f>S335/'2015'!R335-1</f>
        <v>0.0735955884987272</v>
      </c>
      <c r="Z335" s="54">
        <f t="shared" si="124"/>
        <v>134.6961</v>
      </c>
      <c r="AA335" s="101">
        <f t="shared" si="128"/>
        <v>1687.2995</v>
      </c>
      <c r="AB335" s="109"/>
      <c r="AC335" s="109"/>
      <c r="AD335" s="9">
        <f t="shared" si="129"/>
        <v>18994927.34</v>
      </c>
      <c r="AE335" s="38">
        <f t="shared" si="131"/>
        <v>453846</v>
      </c>
      <c r="AF335" s="38">
        <f t="shared" si="131"/>
        <v>254367</v>
      </c>
      <c r="AG335" s="38">
        <f t="shared" si="130"/>
        <v>66758.3399999999</v>
      </c>
    </row>
    <row r="336" ht="15" customHeight="1" spans="1:33">
      <c r="A336" s="106">
        <v>42701</v>
      </c>
      <c r="B336" s="21" t="s">
        <v>1</v>
      </c>
      <c r="C336" s="9">
        <v>52395</v>
      </c>
      <c r="D336" s="38">
        <f>26471+10383</f>
        <v>36854</v>
      </c>
      <c r="E336" s="38">
        <v>89968</v>
      </c>
      <c r="F336" s="59">
        <v>4449</v>
      </c>
      <c r="G336" s="38">
        <v>3030.6</v>
      </c>
      <c r="H336" s="25"/>
      <c r="I336" s="37"/>
      <c r="J336" s="9">
        <f t="shared" si="125"/>
        <v>53114</v>
      </c>
      <c r="K336" s="38">
        <v>219</v>
      </c>
      <c r="L336" s="38">
        <v>217</v>
      </c>
      <c r="M336" s="38">
        <f t="shared" si="112"/>
        <v>283</v>
      </c>
      <c r="N336" s="78">
        <f t="shared" si="120"/>
        <v>1433378</v>
      </c>
      <c r="O336" s="79">
        <f t="shared" si="121"/>
        <v>1037792</v>
      </c>
      <c r="P336" s="79">
        <f t="shared" si="122"/>
        <v>2510140</v>
      </c>
      <c r="Q336" s="80">
        <f t="shared" si="123"/>
        <v>18272351</v>
      </c>
      <c r="R336" s="80">
        <f t="shared" si="123"/>
        <v>10348851</v>
      </c>
      <c r="S336" s="80">
        <f t="shared" si="123"/>
        <v>29396892.34</v>
      </c>
      <c r="T336" s="84">
        <f>N336/'2015'!M336-1</f>
        <v>-0.0241561483054886</v>
      </c>
      <c r="U336" s="84">
        <f>O336/'2015'!N336-1</f>
        <v>0.488539676529143</v>
      </c>
      <c r="V336" s="84">
        <f>P336/'2015'!O336-1</f>
        <v>0.134092394911417</v>
      </c>
      <c r="W336" s="85">
        <f>Q336/'2015'!P336-1</f>
        <v>0.068968309196888</v>
      </c>
      <c r="X336" s="85">
        <f>R336/'2015'!Q336-1</f>
        <v>0.0671590855070821</v>
      </c>
      <c r="Y336" s="85">
        <f>S336/'2015'!R336-1</f>
        <v>0.0733521842178058</v>
      </c>
      <c r="Z336" s="54">
        <f t="shared" si="124"/>
        <v>134.9778</v>
      </c>
      <c r="AA336" s="101">
        <f t="shared" si="128"/>
        <v>1692.2573</v>
      </c>
      <c r="AB336" s="109"/>
      <c r="AC336" s="109"/>
      <c r="AD336" s="9">
        <f t="shared" si="129"/>
        <v>19048041.34</v>
      </c>
      <c r="AE336" s="38">
        <f t="shared" si="131"/>
        <v>454065</v>
      </c>
      <c r="AF336" s="38">
        <f t="shared" si="131"/>
        <v>254584</v>
      </c>
      <c r="AG336" s="38">
        <f t="shared" si="130"/>
        <v>67041.3399999999</v>
      </c>
    </row>
    <row r="337" ht="15" customHeight="1" spans="1:33">
      <c r="A337" s="106">
        <v>42702</v>
      </c>
      <c r="B337" s="21" t="s">
        <v>39</v>
      </c>
      <c r="C337" s="9">
        <v>58250</v>
      </c>
      <c r="D337" s="38">
        <f>25887+10430</f>
        <v>36317</v>
      </c>
      <c r="E337" s="38">
        <v>94999</v>
      </c>
      <c r="F337" s="59">
        <v>4823.9</v>
      </c>
      <c r="G337" s="38">
        <v>2957.6</v>
      </c>
      <c r="H337" s="25"/>
      <c r="I337" s="37"/>
      <c r="J337" s="9">
        <f t="shared" si="125"/>
        <v>58682</v>
      </c>
      <c r="K337" s="38">
        <v>174</v>
      </c>
      <c r="L337" s="38">
        <v>0</v>
      </c>
      <c r="M337" s="38">
        <f t="shared" si="112"/>
        <v>258</v>
      </c>
      <c r="N337" s="78">
        <f t="shared" si="120"/>
        <v>1491628</v>
      </c>
      <c r="O337" s="79">
        <f t="shared" si="121"/>
        <v>1074109</v>
      </c>
      <c r="P337" s="79">
        <f t="shared" si="122"/>
        <v>2605139</v>
      </c>
      <c r="Q337" s="80">
        <f t="shared" si="123"/>
        <v>18330601</v>
      </c>
      <c r="R337" s="80">
        <f t="shared" si="123"/>
        <v>10385168</v>
      </c>
      <c r="S337" s="80">
        <f t="shared" si="123"/>
        <v>29491891.34</v>
      </c>
      <c r="T337" s="84">
        <f>N337/'2015'!M337-1</f>
        <v>-0.0276066900655552</v>
      </c>
      <c r="U337" s="84">
        <f>O337/'2015'!N337-1</f>
        <v>0.496632222538053</v>
      </c>
      <c r="V337" s="84">
        <f>P337/'2015'!O337-1</f>
        <v>0.132056835346447</v>
      </c>
      <c r="W337" s="85">
        <f>Q337/'2015'!P337-1</f>
        <v>0.0683064273280258</v>
      </c>
      <c r="X337" s="85">
        <f>R337/'2015'!Q337-1</f>
        <v>0.0686454415265916</v>
      </c>
      <c r="Y337" s="85">
        <f>S337/'2015'!R337-1</f>
        <v>0.0733760074538252</v>
      </c>
      <c r="Z337" s="54">
        <f t="shared" si="124"/>
        <v>135.2595</v>
      </c>
      <c r="AA337" s="101">
        <f t="shared" si="128"/>
        <v>1697.8006</v>
      </c>
      <c r="AB337" s="109"/>
      <c r="AC337" s="109"/>
      <c r="AD337" s="9">
        <f t="shared" si="129"/>
        <v>19106723.34</v>
      </c>
      <c r="AE337" s="38">
        <f t="shared" si="131"/>
        <v>454239</v>
      </c>
      <c r="AF337" s="38">
        <f t="shared" si="131"/>
        <v>254584</v>
      </c>
      <c r="AG337" s="38">
        <f t="shared" si="130"/>
        <v>67299.3399999999</v>
      </c>
    </row>
    <row r="338" ht="15" customHeight="1" spans="1:33">
      <c r="A338" s="106">
        <v>42703</v>
      </c>
      <c r="B338" s="21" t="s">
        <v>34</v>
      </c>
      <c r="C338" s="9">
        <v>59193</v>
      </c>
      <c r="D338" s="38">
        <f>28311+10542</f>
        <v>38853</v>
      </c>
      <c r="E338" s="38">
        <v>99264</v>
      </c>
      <c r="F338" s="59">
        <v>5022.5</v>
      </c>
      <c r="G338" s="38">
        <v>3185</v>
      </c>
      <c r="H338" s="25"/>
      <c r="I338" s="37"/>
      <c r="J338" s="9">
        <f t="shared" si="125"/>
        <v>60411</v>
      </c>
      <c r="K338" s="38">
        <v>318</v>
      </c>
      <c r="L338" s="38">
        <v>0</v>
      </c>
      <c r="M338" s="38">
        <f t="shared" si="112"/>
        <v>900</v>
      </c>
      <c r="N338" s="78">
        <f t="shared" si="120"/>
        <v>1550821</v>
      </c>
      <c r="O338" s="79">
        <f t="shared" si="121"/>
        <v>1112962</v>
      </c>
      <c r="P338" s="79">
        <f t="shared" si="122"/>
        <v>2704403</v>
      </c>
      <c r="Q338" s="80">
        <f t="shared" si="123"/>
        <v>18389794</v>
      </c>
      <c r="R338" s="80">
        <f t="shared" si="123"/>
        <v>10424021</v>
      </c>
      <c r="S338" s="80">
        <f t="shared" si="123"/>
        <v>29591155.34</v>
      </c>
      <c r="T338" s="84">
        <f>N338/'2015'!M338-1</f>
        <v>-0.0270017780755877</v>
      </c>
      <c r="U338" s="84">
        <f>O338/'2015'!N338-1</f>
        <v>0.507098364207561</v>
      </c>
      <c r="V338" s="84">
        <f>P338/'2015'!O338-1</f>
        <v>0.134541904672408</v>
      </c>
      <c r="W338" s="85">
        <f>Q338/'2015'!P338-1</f>
        <v>0.0680288571969021</v>
      </c>
      <c r="X338" s="85">
        <f>R338/'2015'!Q338-1</f>
        <v>0.0703529765230295</v>
      </c>
      <c r="Y338" s="85">
        <f>S338/'2015'!R338-1</f>
        <v>0.0737665253890873</v>
      </c>
      <c r="Z338" s="54">
        <f t="shared" si="124"/>
        <v>135.5412</v>
      </c>
      <c r="AA338" s="101">
        <f t="shared" si="128"/>
        <v>1703.4382</v>
      </c>
      <c r="AB338" s="109"/>
      <c r="AC338" s="109"/>
      <c r="AD338" s="9">
        <f t="shared" si="129"/>
        <v>19167134.34</v>
      </c>
      <c r="AE338" s="38">
        <f t="shared" si="131"/>
        <v>454557</v>
      </c>
      <c r="AF338" s="38">
        <f t="shared" si="131"/>
        <v>254584</v>
      </c>
      <c r="AG338" s="38">
        <f t="shared" si="130"/>
        <v>68199.3399999999</v>
      </c>
    </row>
    <row r="339" s="1" customFormat="1" ht="15" customHeight="1" spans="1:33">
      <c r="A339" s="26">
        <v>42704</v>
      </c>
      <c r="B339" s="26" t="s">
        <v>35</v>
      </c>
      <c r="C339" s="43">
        <v>56728</v>
      </c>
      <c r="D339" s="44">
        <f>28698+10470</f>
        <v>39168</v>
      </c>
      <c r="E339" s="44">
        <v>96477</v>
      </c>
      <c r="F339" s="61">
        <v>4887</v>
      </c>
      <c r="G339" s="44">
        <v>3194.9</v>
      </c>
      <c r="H339" s="31"/>
      <c r="I339" s="31"/>
      <c r="J339" s="43">
        <f t="shared" si="125"/>
        <v>57309</v>
      </c>
      <c r="K339" s="44">
        <v>445</v>
      </c>
      <c r="L339" s="44">
        <v>0</v>
      </c>
      <c r="M339" s="44">
        <f t="shared" si="112"/>
        <v>136</v>
      </c>
      <c r="N339" s="91">
        <f t="shared" si="120"/>
        <v>1607549</v>
      </c>
      <c r="O339" s="92">
        <v>1152131</v>
      </c>
      <c r="P339" s="92">
        <f t="shared" si="122"/>
        <v>2800880</v>
      </c>
      <c r="Q339" s="91">
        <f t="shared" si="123"/>
        <v>18446522</v>
      </c>
      <c r="R339" s="91">
        <f t="shared" si="123"/>
        <v>10463190</v>
      </c>
      <c r="S339" s="91">
        <f t="shared" si="123"/>
        <v>29687632.34</v>
      </c>
      <c r="T339" s="93">
        <f>N339/'2015'!M339-1</f>
        <v>-0.0298232008521604</v>
      </c>
      <c r="U339" s="93">
        <f>O339/'2015'!N339-1</f>
        <v>0.51746732942946</v>
      </c>
      <c r="V339" s="93">
        <f>P339/'2015'!O339-1</f>
        <v>0.134311747818047</v>
      </c>
      <c r="W339" s="93">
        <f>Q339/'2015'!P339-1</f>
        <v>0.0674113143786292</v>
      </c>
      <c r="X339" s="93">
        <f>R339/'2015'!Q339-1</f>
        <v>0.0720889082976413</v>
      </c>
      <c r="Y339" s="93">
        <f>S339/'2015'!R339-1</f>
        <v>0.0739340215499931</v>
      </c>
      <c r="Z339" s="56">
        <v>135.8233</v>
      </c>
      <c r="AA339" s="56">
        <f t="shared" si="128"/>
        <v>1708.8289</v>
      </c>
      <c r="AB339" s="44">
        <v>4237.2</v>
      </c>
      <c r="AC339" s="44">
        <f t="shared" si="132"/>
        <v>4032.92008873785</v>
      </c>
      <c r="AD339" s="43">
        <f t="shared" si="129"/>
        <v>19224442.34</v>
      </c>
      <c r="AE339" s="44">
        <f t="shared" si="131"/>
        <v>455002</v>
      </c>
      <c r="AF339" s="44">
        <f t="shared" si="131"/>
        <v>254584</v>
      </c>
      <c r="AG339" s="44">
        <f t="shared" si="130"/>
        <v>68334.3399999999</v>
      </c>
    </row>
    <row r="340" ht="15" customHeight="1" spans="1:33">
      <c r="A340" s="106">
        <v>42705</v>
      </c>
      <c r="B340" s="21" t="s">
        <v>36</v>
      </c>
      <c r="C340" s="9">
        <v>55594</v>
      </c>
      <c r="D340" s="38">
        <f>26319+10457</f>
        <v>36776</v>
      </c>
      <c r="E340" s="38">
        <v>93334</v>
      </c>
      <c r="F340" s="59">
        <v>4626.8</v>
      </c>
      <c r="G340" s="38">
        <v>3099.4</v>
      </c>
      <c r="H340" s="25"/>
      <c r="I340" s="37"/>
      <c r="J340" s="9">
        <f t="shared" si="125"/>
        <v>56558</v>
      </c>
      <c r="K340" s="38">
        <v>524</v>
      </c>
      <c r="L340" s="38">
        <v>0</v>
      </c>
      <c r="M340" s="38">
        <f t="shared" si="112"/>
        <v>440</v>
      </c>
      <c r="N340" s="78">
        <f>C340</f>
        <v>55594</v>
      </c>
      <c r="O340" s="79">
        <f>D340</f>
        <v>36776</v>
      </c>
      <c r="P340" s="79">
        <f>E340</f>
        <v>93334</v>
      </c>
      <c r="Q340" s="80">
        <f>Q$339+N340</f>
        <v>18502116</v>
      </c>
      <c r="R340" s="80">
        <f>R$339+O340</f>
        <v>10499966</v>
      </c>
      <c r="S340" s="80">
        <f>S$339+P340</f>
        <v>29780966.34</v>
      </c>
      <c r="T340" s="84">
        <f>N340/'2015'!M340-1</f>
        <v>-0.0842393094814522</v>
      </c>
      <c r="U340" s="84">
        <f>O340/'2015'!N340-1</f>
        <v>0.660465956294022</v>
      </c>
      <c r="V340" s="84">
        <f>P340/'2015'!O340-1</f>
        <v>0.113837341130139</v>
      </c>
      <c r="W340" s="85">
        <f>Q340/'2015'!P340-1</f>
        <v>0.0668804489011754</v>
      </c>
      <c r="X340" s="85">
        <f>R340/'2015'!Q340-1</f>
        <v>0.0734211176558206</v>
      </c>
      <c r="Y340" s="85">
        <f>S340/'2015'!R340-1</f>
        <v>0.0740546124983226</v>
      </c>
      <c r="Z340" s="54">
        <f>Z339+0.3313</f>
        <v>136.1546</v>
      </c>
      <c r="AA340" s="101">
        <f t="shared" si="128"/>
        <v>1714.057</v>
      </c>
      <c r="AB340" s="109"/>
      <c r="AC340" s="109"/>
      <c r="AD340" s="9">
        <f t="shared" si="129"/>
        <v>19281000.34</v>
      </c>
      <c r="AE340" s="38">
        <f t="shared" si="131"/>
        <v>455526</v>
      </c>
      <c r="AF340" s="38">
        <f t="shared" si="131"/>
        <v>254584</v>
      </c>
      <c r="AG340" s="38">
        <f t="shared" si="130"/>
        <v>68774.3399999999</v>
      </c>
    </row>
    <row r="341" ht="15" customHeight="1" spans="1:33">
      <c r="A341" s="106">
        <v>42706</v>
      </c>
      <c r="B341" s="21" t="s">
        <v>37</v>
      </c>
      <c r="C341" s="74">
        <v>59890</v>
      </c>
      <c r="D341" s="75">
        <f>24778+10612</f>
        <v>35390</v>
      </c>
      <c r="E341" s="75">
        <v>95817</v>
      </c>
      <c r="F341" s="111">
        <v>4805.2</v>
      </c>
      <c r="G341" s="75">
        <v>3081.6</v>
      </c>
      <c r="H341" s="25"/>
      <c r="I341" s="25"/>
      <c r="J341" s="74">
        <f t="shared" si="125"/>
        <v>60427</v>
      </c>
      <c r="K341" s="75">
        <v>364</v>
      </c>
      <c r="L341" s="75">
        <v>0</v>
      </c>
      <c r="M341" s="75">
        <f t="shared" si="112"/>
        <v>173</v>
      </c>
      <c r="N341" s="78">
        <f t="shared" ref="N341:N369" si="133">N340+C341</f>
        <v>115484</v>
      </c>
      <c r="O341" s="79">
        <f t="shared" ref="O341:O370" si="134">O340+D341</f>
        <v>72166</v>
      </c>
      <c r="P341" s="79">
        <f t="shared" ref="P341:P370" si="135">P340+E341</f>
        <v>189151</v>
      </c>
      <c r="Q341" s="80">
        <f t="shared" ref="Q341:S369" si="136">Q$339+N341</f>
        <v>18562006</v>
      </c>
      <c r="R341" s="80">
        <f t="shared" si="136"/>
        <v>10535356</v>
      </c>
      <c r="S341" s="80">
        <f t="shared" si="136"/>
        <v>29876783.34</v>
      </c>
      <c r="T341" s="84">
        <f>N341/'2015'!M341-1</f>
        <v>-0.067556983795044</v>
      </c>
      <c r="U341" s="84">
        <f>O341/'2015'!N341-1</f>
        <v>0.632788813973483</v>
      </c>
      <c r="V341" s="84">
        <f>P341/'2015'!O341-1</f>
        <v>0.113045780863834</v>
      </c>
      <c r="W341" s="85">
        <f>Q341/'2015'!P341-1</f>
        <v>0.0664509252041938</v>
      </c>
      <c r="X341" s="85">
        <f>R341/'2015'!Q341-1</f>
        <v>0.0746166777524735</v>
      </c>
      <c r="Y341" s="85">
        <f>S341/'2015'!R341-1</f>
        <v>0.0741729915350513</v>
      </c>
      <c r="Z341" s="101">
        <f t="shared" ref="Z341:Z346" si="137">Z340+0.3313</f>
        <v>136.4859</v>
      </c>
      <c r="AA341" s="101">
        <f t="shared" si="128"/>
        <v>1719.7147</v>
      </c>
      <c r="AB341" s="110"/>
      <c r="AC341" s="109"/>
      <c r="AD341" s="74">
        <f t="shared" si="129"/>
        <v>19341427.34</v>
      </c>
      <c r="AE341" s="75">
        <f t="shared" si="131"/>
        <v>455890</v>
      </c>
      <c r="AF341" s="75">
        <f t="shared" si="131"/>
        <v>254584</v>
      </c>
      <c r="AG341" s="75">
        <f t="shared" si="130"/>
        <v>68947.3399999999</v>
      </c>
    </row>
    <row r="342" ht="15" customHeight="1" spans="1:33">
      <c r="A342" s="106">
        <v>42707</v>
      </c>
      <c r="B342" s="21" t="s">
        <v>38</v>
      </c>
      <c r="C342" s="9">
        <v>62151</v>
      </c>
      <c r="D342" s="38">
        <f>22746+10408</f>
        <v>33154</v>
      </c>
      <c r="E342" s="38">
        <v>95716</v>
      </c>
      <c r="F342" s="59">
        <v>4785.9</v>
      </c>
      <c r="G342" s="38">
        <v>3198.7</v>
      </c>
      <c r="H342" s="25"/>
      <c r="I342" s="37"/>
      <c r="J342" s="9">
        <f t="shared" si="125"/>
        <v>62562</v>
      </c>
      <c r="K342" s="38">
        <v>232</v>
      </c>
      <c r="L342" s="38">
        <v>0</v>
      </c>
      <c r="M342" s="38">
        <f t="shared" si="112"/>
        <v>179</v>
      </c>
      <c r="N342" s="78">
        <f t="shared" si="133"/>
        <v>177635</v>
      </c>
      <c r="O342" s="79">
        <f t="shared" si="134"/>
        <v>105320</v>
      </c>
      <c r="P342" s="79">
        <f t="shared" si="135"/>
        <v>284867</v>
      </c>
      <c r="Q342" s="80">
        <f t="shared" si="136"/>
        <v>18624157</v>
      </c>
      <c r="R342" s="80">
        <f t="shared" si="136"/>
        <v>10568510</v>
      </c>
      <c r="S342" s="80">
        <f t="shared" si="136"/>
        <v>29972499.34</v>
      </c>
      <c r="T342" s="84">
        <f>N342/'2015'!M342-1</f>
        <v>-0.0562423959069391</v>
      </c>
      <c r="U342" s="84">
        <f>O342/'2015'!N342-1</f>
        <v>0.610028280975311</v>
      </c>
      <c r="V342" s="84">
        <f>P342/'2015'!O342-1</f>
        <v>0.110726832482678</v>
      </c>
      <c r="W342" s="85">
        <f>Q342/'2015'!P342-1</f>
        <v>0.0660790573614274</v>
      </c>
      <c r="X342" s="85">
        <f>R342/'2015'!Q342-1</f>
        <v>0.0756705008140421</v>
      </c>
      <c r="Y342" s="85">
        <f>S342/'2015'!R342-1</f>
        <v>0.0742722337260879</v>
      </c>
      <c r="Z342" s="54">
        <f t="shared" si="137"/>
        <v>136.8172</v>
      </c>
      <c r="AA342" s="101">
        <f t="shared" si="128"/>
        <v>1725.5985</v>
      </c>
      <c r="AB342" s="109"/>
      <c r="AC342" s="109"/>
      <c r="AD342" s="9">
        <f t="shared" si="129"/>
        <v>19403989.34</v>
      </c>
      <c r="AE342" s="38">
        <f t="shared" si="131"/>
        <v>456122</v>
      </c>
      <c r="AF342" s="38">
        <f t="shared" si="131"/>
        <v>254584</v>
      </c>
      <c r="AG342" s="38">
        <f t="shared" si="130"/>
        <v>69126.3399999999</v>
      </c>
    </row>
    <row r="343" ht="15" customHeight="1" spans="1:33">
      <c r="A343" s="106">
        <v>42708</v>
      </c>
      <c r="B343" s="21" t="s">
        <v>1</v>
      </c>
      <c r="C343" s="9">
        <v>57596</v>
      </c>
      <c r="D343" s="38">
        <f>22359+10184</f>
        <v>32543</v>
      </c>
      <c r="E343" s="38">
        <v>90962</v>
      </c>
      <c r="F343" s="59">
        <v>4523.3</v>
      </c>
      <c r="G343" s="38">
        <v>3122.8</v>
      </c>
      <c r="H343" s="25"/>
      <c r="I343" s="37"/>
      <c r="J343" s="9">
        <f t="shared" si="125"/>
        <v>58419</v>
      </c>
      <c r="K343" s="38">
        <v>349</v>
      </c>
      <c r="L343" s="38">
        <v>0</v>
      </c>
      <c r="M343" s="38">
        <f t="shared" si="112"/>
        <v>474</v>
      </c>
      <c r="N343" s="78">
        <f t="shared" si="133"/>
        <v>235231</v>
      </c>
      <c r="O343" s="79">
        <f t="shared" si="134"/>
        <v>137863</v>
      </c>
      <c r="P343" s="79">
        <f t="shared" si="135"/>
        <v>375829</v>
      </c>
      <c r="Q343" s="80">
        <f t="shared" si="136"/>
        <v>18681753</v>
      </c>
      <c r="R343" s="80">
        <f t="shared" si="136"/>
        <v>10601053</v>
      </c>
      <c r="S343" s="80">
        <f t="shared" si="136"/>
        <v>30063461.34</v>
      </c>
      <c r="T343" s="84">
        <f>N343/'2015'!M343-1</f>
        <v>-0.0810355739254768</v>
      </c>
      <c r="U343" s="84">
        <f>O343/'2015'!N343-1</f>
        <v>0.589327092676066</v>
      </c>
      <c r="V343" s="84">
        <f>P343/'2015'!O343-1</f>
        <v>0.0848157716232014</v>
      </c>
      <c r="W343" s="85">
        <f>Q343/'2015'!P343-1</f>
        <v>0.0652446149182746</v>
      </c>
      <c r="X343" s="85">
        <f>R343/'2015'!Q343-1</f>
        <v>0.076645590883627</v>
      </c>
      <c r="Y343" s="85">
        <f>S343/'2015'!R343-1</f>
        <v>0.0740687086889764</v>
      </c>
      <c r="Z343" s="54">
        <f t="shared" si="137"/>
        <v>137.1485</v>
      </c>
      <c r="AA343" s="101">
        <f t="shared" si="128"/>
        <v>1731.0268</v>
      </c>
      <c r="AB343" s="109"/>
      <c r="AC343" s="109"/>
      <c r="AD343" s="9">
        <f t="shared" si="129"/>
        <v>19462408.34</v>
      </c>
      <c r="AE343" s="38">
        <f t="shared" si="131"/>
        <v>456471</v>
      </c>
      <c r="AF343" s="38">
        <f t="shared" si="131"/>
        <v>254584</v>
      </c>
      <c r="AG343" s="38">
        <f t="shared" si="130"/>
        <v>69600.3399999999</v>
      </c>
    </row>
    <row r="344" ht="15" customHeight="1" spans="1:33">
      <c r="A344" s="106">
        <v>42709</v>
      </c>
      <c r="B344" s="21" t="s">
        <v>39</v>
      </c>
      <c r="C344" s="9">
        <v>60021</v>
      </c>
      <c r="D344" s="38">
        <f>22865+10645</f>
        <v>33510</v>
      </c>
      <c r="E344" s="38">
        <v>94597</v>
      </c>
      <c r="F344" s="59">
        <v>4777.5</v>
      </c>
      <c r="G344" s="38">
        <v>3006.5</v>
      </c>
      <c r="H344" s="25"/>
      <c r="I344" s="37"/>
      <c r="J344" s="9">
        <f t="shared" si="125"/>
        <v>61087</v>
      </c>
      <c r="K344" s="38">
        <v>868</v>
      </c>
      <c r="L344" s="38">
        <v>0</v>
      </c>
      <c r="M344" s="38">
        <f t="shared" ref="M344" si="138">J344-K344-L344-C344</f>
        <v>198</v>
      </c>
      <c r="N344" s="78">
        <f t="shared" si="133"/>
        <v>295252</v>
      </c>
      <c r="O344" s="79">
        <f t="shared" si="134"/>
        <v>171373</v>
      </c>
      <c r="P344" s="79">
        <f t="shared" si="135"/>
        <v>470426</v>
      </c>
      <c r="Q344" s="80">
        <f t="shared" si="136"/>
        <v>18741774</v>
      </c>
      <c r="R344" s="80">
        <f t="shared" si="136"/>
        <v>10634563</v>
      </c>
      <c r="S344" s="80">
        <f t="shared" si="136"/>
        <v>30158058.34</v>
      </c>
      <c r="T344" s="84">
        <f>N344/'2015'!M344-1</f>
        <v>-0.0956311854272788</v>
      </c>
      <c r="U344" s="84">
        <f>O344/'2015'!N344-1</f>
        <v>0.60031563121574</v>
      </c>
      <c r="V344" s="84">
        <f>P344/'2015'!O344-1</f>
        <v>0.072672754842608</v>
      </c>
      <c r="W344" s="85">
        <f>Q344/'2015'!P344-1</f>
        <v>0.064388318893041</v>
      </c>
      <c r="X344" s="85">
        <f>R344/'2015'!Q344-1</f>
        <v>0.0778219419713713</v>
      </c>
      <c r="Y344" s="85">
        <f>S344/'2015'!R344-1</f>
        <v>0.073914324678235</v>
      </c>
      <c r="Z344" s="54">
        <f t="shared" si="137"/>
        <v>137.4798</v>
      </c>
      <c r="AA344" s="101">
        <f t="shared" si="128"/>
        <v>1736.6976</v>
      </c>
      <c r="AB344" s="109"/>
      <c r="AC344" s="109"/>
      <c r="AD344" s="9">
        <f t="shared" si="129"/>
        <v>19523495.34</v>
      </c>
      <c r="AE344" s="38">
        <f t="shared" si="131"/>
        <v>457339</v>
      </c>
      <c r="AF344" s="38">
        <f t="shared" si="131"/>
        <v>254584</v>
      </c>
      <c r="AG344" s="38">
        <f t="shared" si="130"/>
        <v>69798.3399999999</v>
      </c>
    </row>
    <row r="345" ht="15" customHeight="1" spans="1:33">
      <c r="A345" s="106">
        <v>42710</v>
      </c>
      <c r="B345" s="21" t="s">
        <v>34</v>
      </c>
      <c r="C345" s="9">
        <v>62060</v>
      </c>
      <c r="D345" s="38">
        <f>23508+10512</f>
        <v>34020</v>
      </c>
      <c r="E345" s="38">
        <v>96630</v>
      </c>
      <c r="F345" s="59">
        <v>3857.1</v>
      </c>
      <c r="G345" s="38">
        <v>3091</v>
      </c>
      <c r="H345" s="25"/>
      <c r="I345" s="37"/>
      <c r="J345" s="9">
        <f t="shared" si="125"/>
        <v>62610</v>
      </c>
      <c r="K345" s="38">
        <v>326</v>
      </c>
      <c r="L345" s="38">
        <v>0</v>
      </c>
      <c r="M345" s="38">
        <f t="shared" si="112"/>
        <v>224</v>
      </c>
      <c r="N345" s="78">
        <f t="shared" si="133"/>
        <v>357312</v>
      </c>
      <c r="O345" s="79">
        <f t="shared" si="134"/>
        <v>205393</v>
      </c>
      <c r="P345" s="79">
        <f t="shared" si="135"/>
        <v>567056</v>
      </c>
      <c r="Q345" s="80">
        <f t="shared" si="136"/>
        <v>18803834</v>
      </c>
      <c r="R345" s="80">
        <f t="shared" si="136"/>
        <v>10668583</v>
      </c>
      <c r="S345" s="80">
        <f t="shared" si="136"/>
        <v>30254688.34</v>
      </c>
      <c r="T345" s="84">
        <f>N345/'2015'!M345-1</f>
        <v>-0.079484239949506</v>
      </c>
      <c r="U345" s="84">
        <f>O345/'2015'!N345-1</f>
        <v>0.605034071017754</v>
      </c>
      <c r="V345" s="84">
        <f>P345/'2015'!O345-1</f>
        <v>0.0843905256193036</v>
      </c>
      <c r="W345" s="85">
        <f>Q345/'2015'!P345-1</f>
        <v>0.0641843402680802</v>
      </c>
      <c r="X345" s="85">
        <f>R345/'2015'!Q345-1</f>
        <v>0.0789864311824198</v>
      </c>
      <c r="Y345" s="85">
        <f>S345/'2015'!R345-1</f>
        <v>0.0741281504355846</v>
      </c>
      <c r="Z345" s="54">
        <f t="shared" si="137"/>
        <v>137.8111</v>
      </c>
      <c r="AA345" s="101">
        <f t="shared" si="128"/>
        <v>1742.5723</v>
      </c>
      <c r="AB345" s="109"/>
      <c r="AC345" s="109"/>
      <c r="AD345" s="9">
        <f t="shared" si="129"/>
        <v>19586105.34</v>
      </c>
      <c r="AE345" s="38">
        <f t="shared" si="131"/>
        <v>457665</v>
      </c>
      <c r="AF345" s="38">
        <f t="shared" si="131"/>
        <v>254584</v>
      </c>
      <c r="AG345" s="38">
        <f t="shared" si="130"/>
        <v>70022.3399999999</v>
      </c>
    </row>
    <row r="346" ht="15" customHeight="1" spans="1:33">
      <c r="A346" s="106">
        <v>42711</v>
      </c>
      <c r="B346" s="15" t="s">
        <v>35</v>
      </c>
      <c r="C346" s="33">
        <v>63398</v>
      </c>
      <c r="D346" s="34">
        <f>23244+10841</f>
        <v>34085</v>
      </c>
      <c r="E346" s="34">
        <v>97881</v>
      </c>
      <c r="F346" s="63">
        <v>4922.1</v>
      </c>
      <c r="G346" s="34">
        <v>3202.3</v>
      </c>
      <c r="H346" s="20"/>
      <c r="I346" s="20"/>
      <c r="J346" s="33">
        <f t="shared" si="125"/>
        <v>63796</v>
      </c>
      <c r="K346" s="34">
        <v>169</v>
      </c>
      <c r="L346" s="34">
        <v>0</v>
      </c>
      <c r="M346" s="34">
        <f t="shared" ref="M346:M370" si="139">J346-K346-L346-C346</f>
        <v>229</v>
      </c>
      <c r="N346" s="81">
        <f t="shared" si="133"/>
        <v>420710</v>
      </c>
      <c r="O346" s="82">
        <f t="shared" si="134"/>
        <v>239478</v>
      </c>
      <c r="P346" s="82">
        <f t="shared" si="135"/>
        <v>664937</v>
      </c>
      <c r="Q346" s="81">
        <f t="shared" si="136"/>
        <v>18867232</v>
      </c>
      <c r="R346" s="81">
        <f t="shared" si="136"/>
        <v>10702668</v>
      </c>
      <c r="S346" s="81">
        <f t="shared" si="136"/>
        <v>30352569.34</v>
      </c>
      <c r="T346" s="86">
        <f>N346/'2015'!M346-1</f>
        <v>-0.0753382506791388</v>
      </c>
      <c r="U346" s="86">
        <f>O346/'2015'!N346-1</f>
        <v>0.607925551914916</v>
      </c>
      <c r="V346" s="86">
        <f>P346/'2015'!O346-1</f>
        <v>0.0860032762841776</v>
      </c>
      <c r="W346" s="86">
        <f>Q346/'2015'!P346-1</f>
        <v>0.0637494194188291</v>
      </c>
      <c r="X346" s="86">
        <f>R346/'2015'!Q346-1</f>
        <v>0.0801430883281282</v>
      </c>
      <c r="Y346" s="86">
        <f>S346/'2015'!R346-1</f>
        <v>0.0741955492572877</v>
      </c>
      <c r="Z346" s="53">
        <f t="shared" si="137"/>
        <v>138.1424</v>
      </c>
      <c r="AA346" s="53">
        <f t="shared" si="128"/>
        <v>1748.5808</v>
      </c>
      <c r="AB346" s="34">
        <v>4237.2</v>
      </c>
      <c r="AC346" s="34">
        <f t="shared" si="132"/>
        <v>4126.7365241197</v>
      </c>
      <c r="AD346" s="33">
        <f t="shared" si="129"/>
        <v>19649901.34</v>
      </c>
      <c r="AE346" s="34">
        <f t="shared" si="131"/>
        <v>457834</v>
      </c>
      <c r="AF346" s="34">
        <f t="shared" si="131"/>
        <v>254584</v>
      </c>
      <c r="AG346" s="34">
        <f t="shared" si="130"/>
        <v>70251.3399999999</v>
      </c>
    </row>
    <row r="347" ht="15" customHeight="1" spans="1:33">
      <c r="A347" s="106">
        <v>42712</v>
      </c>
      <c r="B347" s="21" t="s">
        <v>36</v>
      </c>
      <c r="C347" s="9">
        <v>63319</v>
      </c>
      <c r="D347" s="38">
        <f>23208+10862</f>
        <v>34070</v>
      </c>
      <c r="E347" s="38">
        <v>98046</v>
      </c>
      <c r="F347" s="59">
        <v>4931.8</v>
      </c>
      <c r="G347" s="38">
        <v>3211.2</v>
      </c>
      <c r="H347" s="25"/>
      <c r="I347" s="37"/>
      <c r="J347" s="9">
        <f t="shared" si="125"/>
        <v>63976</v>
      </c>
      <c r="K347" s="38">
        <v>424</v>
      </c>
      <c r="L347" s="38">
        <v>0</v>
      </c>
      <c r="M347" s="38">
        <f t="shared" si="139"/>
        <v>233</v>
      </c>
      <c r="N347" s="78">
        <f t="shared" si="133"/>
        <v>484029</v>
      </c>
      <c r="O347" s="79">
        <f t="shared" si="134"/>
        <v>273548</v>
      </c>
      <c r="P347" s="79">
        <f t="shared" si="135"/>
        <v>762983</v>
      </c>
      <c r="Q347" s="80">
        <f t="shared" si="136"/>
        <v>18930551</v>
      </c>
      <c r="R347" s="80">
        <f t="shared" si="136"/>
        <v>10736738</v>
      </c>
      <c r="S347" s="80">
        <f t="shared" si="136"/>
        <v>30450615.34</v>
      </c>
      <c r="T347" s="84">
        <f>N347/'2015'!M347-1</f>
        <v>-0.0682253065624578</v>
      </c>
      <c r="U347" s="84">
        <f>O347/'2015'!N347-1</f>
        <v>0.589046507034726</v>
      </c>
      <c r="V347" s="84">
        <f>P347/'2015'!O347-1</f>
        <v>0.087907136573173</v>
      </c>
      <c r="W347" s="85">
        <f>Q347/'2015'!P347-1</f>
        <v>0.0634531616727581</v>
      </c>
      <c r="X347" s="85">
        <f>R347/'2015'!Q347-1</f>
        <v>0.0810492585665705</v>
      </c>
      <c r="Y347" s="85">
        <f>S347/'2015'!R347-1</f>
        <v>0.0742797519645781</v>
      </c>
      <c r="Z347" s="54">
        <v>138.47</v>
      </c>
      <c r="AA347" s="101">
        <f t="shared" si="128"/>
        <v>1754.5851</v>
      </c>
      <c r="AB347" s="109">
        <v>4237.2</v>
      </c>
      <c r="AC347" s="109">
        <f t="shared" si="132"/>
        <v>4140.90696686491</v>
      </c>
      <c r="AD347" s="9">
        <f t="shared" si="129"/>
        <v>19713877.34</v>
      </c>
      <c r="AE347" s="38">
        <f t="shared" si="131"/>
        <v>458258</v>
      </c>
      <c r="AF347" s="38">
        <f t="shared" si="131"/>
        <v>254584</v>
      </c>
      <c r="AG347" s="38">
        <f t="shared" si="130"/>
        <v>70484.3399999999</v>
      </c>
    </row>
    <row r="348" ht="15" customHeight="1" spans="1:33">
      <c r="A348" s="106">
        <v>42713</v>
      </c>
      <c r="B348" s="21" t="s">
        <v>37</v>
      </c>
      <c r="C348" s="74">
        <v>63300</v>
      </c>
      <c r="D348" s="75">
        <v>34171</v>
      </c>
      <c r="E348" s="75">
        <v>98335</v>
      </c>
      <c r="F348" s="111">
        <v>4936</v>
      </c>
      <c r="G348" s="75">
        <v>3175</v>
      </c>
      <c r="H348" s="25"/>
      <c r="I348" s="25"/>
      <c r="J348" s="74">
        <f t="shared" si="125"/>
        <v>64164</v>
      </c>
      <c r="K348" s="75">
        <v>654</v>
      </c>
      <c r="L348" s="75">
        <v>0</v>
      </c>
      <c r="M348" s="75">
        <f t="shared" si="139"/>
        <v>210</v>
      </c>
      <c r="N348" s="78">
        <f t="shared" si="133"/>
        <v>547329</v>
      </c>
      <c r="O348" s="79">
        <f t="shared" si="134"/>
        <v>307719</v>
      </c>
      <c r="P348" s="79">
        <f t="shared" si="135"/>
        <v>861318</v>
      </c>
      <c r="Q348" s="80">
        <f t="shared" si="136"/>
        <v>18993851</v>
      </c>
      <c r="R348" s="80">
        <f t="shared" si="136"/>
        <v>10770909</v>
      </c>
      <c r="S348" s="80">
        <f t="shared" si="136"/>
        <v>30548950.34</v>
      </c>
      <c r="T348" s="84">
        <f>N348/'2015'!M348-1</f>
        <v>-0.0637178677915826</v>
      </c>
      <c r="U348" s="84">
        <f>O348/'2015'!N348-1</f>
        <v>0.581484869665324</v>
      </c>
      <c r="V348" s="84">
        <f>P348/'2015'!O348-1</f>
        <v>0.0899862061983523</v>
      </c>
      <c r="W348" s="85">
        <f>Q348/'2015'!P348-1</f>
        <v>0.063120787174523</v>
      </c>
      <c r="X348" s="85">
        <f>R348/'2015'!Q348-1</f>
        <v>0.0820461302534958</v>
      </c>
      <c r="Y348" s="85">
        <f>S348/'2015'!R348-1</f>
        <v>0.0743801278355818</v>
      </c>
      <c r="Z348" s="101">
        <f>Z347+0.4978</f>
        <v>138.9678</v>
      </c>
      <c r="AA348" s="101">
        <f t="shared" si="128"/>
        <v>1760.4173</v>
      </c>
      <c r="AB348" s="110"/>
      <c r="AC348" s="109"/>
      <c r="AD348" s="74">
        <f t="shared" si="129"/>
        <v>19778041.34</v>
      </c>
      <c r="AE348" s="75">
        <f t="shared" si="131"/>
        <v>458912</v>
      </c>
      <c r="AF348" s="75">
        <f t="shared" si="131"/>
        <v>254584</v>
      </c>
      <c r="AG348" s="75">
        <f t="shared" si="130"/>
        <v>70694.3399999999</v>
      </c>
    </row>
    <row r="349" ht="15" customHeight="1" spans="1:33">
      <c r="A349" s="106">
        <v>42714</v>
      </c>
      <c r="B349" s="21" t="s">
        <v>38</v>
      </c>
      <c r="C349" s="9">
        <v>63235</v>
      </c>
      <c r="D349" s="38">
        <v>33857</v>
      </c>
      <c r="E349" s="38">
        <v>97820</v>
      </c>
      <c r="F349" s="59">
        <v>4951</v>
      </c>
      <c r="G349" s="38">
        <v>3208</v>
      </c>
      <c r="H349" s="25"/>
      <c r="I349" s="37"/>
      <c r="J349" s="9">
        <f t="shared" si="125"/>
        <v>63963</v>
      </c>
      <c r="K349" s="38">
        <v>583</v>
      </c>
      <c r="L349" s="38">
        <v>0</v>
      </c>
      <c r="M349" s="38">
        <f t="shared" si="139"/>
        <v>145</v>
      </c>
      <c r="N349" s="78">
        <f t="shared" si="133"/>
        <v>610564</v>
      </c>
      <c r="O349" s="79">
        <f t="shared" si="134"/>
        <v>341576</v>
      </c>
      <c r="P349" s="79">
        <f t="shared" si="135"/>
        <v>959138</v>
      </c>
      <c r="Q349" s="80">
        <f t="shared" si="136"/>
        <v>19057086</v>
      </c>
      <c r="R349" s="80">
        <f t="shared" si="136"/>
        <v>10804766</v>
      </c>
      <c r="S349" s="80">
        <f t="shared" si="136"/>
        <v>30646770.34</v>
      </c>
      <c r="T349" s="84">
        <f>N349/'2015'!M349-1</f>
        <v>-0.0582744398824084</v>
      </c>
      <c r="U349" s="84">
        <f>O349/'2015'!N349-1</f>
        <v>0.585201273447869</v>
      </c>
      <c r="V349" s="84">
        <f>P349/'2015'!O349-1</f>
        <v>0.094352969902207</v>
      </c>
      <c r="W349" s="85">
        <f>Q349/'2015'!P349-1</f>
        <v>0.0628665107706146</v>
      </c>
      <c r="X349" s="85">
        <f>R349/'2015'!Q349-1</f>
        <v>0.0831729424055301</v>
      </c>
      <c r="Y349" s="85">
        <f>S349/'2015'!R349-1</f>
        <v>0.0745615069317223</v>
      </c>
      <c r="Z349" s="54">
        <f t="shared" ref="Z349:Z369" si="140">Z348+0.4978</f>
        <v>139.4656</v>
      </c>
      <c r="AA349" s="101">
        <f t="shared" si="128"/>
        <v>1766.243</v>
      </c>
      <c r="AB349" s="109"/>
      <c r="AC349" s="109"/>
      <c r="AD349" s="9">
        <f t="shared" si="129"/>
        <v>19842004.34</v>
      </c>
      <c r="AE349" s="38">
        <f t="shared" si="131"/>
        <v>459495</v>
      </c>
      <c r="AF349" s="38">
        <f t="shared" si="131"/>
        <v>254584</v>
      </c>
      <c r="AG349" s="38">
        <f t="shared" si="130"/>
        <v>70839.3399999999</v>
      </c>
    </row>
    <row r="350" ht="15" customHeight="1" spans="1:33">
      <c r="A350" s="106">
        <v>42715</v>
      </c>
      <c r="B350" s="21" t="s">
        <v>1</v>
      </c>
      <c r="C350" s="9">
        <v>57782</v>
      </c>
      <c r="D350" s="38">
        <v>34171</v>
      </c>
      <c r="E350" s="38">
        <v>92510</v>
      </c>
      <c r="F350" s="59">
        <v>4593</v>
      </c>
      <c r="G350" s="38">
        <v>3150</v>
      </c>
      <c r="H350" s="25"/>
      <c r="I350" s="37"/>
      <c r="J350" s="9">
        <f t="shared" si="125"/>
        <v>58339</v>
      </c>
      <c r="K350" s="38">
        <v>353</v>
      </c>
      <c r="L350" s="38">
        <v>0</v>
      </c>
      <c r="M350" s="38">
        <f t="shared" si="139"/>
        <v>204</v>
      </c>
      <c r="N350" s="78">
        <f t="shared" si="133"/>
        <v>668346</v>
      </c>
      <c r="O350" s="79">
        <f t="shared" si="134"/>
        <v>375747</v>
      </c>
      <c r="P350" s="79">
        <f t="shared" si="135"/>
        <v>1051648</v>
      </c>
      <c r="Q350" s="80">
        <f t="shared" si="136"/>
        <v>19114868</v>
      </c>
      <c r="R350" s="80">
        <f t="shared" si="136"/>
        <v>10838937</v>
      </c>
      <c r="S350" s="80">
        <f t="shared" si="136"/>
        <v>30739280.34</v>
      </c>
      <c r="T350" s="84">
        <f>N350/'2015'!M350-1</f>
        <v>-0.060506894952136</v>
      </c>
      <c r="U350" s="84">
        <f>O350/'2015'!N350-1</f>
        <v>0.591076351102435</v>
      </c>
      <c r="V350" s="84">
        <f>P350/'2015'!O350-1</f>
        <v>0.0927302879040404</v>
      </c>
      <c r="W350" s="85">
        <f>Q350/'2015'!P350-1</f>
        <v>0.0623537898753623</v>
      </c>
      <c r="X350" s="85">
        <f>R350/'2015'!Q350-1</f>
        <v>0.0843504284004422</v>
      </c>
      <c r="Y350" s="85">
        <f>S350/'2015'!R350-1</f>
        <v>0.0745663876294307</v>
      </c>
      <c r="Z350" s="54">
        <f t="shared" si="140"/>
        <v>139.9634</v>
      </c>
      <c r="AA350" s="101">
        <f t="shared" si="128"/>
        <v>1771.5234</v>
      </c>
      <c r="AB350" s="109"/>
      <c r="AC350" s="109"/>
      <c r="AD350" s="9">
        <f t="shared" si="129"/>
        <v>19900343.34</v>
      </c>
      <c r="AE350" s="38">
        <f t="shared" si="131"/>
        <v>459848</v>
      </c>
      <c r="AF350" s="38">
        <f t="shared" si="131"/>
        <v>254584</v>
      </c>
      <c r="AG350" s="38">
        <f t="shared" si="130"/>
        <v>71043.3399999999</v>
      </c>
    </row>
    <row r="351" ht="15" customHeight="1" spans="1:33">
      <c r="A351" s="106">
        <v>42716</v>
      </c>
      <c r="B351" s="21" t="s">
        <v>39</v>
      </c>
      <c r="C351" s="9">
        <v>61901</v>
      </c>
      <c r="D351" s="38">
        <v>33886</v>
      </c>
      <c r="E351" s="38">
        <v>96410</v>
      </c>
      <c r="F351" s="59">
        <v>4924</v>
      </c>
      <c r="G351" s="38">
        <v>3042</v>
      </c>
      <c r="H351" s="25"/>
      <c r="I351" s="37"/>
      <c r="J351" s="9">
        <f t="shared" si="125"/>
        <v>62524</v>
      </c>
      <c r="K351" s="38">
        <v>482</v>
      </c>
      <c r="L351" s="38">
        <v>0</v>
      </c>
      <c r="M351" s="38">
        <f t="shared" si="139"/>
        <v>141</v>
      </c>
      <c r="N351" s="78">
        <f t="shared" si="133"/>
        <v>730247</v>
      </c>
      <c r="O351" s="79">
        <f t="shared" si="134"/>
        <v>409633</v>
      </c>
      <c r="P351" s="79">
        <f t="shared" si="135"/>
        <v>1148058</v>
      </c>
      <c r="Q351" s="80">
        <f t="shared" si="136"/>
        <v>19176769</v>
      </c>
      <c r="R351" s="80">
        <f t="shared" si="136"/>
        <v>10872823</v>
      </c>
      <c r="S351" s="80">
        <f t="shared" si="136"/>
        <v>30835690.34</v>
      </c>
      <c r="T351" s="84">
        <f>N351/'2015'!M351-1</f>
        <v>-0.0554936157443814</v>
      </c>
      <c r="U351" s="84">
        <f>O351/'2015'!N351-1</f>
        <v>0.587749422471666</v>
      </c>
      <c r="V351" s="84">
        <f>P351/'2015'!O351-1</f>
        <v>0.0956215524974711</v>
      </c>
      <c r="W351" s="85">
        <f>Q351/'2015'!P351-1</f>
        <v>0.0621481872146104</v>
      </c>
      <c r="X351" s="85">
        <f>R351/'2015'!Q351-1</f>
        <v>0.0853693365443406</v>
      </c>
      <c r="Y351" s="85">
        <f>S351/'2015'!R351-1</f>
        <v>0.0747260804650158</v>
      </c>
      <c r="Z351" s="54">
        <f t="shared" si="140"/>
        <v>140.4612</v>
      </c>
      <c r="AA351" s="101">
        <f t="shared" si="128"/>
        <v>1777.2157</v>
      </c>
      <c r="AB351" s="109"/>
      <c r="AC351" s="109"/>
      <c r="AD351" s="9">
        <f t="shared" si="129"/>
        <v>19962867.34</v>
      </c>
      <c r="AE351" s="38">
        <f t="shared" si="131"/>
        <v>460330</v>
      </c>
      <c r="AF351" s="38">
        <f t="shared" si="131"/>
        <v>254584</v>
      </c>
      <c r="AG351" s="38">
        <f t="shared" si="130"/>
        <v>71184.3399999999</v>
      </c>
    </row>
    <row r="352" ht="15" customHeight="1" spans="1:33">
      <c r="A352" s="106">
        <v>42717</v>
      </c>
      <c r="B352" s="21" t="s">
        <v>34</v>
      </c>
      <c r="C352" s="9">
        <v>64089</v>
      </c>
      <c r="D352" s="38">
        <v>33730</v>
      </c>
      <c r="E352" s="38">
        <v>98416</v>
      </c>
      <c r="F352" s="59">
        <v>5045</v>
      </c>
      <c r="G352" s="38">
        <v>3151</v>
      </c>
      <c r="H352" s="25"/>
      <c r="I352" s="37"/>
      <c r="J352" s="9">
        <f t="shared" si="125"/>
        <v>64686</v>
      </c>
      <c r="K352" s="38">
        <v>550</v>
      </c>
      <c r="L352" s="38">
        <v>0</v>
      </c>
      <c r="M352" s="38">
        <f t="shared" si="139"/>
        <v>47</v>
      </c>
      <c r="N352" s="78">
        <f t="shared" si="133"/>
        <v>794336</v>
      </c>
      <c r="O352" s="79">
        <f t="shared" si="134"/>
        <v>443363</v>
      </c>
      <c r="P352" s="79">
        <f t="shared" si="135"/>
        <v>1246474</v>
      </c>
      <c r="Q352" s="80">
        <f t="shared" si="136"/>
        <v>19240858</v>
      </c>
      <c r="R352" s="80">
        <f t="shared" si="136"/>
        <v>10906553</v>
      </c>
      <c r="S352" s="80">
        <f t="shared" si="136"/>
        <v>30934106.34</v>
      </c>
      <c r="T352" s="84">
        <f>N352/'2015'!M352-1</f>
        <v>-0.0459515130405539</v>
      </c>
      <c r="U352" s="84">
        <f>O352/'2015'!N352-1</f>
        <v>0.585375708901587</v>
      </c>
      <c r="V352" s="84">
        <f>P352/'2015'!O352-1</f>
        <v>0.102781562417057</v>
      </c>
      <c r="W352" s="85">
        <f>Q352/'2015'!P352-1</f>
        <v>0.0622007276633814</v>
      </c>
      <c r="X352" s="85">
        <f>R352/'2015'!Q352-1</f>
        <v>0.0863872105658499</v>
      </c>
      <c r="Y352" s="85">
        <f>S352/'2015'!R352-1</f>
        <v>0.0750672058920736</v>
      </c>
      <c r="Z352" s="54">
        <f t="shared" si="140"/>
        <v>140.959</v>
      </c>
      <c r="AA352" s="101">
        <f t="shared" si="128"/>
        <v>1783.1268</v>
      </c>
      <c r="AB352" s="109"/>
      <c r="AC352" s="109"/>
      <c r="AD352" s="9">
        <f t="shared" si="129"/>
        <v>20027553.34</v>
      </c>
      <c r="AE352" s="38">
        <f t="shared" si="131"/>
        <v>460880</v>
      </c>
      <c r="AF352" s="38">
        <f t="shared" si="131"/>
        <v>254584</v>
      </c>
      <c r="AG352" s="38">
        <f t="shared" si="130"/>
        <v>71231.3399999999</v>
      </c>
    </row>
    <row r="353" ht="15" customHeight="1" spans="1:33">
      <c r="A353" s="106">
        <v>42718</v>
      </c>
      <c r="B353" s="15" t="s">
        <v>35</v>
      </c>
      <c r="C353" s="33">
        <v>66627</v>
      </c>
      <c r="D353" s="34">
        <v>34311</v>
      </c>
      <c r="E353" s="34">
        <v>101578</v>
      </c>
      <c r="F353" s="63">
        <v>5188</v>
      </c>
      <c r="G353" s="34">
        <v>3147</v>
      </c>
      <c r="H353" s="20"/>
      <c r="I353" s="20"/>
      <c r="J353" s="33">
        <f t="shared" si="125"/>
        <v>67267</v>
      </c>
      <c r="K353" s="34">
        <v>569</v>
      </c>
      <c r="L353" s="34">
        <v>0</v>
      </c>
      <c r="M353" s="34">
        <f t="shared" si="139"/>
        <v>71</v>
      </c>
      <c r="N353" s="81">
        <f t="shared" si="133"/>
        <v>860963</v>
      </c>
      <c r="O353" s="82">
        <f t="shared" si="134"/>
        <v>477674</v>
      </c>
      <c r="P353" s="82">
        <f t="shared" si="135"/>
        <v>1348052</v>
      </c>
      <c r="Q353" s="81">
        <f t="shared" si="136"/>
        <v>19307485</v>
      </c>
      <c r="R353" s="81">
        <f t="shared" si="136"/>
        <v>10940864</v>
      </c>
      <c r="S353" s="81">
        <f t="shared" si="136"/>
        <v>31035684.34</v>
      </c>
      <c r="T353" s="86">
        <f>N353/'2015'!M353-1</f>
        <v>-0.0388109323488072</v>
      </c>
      <c r="U353" s="86">
        <f>O353/'2015'!N353-1</f>
        <v>0.58284981493202</v>
      </c>
      <c r="V353" s="86">
        <f>P353/'2015'!O353-1</f>
        <v>0.107422401272337</v>
      </c>
      <c r="W353" s="86">
        <f>Q353/'2015'!P353-1</f>
        <v>0.0621769696308199</v>
      </c>
      <c r="X353" s="86">
        <f>R353/'2015'!Q353-1</f>
        <v>0.0874086236422131</v>
      </c>
      <c r="Y353" s="86">
        <f>S353/'2015'!R353-1</f>
        <v>0.0753464763750185</v>
      </c>
      <c r="Z353" s="53">
        <f t="shared" si="140"/>
        <v>141.4568</v>
      </c>
      <c r="AA353" s="53">
        <f t="shared" si="128"/>
        <v>1789.2917</v>
      </c>
      <c r="AB353" s="34">
        <v>4237.2</v>
      </c>
      <c r="AC353" s="34">
        <f t="shared" si="132"/>
        <v>4222.81624657793</v>
      </c>
      <c r="AD353" s="33">
        <f t="shared" si="129"/>
        <v>20094820.34</v>
      </c>
      <c r="AE353" s="34">
        <f t="shared" si="131"/>
        <v>461449</v>
      </c>
      <c r="AF353" s="34">
        <f t="shared" si="131"/>
        <v>254584</v>
      </c>
      <c r="AG353" s="34">
        <f t="shared" si="130"/>
        <v>71302.3399999999</v>
      </c>
    </row>
    <row r="354" ht="15" customHeight="1" spans="1:33">
      <c r="A354" s="106">
        <v>42719</v>
      </c>
      <c r="B354" s="21" t="s">
        <v>36</v>
      </c>
      <c r="C354" s="9">
        <v>68680</v>
      </c>
      <c r="D354" s="38">
        <v>33574</v>
      </c>
      <c r="E354" s="38">
        <v>102900</v>
      </c>
      <c r="F354" s="59">
        <v>5178</v>
      </c>
      <c r="G354" s="38">
        <v>3291</v>
      </c>
      <c r="H354" s="25"/>
      <c r="I354" s="37"/>
      <c r="J354" s="9">
        <f t="shared" si="125"/>
        <v>69326</v>
      </c>
      <c r="K354" s="38">
        <v>398</v>
      </c>
      <c r="L354" s="38">
        <v>0</v>
      </c>
      <c r="M354" s="38">
        <f t="shared" si="139"/>
        <v>248</v>
      </c>
      <c r="N354" s="78">
        <f t="shared" si="133"/>
        <v>929643</v>
      </c>
      <c r="O354" s="79">
        <f t="shared" si="134"/>
        <v>511248</v>
      </c>
      <c r="P354" s="79">
        <f t="shared" si="135"/>
        <v>1450952</v>
      </c>
      <c r="Q354" s="80">
        <f t="shared" si="136"/>
        <v>19376165</v>
      </c>
      <c r="R354" s="80">
        <f t="shared" si="136"/>
        <v>10974438</v>
      </c>
      <c r="S354" s="80">
        <f t="shared" si="136"/>
        <v>31138584.34</v>
      </c>
      <c r="T354" s="84">
        <f>N354/'2015'!M354-1</f>
        <v>-0.0308192722097987</v>
      </c>
      <c r="U354" s="84">
        <f>O354/'2015'!N354-1</f>
        <v>0.576169761469474</v>
      </c>
      <c r="V354" s="84">
        <f>P354/'2015'!O354-1</f>
        <v>0.111798015401709</v>
      </c>
      <c r="W354" s="85">
        <f>Q354/'2015'!P354-1</f>
        <v>0.0622457787520307</v>
      </c>
      <c r="X354" s="85">
        <f>R354/'2015'!Q354-1</f>
        <v>0.0883031419110887</v>
      </c>
      <c r="Y354" s="85">
        <f>S354/'2015'!R354-1</f>
        <v>0.0756409764472969</v>
      </c>
      <c r="Z354" s="54">
        <f t="shared" si="140"/>
        <v>141.9546</v>
      </c>
      <c r="AA354" s="101">
        <f t="shared" si="128"/>
        <v>1795.6619</v>
      </c>
      <c r="AB354" s="109"/>
      <c r="AC354" s="109"/>
      <c r="AD354" s="9">
        <f t="shared" si="129"/>
        <v>20164146.34</v>
      </c>
      <c r="AE354" s="38">
        <f t="shared" si="131"/>
        <v>461847</v>
      </c>
      <c r="AF354" s="38">
        <f t="shared" si="131"/>
        <v>254584</v>
      </c>
      <c r="AG354" s="38">
        <f t="shared" si="130"/>
        <v>71550.3399999999</v>
      </c>
    </row>
    <row r="355" ht="15" customHeight="1" spans="1:33">
      <c r="A355" s="106">
        <v>42720</v>
      </c>
      <c r="B355" s="21" t="s">
        <v>37</v>
      </c>
      <c r="C355" s="74">
        <v>69230</v>
      </c>
      <c r="D355" s="75">
        <f>22373+10977</f>
        <v>33350</v>
      </c>
      <c r="E355" s="75">
        <v>104271</v>
      </c>
      <c r="F355" s="111">
        <v>5209.6</v>
      </c>
      <c r="G355" s="75">
        <v>3289.2</v>
      </c>
      <c r="H355" s="25"/>
      <c r="I355" s="25"/>
      <c r="J355" s="74">
        <f t="shared" si="125"/>
        <v>70921</v>
      </c>
      <c r="K355" s="75">
        <v>887</v>
      </c>
      <c r="L355" s="75">
        <v>0</v>
      </c>
      <c r="M355" s="75">
        <f t="shared" si="139"/>
        <v>804</v>
      </c>
      <c r="N355" s="78">
        <f t="shared" si="133"/>
        <v>998873</v>
      </c>
      <c r="O355" s="79">
        <f t="shared" si="134"/>
        <v>544598</v>
      </c>
      <c r="P355" s="79">
        <f t="shared" si="135"/>
        <v>1555223</v>
      </c>
      <c r="Q355" s="80">
        <f t="shared" si="136"/>
        <v>19445395</v>
      </c>
      <c r="R355" s="80">
        <f t="shared" si="136"/>
        <v>11007788</v>
      </c>
      <c r="S355" s="80">
        <f t="shared" si="136"/>
        <v>31242855.34</v>
      </c>
      <c r="T355" s="84">
        <f>N355/'2015'!M355-1</f>
        <v>-0.0236885805911198</v>
      </c>
      <c r="U355" s="84">
        <f>O355/'2015'!N355-1</f>
        <v>0.567829156086804</v>
      </c>
      <c r="V355" s="84">
        <f>P355/'2015'!O355-1</f>
        <v>0.116276348957526</v>
      </c>
      <c r="W355" s="85">
        <f>Q355/'2015'!P355-1</f>
        <v>0.0623194346313689</v>
      </c>
      <c r="X355" s="85">
        <f>R355/'2015'!Q355-1</f>
        <v>0.0891265616548236</v>
      </c>
      <c r="Y355" s="85">
        <f>S355/'2015'!R355-1</f>
        <v>0.0759656456695066</v>
      </c>
      <c r="Z355" s="101">
        <f t="shared" si="140"/>
        <v>142.4524</v>
      </c>
      <c r="AA355" s="101">
        <f t="shared" si="128"/>
        <v>1802.0871</v>
      </c>
      <c r="AB355" s="110"/>
      <c r="AC355" s="109"/>
      <c r="AD355" s="74">
        <f t="shared" si="129"/>
        <v>20235067.34</v>
      </c>
      <c r="AE355" s="75">
        <f t="shared" si="131"/>
        <v>462734</v>
      </c>
      <c r="AF355" s="75">
        <f t="shared" si="131"/>
        <v>254584</v>
      </c>
      <c r="AG355" s="75">
        <f t="shared" si="130"/>
        <v>72354.3399999999</v>
      </c>
    </row>
    <row r="356" ht="15" customHeight="1" spans="1:33">
      <c r="A356" s="106">
        <v>42721</v>
      </c>
      <c r="B356" s="21" t="s">
        <v>38</v>
      </c>
      <c r="C356" s="9">
        <v>67216</v>
      </c>
      <c r="D356" s="38">
        <f>22904+10852</f>
        <v>33756</v>
      </c>
      <c r="E356" s="38">
        <v>101732</v>
      </c>
      <c r="F356" s="59">
        <v>5142.2</v>
      </c>
      <c r="G356" s="38">
        <v>3361.1</v>
      </c>
      <c r="H356" s="25"/>
      <c r="I356" s="37"/>
      <c r="J356" s="9">
        <f t="shared" si="125"/>
        <v>67976</v>
      </c>
      <c r="K356" s="38">
        <v>424</v>
      </c>
      <c r="L356" s="38">
        <v>0</v>
      </c>
      <c r="M356" s="38">
        <f t="shared" si="139"/>
        <v>336</v>
      </c>
      <c r="N356" s="78">
        <f t="shared" si="133"/>
        <v>1066089</v>
      </c>
      <c r="O356" s="79">
        <f t="shared" si="134"/>
        <v>578354</v>
      </c>
      <c r="P356" s="79">
        <f t="shared" si="135"/>
        <v>1656955</v>
      </c>
      <c r="Q356" s="80">
        <f t="shared" si="136"/>
        <v>19512611</v>
      </c>
      <c r="R356" s="80">
        <f t="shared" si="136"/>
        <v>11041544</v>
      </c>
      <c r="S356" s="80">
        <f t="shared" si="136"/>
        <v>31344587.34</v>
      </c>
      <c r="T356" s="84">
        <f>N356/'2015'!M356-1</f>
        <v>-0.0206824520211206</v>
      </c>
      <c r="U356" s="84">
        <f>O356/'2015'!N356-1</f>
        <v>0.559334372253288</v>
      </c>
      <c r="V356" s="84">
        <f>P356/'2015'!O356-1</f>
        <v>0.115814900338255</v>
      </c>
      <c r="W356" s="85">
        <f>Q356/'2015'!P356-1</f>
        <v>0.0621909320956155</v>
      </c>
      <c r="X356" s="85">
        <f>R356/'2015'!Q356-1</f>
        <v>0.0899278981241549</v>
      </c>
      <c r="Y356" s="85">
        <f>S356/'2015'!R356-1</f>
        <v>0.075935636610784</v>
      </c>
      <c r="Z356" s="54">
        <f t="shared" si="140"/>
        <v>142.9502</v>
      </c>
      <c r="AA356" s="101">
        <f t="shared" si="128"/>
        <v>1808.3109</v>
      </c>
      <c r="AB356" s="109"/>
      <c r="AC356" s="109"/>
      <c r="AD356" s="9">
        <f t="shared" si="129"/>
        <v>20303043.34</v>
      </c>
      <c r="AE356" s="38">
        <f t="shared" si="131"/>
        <v>463158</v>
      </c>
      <c r="AF356" s="38">
        <f t="shared" si="131"/>
        <v>254584</v>
      </c>
      <c r="AG356" s="38">
        <f t="shared" si="130"/>
        <v>72690.3399999999</v>
      </c>
    </row>
    <row r="357" ht="15" customHeight="1" spans="1:33">
      <c r="A357" s="106">
        <v>42722</v>
      </c>
      <c r="B357" s="21" t="s">
        <v>1</v>
      </c>
      <c r="C357" s="9">
        <v>62457</v>
      </c>
      <c r="D357" s="38">
        <f>23009+10721</f>
        <v>33730</v>
      </c>
      <c r="E357" s="38">
        <v>96744</v>
      </c>
      <c r="F357" s="59">
        <v>4813.3</v>
      </c>
      <c r="G357" s="38">
        <v>3249.6</v>
      </c>
      <c r="H357" s="25"/>
      <c r="I357" s="37"/>
      <c r="J357" s="9">
        <f t="shared" si="125"/>
        <v>63014</v>
      </c>
      <c r="K357" s="38">
        <v>377</v>
      </c>
      <c r="L357" s="38">
        <v>0</v>
      </c>
      <c r="M357" s="38">
        <f t="shared" si="139"/>
        <v>180</v>
      </c>
      <c r="N357" s="78">
        <f t="shared" si="133"/>
        <v>1128546</v>
      </c>
      <c r="O357" s="79">
        <f t="shared" si="134"/>
        <v>612084</v>
      </c>
      <c r="P357" s="79">
        <f t="shared" si="135"/>
        <v>1753699</v>
      </c>
      <c r="Q357" s="80">
        <f t="shared" si="136"/>
        <v>19575068</v>
      </c>
      <c r="R357" s="80">
        <f t="shared" si="136"/>
        <v>11075274</v>
      </c>
      <c r="S357" s="80">
        <f t="shared" si="136"/>
        <v>31441331.34</v>
      </c>
      <c r="T357" s="84">
        <f>N357/'2015'!M357-1</f>
        <v>-0.02434752388025</v>
      </c>
      <c r="U357" s="84">
        <f>O357/'2015'!N357-1</f>
        <v>0.551126946878659</v>
      </c>
      <c r="V357" s="84">
        <f>P357/'2015'!O357-1</f>
        <v>0.110508901743621</v>
      </c>
      <c r="W357" s="85">
        <f>Q357/'2015'!P357-1</f>
        <v>0.0616548991962853</v>
      </c>
      <c r="X357" s="85">
        <f>R357/'2015'!Q357-1</f>
        <v>0.0907049127777719</v>
      </c>
      <c r="Y357" s="85">
        <f>S357/'2015'!R357-1</f>
        <v>0.0759104957023746</v>
      </c>
      <c r="Z357" s="54">
        <f t="shared" si="140"/>
        <v>143.448</v>
      </c>
      <c r="AA357" s="101">
        <f t="shared" si="128"/>
        <v>1814.0588</v>
      </c>
      <c r="AB357" s="109"/>
      <c r="AC357" s="109"/>
      <c r="AD357" s="9">
        <f t="shared" si="129"/>
        <v>20366057.34</v>
      </c>
      <c r="AE357" s="38">
        <f t="shared" si="131"/>
        <v>463535</v>
      </c>
      <c r="AF357" s="38">
        <f t="shared" si="131"/>
        <v>254584</v>
      </c>
      <c r="AG357" s="38">
        <f t="shared" si="130"/>
        <v>72870.3399999999</v>
      </c>
    </row>
    <row r="358" ht="15" customHeight="1" spans="1:33">
      <c r="A358" s="106">
        <v>42723</v>
      </c>
      <c r="B358" s="21" t="s">
        <v>39</v>
      </c>
      <c r="C358" s="9">
        <v>62766</v>
      </c>
      <c r="D358" s="38">
        <f>24478+10919</f>
        <v>35397</v>
      </c>
      <c r="E358" s="38">
        <v>98672</v>
      </c>
      <c r="F358" s="59">
        <v>5017.3</v>
      </c>
      <c r="G358" s="38">
        <v>3112.1</v>
      </c>
      <c r="H358" s="25"/>
      <c r="I358" s="37"/>
      <c r="J358" s="9">
        <f t="shared" si="125"/>
        <v>63275</v>
      </c>
      <c r="K358" s="38">
        <v>327</v>
      </c>
      <c r="L358" s="38">
        <v>0</v>
      </c>
      <c r="M358" s="38">
        <f t="shared" si="139"/>
        <v>182</v>
      </c>
      <c r="N358" s="78">
        <f t="shared" si="133"/>
        <v>1191312</v>
      </c>
      <c r="O358" s="79">
        <f t="shared" si="134"/>
        <v>647481</v>
      </c>
      <c r="P358" s="79">
        <f t="shared" si="135"/>
        <v>1852371</v>
      </c>
      <c r="Q358" s="80">
        <f t="shared" si="136"/>
        <v>19637834</v>
      </c>
      <c r="R358" s="80">
        <f t="shared" si="136"/>
        <v>11110671</v>
      </c>
      <c r="S358" s="80">
        <f t="shared" si="136"/>
        <v>31540003.34</v>
      </c>
      <c r="T358" s="84">
        <f>N358/'2015'!M358-1</f>
        <v>-0.0259299687250873</v>
      </c>
      <c r="U358" s="84">
        <f>O358/'2015'!N358-1</f>
        <v>0.547013876942485</v>
      </c>
      <c r="V358" s="84">
        <f>P358/'2015'!O358-1</f>
        <v>0.108635269206162</v>
      </c>
      <c r="W358" s="85">
        <f>Q358/'2015'!P358-1</f>
        <v>0.0612420982378683</v>
      </c>
      <c r="X358" s="85">
        <f>R358/'2015'!Q358-1</f>
        <v>0.0916182828633649</v>
      </c>
      <c r="Y358" s="85">
        <f>S358/'2015'!R358-1</f>
        <v>0.0759118988577425</v>
      </c>
      <c r="Z358" s="54">
        <f t="shared" si="140"/>
        <v>143.9458</v>
      </c>
      <c r="AA358" s="101">
        <f t="shared" si="128"/>
        <v>1819.8376</v>
      </c>
      <c r="AB358" s="109"/>
      <c r="AC358" s="109"/>
      <c r="AD358" s="9">
        <f t="shared" si="129"/>
        <v>20429332.34</v>
      </c>
      <c r="AE358" s="38">
        <f t="shared" si="131"/>
        <v>463862</v>
      </c>
      <c r="AF358" s="38">
        <f t="shared" si="131"/>
        <v>254584</v>
      </c>
      <c r="AG358" s="38">
        <f t="shared" si="130"/>
        <v>73052.3399999999</v>
      </c>
    </row>
    <row r="359" ht="15" customHeight="1" spans="1:33">
      <c r="A359" s="106">
        <v>42724</v>
      </c>
      <c r="B359" s="21" t="s">
        <v>34</v>
      </c>
      <c r="C359" s="9">
        <v>62881</v>
      </c>
      <c r="D359" s="38">
        <f>24702+9922</f>
        <v>34624</v>
      </c>
      <c r="E359" s="38">
        <v>98154</v>
      </c>
      <c r="F359" s="59">
        <v>5063.3</v>
      </c>
      <c r="G359" s="38">
        <v>3210.9</v>
      </c>
      <c r="H359" s="25"/>
      <c r="I359" s="37"/>
      <c r="J359" s="9">
        <f t="shared" si="125"/>
        <v>63530</v>
      </c>
      <c r="K359" s="38">
        <v>507</v>
      </c>
      <c r="L359" s="38">
        <v>0</v>
      </c>
      <c r="M359" s="38">
        <f t="shared" si="139"/>
        <v>142</v>
      </c>
      <c r="N359" s="78">
        <f t="shared" si="133"/>
        <v>1254193</v>
      </c>
      <c r="O359" s="79">
        <f t="shared" si="134"/>
        <v>682105</v>
      </c>
      <c r="P359" s="79">
        <f t="shared" si="135"/>
        <v>1950525</v>
      </c>
      <c r="Q359" s="80">
        <f t="shared" si="136"/>
        <v>19700715</v>
      </c>
      <c r="R359" s="80">
        <f t="shared" si="136"/>
        <v>11145295</v>
      </c>
      <c r="S359" s="80">
        <f t="shared" si="136"/>
        <v>31638157.34</v>
      </c>
      <c r="T359" s="84">
        <f>N359/'2015'!M359-1</f>
        <v>-0.025093375308498</v>
      </c>
      <c r="U359" s="84">
        <f>O359/'2015'!N359-1</f>
        <v>0.544859715717094</v>
      </c>
      <c r="V359" s="84">
        <f>P359/'2015'!O359-1</f>
        <v>0.108802832313983</v>
      </c>
      <c r="W359" s="85">
        <f>Q359/'2015'!P359-1</f>
        <v>0.0610021798225713</v>
      </c>
      <c r="X359" s="85">
        <f>R359/'2015'!Q359-1</f>
        <v>0.092551622310441</v>
      </c>
      <c r="Y359" s="85">
        <f>S359/'2015'!R359-1</f>
        <v>0.0760201620647405</v>
      </c>
      <c r="Z359" s="54">
        <f t="shared" si="140"/>
        <v>144.4436</v>
      </c>
      <c r="AA359" s="101">
        <f t="shared" si="128"/>
        <v>1825.6279</v>
      </c>
      <c r="AB359" s="109"/>
      <c r="AC359" s="109"/>
      <c r="AD359" s="9">
        <f t="shared" si="129"/>
        <v>20492862.34</v>
      </c>
      <c r="AE359" s="38">
        <f t="shared" si="131"/>
        <v>464369</v>
      </c>
      <c r="AF359" s="38">
        <f t="shared" si="131"/>
        <v>254584</v>
      </c>
      <c r="AG359" s="38">
        <f t="shared" si="130"/>
        <v>73194.3399999999</v>
      </c>
    </row>
    <row r="360" ht="15" customHeight="1" spans="1:33">
      <c r="A360" s="106">
        <v>42725</v>
      </c>
      <c r="B360" s="15" t="s">
        <v>35</v>
      </c>
      <c r="C360" s="33">
        <v>62456</v>
      </c>
      <c r="D360" s="34">
        <f>24561+9662</f>
        <v>34223</v>
      </c>
      <c r="E360" s="34">
        <v>97215</v>
      </c>
      <c r="F360" s="63">
        <v>4962.8</v>
      </c>
      <c r="G360" s="34">
        <v>3163.2</v>
      </c>
      <c r="H360" s="20"/>
      <c r="I360" s="20"/>
      <c r="J360" s="33">
        <f t="shared" si="125"/>
        <v>62992</v>
      </c>
      <c r="K360" s="34">
        <v>376</v>
      </c>
      <c r="L360" s="34">
        <v>0</v>
      </c>
      <c r="M360" s="34">
        <f t="shared" si="139"/>
        <v>160</v>
      </c>
      <c r="N360" s="81">
        <f t="shared" si="133"/>
        <v>1316649</v>
      </c>
      <c r="O360" s="82">
        <f t="shared" si="134"/>
        <v>716328</v>
      </c>
      <c r="P360" s="82">
        <f t="shared" si="135"/>
        <v>2047740</v>
      </c>
      <c r="Q360" s="81">
        <f t="shared" si="136"/>
        <v>19763171</v>
      </c>
      <c r="R360" s="81">
        <f t="shared" si="136"/>
        <v>11179518</v>
      </c>
      <c r="S360" s="81">
        <f t="shared" si="136"/>
        <v>31735372.34</v>
      </c>
      <c r="T360" s="86">
        <f>N360/'2015'!M360-1</f>
        <v>-0.0263531531051864</v>
      </c>
      <c r="U360" s="86">
        <f>O360/'2015'!N360-1</f>
        <v>0.540987415295257</v>
      </c>
      <c r="V360" s="86">
        <f>P360/'2015'!O360-1</f>
        <v>0.106191678524084</v>
      </c>
      <c r="W360" s="86">
        <f>Q360/'2015'!P360-1</f>
        <v>0.0606066834547647</v>
      </c>
      <c r="X360" s="86">
        <f>R360/'2015'!Q360-1</f>
        <v>0.0934071066114959</v>
      </c>
      <c r="Y360" s="86">
        <f>S360/'2015'!R360-1</f>
        <v>0.0759585747755822</v>
      </c>
      <c r="Z360" s="53">
        <f t="shared" si="140"/>
        <v>144.9414</v>
      </c>
      <c r="AA360" s="53">
        <f t="shared" si="128"/>
        <v>1831.3757</v>
      </c>
      <c r="AB360" s="34">
        <v>4238.4</v>
      </c>
      <c r="AC360" s="34">
        <f t="shared" si="132"/>
        <v>4320.91284446961</v>
      </c>
      <c r="AD360" s="33">
        <f t="shared" si="129"/>
        <v>20555854.34</v>
      </c>
      <c r="AE360" s="34">
        <f t="shared" si="131"/>
        <v>464745</v>
      </c>
      <c r="AF360" s="34">
        <f t="shared" si="131"/>
        <v>254584</v>
      </c>
      <c r="AG360" s="34">
        <f t="shared" si="130"/>
        <v>73354.3399999999</v>
      </c>
    </row>
    <row r="361" ht="15" customHeight="1" spans="1:33">
      <c r="A361" s="106">
        <v>42726</v>
      </c>
      <c r="B361" s="21" t="s">
        <v>36</v>
      </c>
      <c r="C361" s="9">
        <v>62061</v>
      </c>
      <c r="D361" s="38">
        <f>24619+10919</f>
        <v>35538</v>
      </c>
      <c r="E361" s="38">
        <v>98036</v>
      </c>
      <c r="F361" s="59">
        <v>5020.4</v>
      </c>
      <c r="G361" s="38">
        <v>3094.8</v>
      </c>
      <c r="H361" s="25"/>
      <c r="I361" s="37"/>
      <c r="J361" s="9">
        <f t="shared" si="125"/>
        <v>62498</v>
      </c>
      <c r="K361" s="38">
        <v>225</v>
      </c>
      <c r="L361" s="38">
        <v>0</v>
      </c>
      <c r="M361" s="38">
        <f t="shared" si="139"/>
        <v>212</v>
      </c>
      <c r="N361" s="78">
        <f t="shared" si="133"/>
        <v>1378710</v>
      </c>
      <c r="O361" s="79">
        <f t="shared" si="134"/>
        <v>751866</v>
      </c>
      <c r="P361" s="79">
        <f t="shared" si="135"/>
        <v>2145776</v>
      </c>
      <c r="Q361" s="80">
        <f t="shared" si="136"/>
        <v>19825232</v>
      </c>
      <c r="R361" s="80">
        <f t="shared" si="136"/>
        <v>11215056</v>
      </c>
      <c r="S361" s="80">
        <f t="shared" si="136"/>
        <v>31833408.34</v>
      </c>
      <c r="T361" s="84">
        <f>N361/'2015'!M361-1</f>
        <v>-0.0277423222030253</v>
      </c>
      <c r="U361" s="84">
        <f>O361/'2015'!N361-1</f>
        <v>0.537960856829599</v>
      </c>
      <c r="V361" s="84">
        <f>P361/'2015'!O361-1</f>
        <v>0.104649432817073</v>
      </c>
      <c r="W361" s="85">
        <f>Q361/'2015'!P361-1</f>
        <v>0.0601955122034696</v>
      </c>
      <c r="X361" s="85">
        <f>R361/'2015'!Q361-1</f>
        <v>0.0943118413122075</v>
      </c>
      <c r="Y361" s="85">
        <f>S361/'2015'!R361-1</f>
        <v>0.0759506479838361</v>
      </c>
      <c r="Z361" s="54">
        <f t="shared" si="140"/>
        <v>145.4392</v>
      </c>
      <c r="AA361" s="101">
        <f t="shared" si="128"/>
        <v>1837.084</v>
      </c>
      <c r="AB361" s="109"/>
      <c r="AC361" s="109"/>
      <c r="AD361" s="9">
        <f t="shared" si="129"/>
        <v>20618352.34</v>
      </c>
      <c r="AE361" s="38">
        <f t="shared" si="131"/>
        <v>464970</v>
      </c>
      <c r="AF361" s="38">
        <f t="shared" si="131"/>
        <v>254584</v>
      </c>
      <c r="AG361" s="38">
        <f t="shared" si="130"/>
        <v>73566.3399999999</v>
      </c>
    </row>
    <row r="362" ht="15" customHeight="1" spans="1:33">
      <c r="A362" s="106">
        <v>42727</v>
      </c>
      <c r="B362" s="21" t="s">
        <v>37</v>
      </c>
      <c r="C362" s="74">
        <v>65604</v>
      </c>
      <c r="D362" s="75">
        <f>24581+8728</f>
        <v>33309</v>
      </c>
      <c r="E362" s="75">
        <v>99362</v>
      </c>
      <c r="F362" s="111">
        <v>4987.7</v>
      </c>
      <c r="G362" s="75">
        <v>3191.9</v>
      </c>
      <c r="H362" s="25"/>
      <c r="I362" s="25"/>
      <c r="J362" s="74">
        <f t="shared" si="125"/>
        <v>66053</v>
      </c>
      <c r="K362" s="75">
        <v>224</v>
      </c>
      <c r="L362" s="75">
        <v>0</v>
      </c>
      <c r="M362" s="75">
        <f t="shared" si="139"/>
        <v>225</v>
      </c>
      <c r="N362" s="78">
        <f t="shared" si="133"/>
        <v>1444314</v>
      </c>
      <c r="O362" s="79">
        <f t="shared" si="134"/>
        <v>785175</v>
      </c>
      <c r="P362" s="79">
        <f t="shared" si="135"/>
        <v>2245138</v>
      </c>
      <c r="Q362" s="80">
        <f t="shared" si="136"/>
        <v>19890836</v>
      </c>
      <c r="R362" s="80">
        <f t="shared" si="136"/>
        <v>11248365</v>
      </c>
      <c r="S362" s="80">
        <f t="shared" si="136"/>
        <v>31932770.34</v>
      </c>
      <c r="T362" s="84">
        <f>N362/'2015'!M362-1</f>
        <v>-0.024483254005402</v>
      </c>
      <c r="U362" s="84">
        <f>O362/'2015'!N362-1</f>
        <v>0.530961424471205</v>
      </c>
      <c r="V362" s="84">
        <f>P362/'2015'!O362-1</f>
        <v>0.105061510489318</v>
      </c>
      <c r="W362" s="85">
        <f>Q362/'2015'!P362-1</f>
        <v>0.0601596952326211</v>
      </c>
      <c r="X362" s="85">
        <f>R362/'2015'!Q362-1</f>
        <v>0.0949985558520214</v>
      </c>
      <c r="Y362" s="85">
        <f>S362/'2015'!R362-1</f>
        <v>0.0760651156678067</v>
      </c>
      <c r="Z362" s="101">
        <f t="shared" si="140"/>
        <v>145.937</v>
      </c>
      <c r="AA362" s="101">
        <f t="shared" si="128"/>
        <v>1843.1466</v>
      </c>
      <c r="AB362" s="110"/>
      <c r="AC362" s="109"/>
      <c r="AD362" s="74">
        <f t="shared" si="129"/>
        <v>20684405.34</v>
      </c>
      <c r="AE362" s="75">
        <f t="shared" si="131"/>
        <v>465194</v>
      </c>
      <c r="AF362" s="75">
        <f t="shared" si="131"/>
        <v>254584</v>
      </c>
      <c r="AG362" s="75">
        <f t="shared" si="130"/>
        <v>73791.3399999999</v>
      </c>
    </row>
    <row r="363" ht="15" customHeight="1" spans="1:33">
      <c r="A363" s="106">
        <v>42728</v>
      </c>
      <c r="B363" s="21" t="s">
        <v>38</v>
      </c>
      <c r="C363" s="9">
        <v>67396</v>
      </c>
      <c r="D363" s="38">
        <f>23601+8605</f>
        <v>32206</v>
      </c>
      <c r="E363" s="38">
        <v>100176</v>
      </c>
      <c r="F363" s="59">
        <v>5069.4</v>
      </c>
      <c r="G363" s="38">
        <v>3260.5</v>
      </c>
      <c r="H363" s="25"/>
      <c r="I363" s="37"/>
      <c r="J363" s="9">
        <f t="shared" si="125"/>
        <v>67970</v>
      </c>
      <c r="K363" s="38">
        <v>347</v>
      </c>
      <c r="L363" s="38">
        <v>0</v>
      </c>
      <c r="M363" s="38">
        <f t="shared" si="139"/>
        <v>227</v>
      </c>
      <c r="N363" s="78">
        <f t="shared" si="133"/>
        <v>1511710</v>
      </c>
      <c r="O363" s="79">
        <f t="shared" si="134"/>
        <v>817381</v>
      </c>
      <c r="P363" s="79">
        <f t="shared" si="135"/>
        <v>2345314</v>
      </c>
      <c r="Q363" s="80">
        <f t="shared" si="136"/>
        <v>19958232</v>
      </c>
      <c r="R363" s="80">
        <f t="shared" si="136"/>
        <v>11280571</v>
      </c>
      <c r="S363" s="80">
        <f t="shared" si="136"/>
        <v>32032946.34</v>
      </c>
      <c r="T363" s="84">
        <f>N363/'2015'!M363-1</f>
        <v>-0.0201224563345809</v>
      </c>
      <c r="U363" s="84">
        <f>O363/'2015'!N363-1</f>
        <v>0.521733707166501</v>
      </c>
      <c r="V363" s="84">
        <f>P363/'2015'!O363-1</f>
        <v>0.1058597533202</v>
      </c>
      <c r="W363" s="85">
        <f>Q363/'2015'!P363-1</f>
        <v>0.0602374462290878</v>
      </c>
      <c r="X363" s="85">
        <f>R363/'2015'!Q363-1</f>
        <v>0.0955449414364722</v>
      </c>
      <c r="Y363" s="85">
        <f>S363/'2015'!R363-1</f>
        <v>0.0762088123416325</v>
      </c>
      <c r="Z363" s="54">
        <f t="shared" si="140"/>
        <v>146.4348</v>
      </c>
      <c r="AA363" s="101">
        <f t="shared" si="128"/>
        <v>1849.3884</v>
      </c>
      <c r="AB363" s="109"/>
      <c r="AC363" s="109"/>
      <c r="AD363" s="9">
        <f t="shared" si="129"/>
        <v>20752375.34</v>
      </c>
      <c r="AE363" s="38">
        <f t="shared" si="131"/>
        <v>465541</v>
      </c>
      <c r="AF363" s="38">
        <f t="shared" si="131"/>
        <v>254584</v>
      </c>
      <c r="AG363" s="38">
        <f t="shared" si="130"/>
        <v>74018.3399999999</v>
      </c>
    </row>
    <row r="364" ht="15" customHeight="1" spans="1:33">
      <c r="A364" s="106">
        <v>42729</v>
      </c>
      <c r="B364" s="21" t="s">
        <v>1</v>
      </c>
      <c r="C364" s="9">
        <v>62830</v>
      </c>
      <c r="D364" s="38">
        <f>23574+8630</f>
        <v>32204</v>
      </c>
      <c r="E364" s="38">
        <v>96163</v>
      </c>
      <c r="F364" s="59">
        <v>4818.8</v>
      </c>
      <c r="G364" s="38">
        <v>3173.5</v>
      </c>
      <c r="H364" s="25"/>
      <c r="I364" s="37"/>
      <c r="J364" s="9">
        <f t="shared" si="125"/>
        <v>63959</v>
      </c>
      <c r="K364" s="38">
        <v>652</v>
      </c>
      <c r="L364" s="38">
        <v>0</v>
      </c>
      <c r="M364" s="38">
        <f t="shared" si="139"/>
        <v>477</v>
      </c>
      <c r="N364" s="78">
        <f t="shared" si="133"/>
        <v>1574540</v>
      </c>
      <c r="O364" s="79">
        <f t="shared" si="134"/>
        <v>849585</v>
      </c>
      <c r="P364" s="79">
        <f t="shared" si="135"/>
        <v>2441477</v>
      </c>
      <c r="Q364" s="80">
        <f t="shared" si="136"/>
        <v>20021062</v>
      </c>
      <c r="R364" s="80">
        <f t="shared" si="136"/>
        <v>11312775</v>
      </c>
      <c r="S364" s="80">
        <f t="shared" si="136"/>
        <v>32129109.34</v>
      </c>
      <c r="T364" s="84">
        <f>N364/'2015'!M364-1</f>
        <v>-0.0173201888295017</v>
      </c>
      <c r="U364" s="84">
        <f>O364/'2015'!N364-1</f>
        <v>0.511173919694345</v>
      </c>
      <c r="V364" s="84">
        <f>P364/'2015'!O364-1</f>
        <v>0.10451682192931</v>
      </c>
      <c r="W364" s="85">
        <f>Q364/'2015'!P364-1</f>
        <v>0.0602218552771199</v>
      </c>
      <c r="X364" s="85">
        <f>R364/'2015'!Q364-1</f>
        <v>0.0960046720392922</v>
      </c>
      <c r="Y364" s="85">
        <f>S364/'2015'!R364-1</f>
        <v>0.0761984114696923</v>
      </c>
      <c r="Z364" s="54">
        <f t="shared" si="140"/>
        <v>146.9326</v>
      </c>
      <c r="AA364" s="101">
        <f t="shared" si="128"/>
        <v>1855.1736</v>
      </c>
      <c r="AB364" s="109"/>
      <c r="AC364" s="109"/>
      <c r="AD364" s="9">
        <f t="shared" si="129"/>
        <v>20816334.34</v>
      </c>
      <c r="AE364" s="38">
        <f t="shared" si="131"/>
        <v>466193</v>
      </c>
      <c r="AF364" s="38">
        <f t="shared" si="131"/>
        <v>254584</v>
      </c>
      <c r="AG364" s="38">
        <f t="shared" si="130"/>
        <v>74495.3399999999</v>
      </c>
    </row>
    <row r="365" ht="15" customHeight="1" spans="1:33">
      <c r="A365" s="106">
        <v>42730</v>
      </c>
      <c r="B365" s="21" t="s">
        <v>39</v>
      </c>
      <c r="C365" s="9">
        <v>65888</v>
      </c>
      <c r="D365" s="38">
        <f>24523+8716</f>
        <v>33239</v>
      </c>
      <c r="E365" s="38">
        <v>99547</v>
      </c>
      <c r="F365" s="59">
        <v>5097.5</v>
      </c>
      <c r="G365" s="38">
        <v>3061.7</v>
      </c>
      <c r="H365" s="25"/>
      <c r="I365" s="37"/>
      <c r="J365" s="9">
        <f t="shared" si="125"/>
        <v>66308</v>
      </c>
      <c r="K365" s="38">
        <v>278</v>
      </c>
      <c r="L365" s="38">
        <v>42</v>
      </c>
      <c r="M365" s="38">
        <f t="shared" si="139"/>
        <v>100</v>
      </c>
      <c r="N365" s="78">
        <f t="shared" si="133"/>
        <v>1640428</v>
      </c>
      <c r="O365" s="79">
        <f t="shared" si="134"/>
        <v>882824</v>
      </c>
      <c r="P365" s="79">
        <f t="shared" si="135"/>
        <v>2541024</v>
      </c>
      <c r="Q365" s="80">
        <f t="shared" si="136"/>
        <v>20086950</v>
      </c>
      <c r="R365" s="80">
        <f t="shared" si="136"/>
        <v>11346014</v>
      </c>
      <c r="S365" s="80">
        <f t="shared" si="136"/>
        <v>32228656.34</v>
      </c>
      <c r="T365" s="84">
        <f>N365/'2015'!M365-1</f>
        <v>-0.0127769897433829</v>
      </c>
      <c r="U365" s="84">
        <f>O365/'2015'!N365-1</f>
        <v>0.503413582464966</v>
      </c>
      <c r="V365" s="84">
        <f>P365/'2015'!O365-1</f>
        <v>0.105878727898955</v>
      </c>
      <c r="W365" s="85">
        <f>Q365/'2015'!P365-1</f>
        <v>0.0603773626738744</v>
      </c>
      <c r="X365" s="85">
        <f>R365/'2015'!Q365-1</f>
        <v>0.0965678223365158</v>
      </c>
      <c r="Y365" s="85">
        <f>S365/'2015'!R365-1</f>
        <v>0.0763854871136289</v>
      </c>
      <c r="Z365" s="54">
        <f t="shared" si="140"/>
        <v>147.4304</v>
      </c>
      <c r="AA365" s="101">
        <f t="shared" si="128"/>
        <v>1861.2646</v>
      </c>
      <c r="AB365" s="109"/>
      <c r="AC365" s="109"/>
      <c r="AD365" s="9">
        <f t="shared" si="129"/>
        <v>20882642.34</v>
      </c>
      <c r="AE365" s="38">
        <f t="shared" si="131"/>
        <v>466471</v>
      </c>
      <c r="AF365" s="38">
        <f t="shared" si="131"/>
        <v>254626</v>
      </c>
      <c r="AG365" s="38">
        <f t="shared" si="130"/>
        <v>74595.3399999999</v>
      </c>
    </row>
    <row r="366" ht="15" customHeight="1" spans="1:33">
      <c r="A366" s="106">
        <v>42731</v>
      </c>
      <c r="B366" s="21" t="s">
        <v>34</v>
      </c>
      <c r="C366" s="9">
        <v>68236</v>
      </c>
      <c r="D366" s="38">
        <f>24519+8694</f>
        <v>33213</v>
      </c>
      <c r="E366" s="38">
        <v>102782</v>
      </c>
      <c r="F366" s="59">
        <v>5262.8</v>
      </c>
      <c r="G366" s="38">
        <v>3157.7</v>
      </c>
      <c r="H366" s="25"/>
      <c r="I366" s="37"/>
      <c r="J366" s="9">
        <f t="shared" si="125"/>
        <v>69569</v>
      </c>
      <c r="K366" s="38">
        <v>414</v>
      </c>
      <c r="L366" s="38">
        <v>445</v>
      </c>
      <c r="M366" s="38">
        <f t="shared" si="139"/>
        <v>474</v>
      </c>
      <c r="N366" s="78">
        <f t="shared" si="133"/>
        <v>1708664</v>
      </c>
      <c r="O366" s="79">
        <f t="shared" si="134"/>
        <v>916037</v>
      </c>
      <c r="P366" s="79">
        <f t="shared" si="135"/>
        <v>2643806</v>
      </c>
      <c r="Q366" s="80">
        <f t="shared" si="136"/>
        <v>20155186</v>
      </c>
      <c r="R366" s="80">
        <f t="shared" si="136"/>
        <v>11379227</v>
      </c>
      <c r="S366" s="80">
        <f t="shared" si="136"/>
        <v>32331438.34</v>
      </c>
      <c r="T366" s="84">
        <f>N366/'2015'!M366-1</f>
        <v>-0.00556851461269492</v>
      </c>
      <c r="U366" s="84">
        <f>O366/'2015'!N366-1</f>
        <v>0.49559991379423</v>
      </c>
      <c r="V366" s="84">
        <f>P366/'2015'!O366-1</f>
        <v>0.110159036492648</v>
      </c>
      <c r="W366" s="85">
        <f>Q366/'2015'!P366-1</f>
        <v>0.060811434573302</v>
      </c>
      <c r="X366" s="85">
        <f>R366/'2015'!Q366-1</f>
        <v>0.0970978248702747</v>
      </c>
      <c r="Y366" s="85">
        <f>S366/'2015'!R366-1</f>
        <v>0.0768072217811124</v>
      </c>
      <c r="Z366" s="54">
        <f t="shared" si="140"/>
        <v>147.9282</v>
      </c>
      <c r="AA366" s="101">
        <f t="shared" si="128"/>
        <v>1867.5904</v>
      </c>
      <c r="AB366" s="109"/>
      <c r="AC366" s="109"/>
      <c r="AD366" s="9">
        <f t="shared" si="129"/>
        <v>20952211.34</v>
      </c>
      <c r="AE366" s="38">
        <f t="shared" si="131"/>
        <v>466885</v>
      </c>
      <c r="AF366" s="38">
        <f t="shared" si="131"/>
        <v>255071</v>
      </c>
      <c r="AG366" s="38">
        <f t="shared" si="130"/>
        <v>75069.3399999999</v>
      </c>
    </row>
    <row r="367" ht="15" customHeight="1" spans="1:33">
      <c r="A367" s="106">
        <v>42732</v>
      </c>
      <c r="B367" s="15" t="s">
        <v>35</v>
      </c>
      <c r="C367" s="33">
        <v>70494</v>
      </c>
      <c r="D367" s="34">
        <f>24269+8777</f>
        <v>33046</v>
      </c>
      <c r="E367" s="34">
        <v>104705</v>
      </c>
      <c r="F367" s="63">
        <v>5329.5</v>
      </c>
      <c r="G367" s="34">
        <v>3294.9</v>
      </c>
      <c r="H367" s="20"/>
      <c r="I367" s="20"/>
      <c r="J367" s="33">
        <f t="shared" si="125"/>
        <v>71659</v>
      </c>
      <c r="K367" s="34">
        <v>392</v>
      </c>
      <c r="L367" s="34">
        <v>599</v>
      </c>
      <c r="M367" s="34">
        <f t="shared" si="139"/>
        <v>174</v>
      </c>
      <c r="N367" s="81">
        <f t="shared" si="133"/>
        <v>1779158</v>
      </c>
      <c r="O367" s="82">
        <f t="shared" si="134"/>
        <v>949083</v>
      </c>
      <c r="P367" s="82">
        <f t="shared" si="135"/>
        <v>2748511</v>
      </c>
      <c r="Q367" s="81">
        <f t="shared" si="136"/>
        <v>20225680</v>
      </c>
      <c r="R367" s="81">
        <f t="shared" si="136"/>
        <v>11412273</v>
      </c>
      <c r="S367" s="81">
        <f t="shared" si="136"/>
        <v>32436143.34</v>
      </c>
      <c r="T367" s="86">
        <f>N367/'2015'!M367-1</f>
        <v>-0.00117501688420107</v>
      </c>
      <c r="U367" s="86">
        <f>O367/'2015'!N367-1</f>
        <v>0.488540495268925</v>
      </c>
      <c r="V367" s="86">
        <f>P367/'2015'!O367-1</f>
        <v>0.111579755376591</v>
      </c>
      <c r="W367" s="86">
        <f>Q367/'2015'!P367-1</f>
        <v>0.0610025252847155</v>
      </c>
      <c r="X367" s="86">
        <f>R367/'2015'!Q367-1</f>
        <v>0.0976271354021296</v>
      </c>
      <c r="Y367" s="86">
        <f>S367/'2015'!R367-1</f>
        <v>0.0770248088161576</v>
      </c>
      <c r="Z367" s="53">
        <f t="shared" si="140"/>
        <v>148.426</v>
      </c>
      <c r="AA367" s="53">
        <f t="shared" si="128"/>
        <v>1874.142</v>
      </c>
      <c r="AB367" s="34">
        <v>4238.4</v>
      </c>
      <c r="AC367" s="34">
        <f t="shared" si="132"/>
        <v>4421.81483578709</v>
      </c>
      <c r="AD367" s="33">
        <f t="shared" si="129"/>
        <v>21023870.34</v>
      </c>
      <c r="AE367" s="34">
        <f t="shared" si="131"/>
        <v>467277</v>
      </c>
      <c r="AF367" s="34">
        <f t="shared" si="131"/>
        <v>255670</v>
      </c>
      <c r="AG367" s="34">
        <f t="shared" si="130"/>
        <v>75243.3399999999</v>
      </c>
    </row>
    <row r="368" ht="15" customHeight="1" spans="1:33">
      <c r="A368" s="106">
        <v>42733</v>
      </c>
      <c r="B368" s="21" t="s">
        <v>36</v>
      </c>
      <c r="C368" s="9">
        <v>70304</v>
      </c>
      <c r="D368" s="38">
        <v>32788</v>
      </c>
      <c r="E368" s="38">
        <v>104791</v>
      </c>
      <c r="F368" s="59">
        <v>5294</v>
      </c>
      <c r="G368" s="38">
        <v>3279.5</v>
      </c>
      <c r="H368" s="25"/>
      <c r="I368" s="37"/>
      <c r="J368" s="9">
        <f t="shared" si="125"/>
        <v>72003</v>
      </c>
      <c r="K368" s="38">
        <v>662</v>
      </c>
      <c r="L368" s="38">
        <v>791</v>
      </c>
      <c r="M368" s="38">
        <f t="shared" si="139"/>
        <v>246</v>
      </c>
      <c r="N368" s="78">
        <f t="shared" si="133"/>
        <v>1849462</v>
      </c>
      <c r="O368" s="79">
        <f t="shared" si="134"/>
        <v>981871</v>
      </c>
      <c r="P368" s="79">
        <f t="shared" si="135"/>
        <v>2853302</v>
      </c>
      <c r="Q368" s="80">
        <f t="shared" si="136"/>
        <v>20295984</v>
      </c>
      <c r="R368" s="80">
        <f t="shared" si="136"/>
        <v>11445061</v>
      </c>
      <c r="S368" s="80">
        <f t="shared" si="136"/>
        <v>32540934.34</v>
      </c>
      <c r="T368" s="84">
        <f>N368/'2015'!M368-1</f>
        <v>0.00156831653999912</v>
      </c>
      <c r="U368" s="84">
        <f>O368/'2015'!N368-1</f>
        <v>0.482774451248518</v>
      </c>
      <c r="V368" s="84">
        <f>P368/'2015'!O368-1</f>
        <v>0.112544611124347</v>
      </c>
      <c r="W368" s="85">
        <f>Q368/'2015'!P368-1</f>
        <v>0.0610550458811521</v>
      </c>
      <c r="X368" s="85">
        <f>R368/'2015'!Q368-1</f>
        <v>0.0981831953631105</v>
      </c>
      <c r="Y368" s="85">
        <f>S368/'2015'!R368-1</f>
        <v>0.0772120137006576</v>
      </c>
      <c r="Z368" s="54">
        <f t="shared" si="140"/>
        <v>148.9238</v>
      </c>
      <c r="AA368" s="101">
        <f t="shared" si="128"/>
        <v>1880.6746</v>
      </c>
      <c r="AB368" s="109"/>
      <c r="AC368" s="109"/>
      <c r="AD368" s="9">
        <f t="shared" si="129"/>
        <v>21095873.34</v>
      </c>
      <c r="AE368" s="38">
        <f t="shared" si="131"/>
        <v>467939</v>
      </c>
      <c r="AF368" s="38">
        <f t="shared" si="131"/>
        <v>256461</v>
      </c>
      <c r="AG368" s="38">
        <f t="shared" si="130"/>
        <v>75489.3399999999</v>
      </c>
    </row>
    <row r="369" ht="15" customHeight="1" spans="1:33">
      <c r="A369" s="106">
        <v>42734</v>
      </c>
      <c r="B369" s="21" t="s">
        <v>37</v>
      </c>
      <c r="C369" s="74">
        <v>68836</v>
      </c>
      <c r="D369" s="75">
        <f>24402+8719</f>
        <v>33121</v>
      </c>
      <c r="E369" s="75">
        <v>104293</v>
      </c>
      <c r="F369" s="111">
        <v>5298.8</v>
      </c>
      <c r="G369" s="75">
        <v>3296.8</v>
      </c>
      <c r="H369" s="25"/>
      <c r="I369" s="25"/>
      <c r="J369" s="74">
        <f t="shared" si="125"/>
        <v>71172</v>
      </c>
      <c r="K369" s="75">
        <v>754</v>
      </c>
      <c r="L369" s="75">
        <v>788</v>
      </c>
      <c r="M369" s="75">
        <f t="shared" si="139"/>
        <v>794</v>
      </c>
      <c r="N369" s="78">
        <f t="shared" si="133"/>
        <v>1918298</v>
      </c>
      <c r="O369" s="79">
        <f t="shared" si="134"/>
        <v>1014992</v>
      </c>
      <c r="P369" s="79">
        <f t="shared" si="135"/>
        <v>2957595</v>
      </c>
      <c r="Q369" s="80">
        <f t="shared" si="136"/>
        <v>20364820</v>
      </c>
      <c r="R369" s="80">
        <f t="shared" si="136"/>
        <v>11478182</v>
      </c>
      <c r="S369" s="80">
        <f t="shared" si="136"/>
        <v>32645227.34</v>
      </c>
      <c r="T369" s="84">
        <f>N369/'2015'!M369-1</f>
        <v>0.00420780417325384</v>
      </c>
      <c r="U369" s="84">
        <f>O369/'2015'!N369-1</f>
        <v>0.477607160118559</v>
      </c>
      <c r="V369" s="84">
        <f>P369/'2015'!O369-1</f>
        <v>0.113940703724265</v>
      </c>
      <c r="W369" s="85">
        <f>Q369/'2015'!P369-1</f>
        <v>0.0611203424794222</v>
      </c>
      <c r="X369" s="85">
        <f>R369/'2015'!Q369-1</f>
        <v>0.0987538942301018</v>
      </c>
      <c r="Y369" s="85">
        <f>S369/'2015'!R369-1</f>
        <v>0.077439783928704</v>
      </c>
      <c r="Z369" s="101">
        <f t="shared" si="140"/>
        <v>149.4216</v>
      </c>
      <c r="AA369" s="101">
        <f t="shared" si="128"/>
        <v>1887.0604</v>
      </c>
      <c r="AB369" s="110"/>
      <c r="AC369" s="109"/>
      <c r="AD369" s="74">
        <f t="shared" si="129"/>
        <v>21167045.34</v>
      </c>
      <c r="AE369" s="75">
        <f t="shared" si="131"/>
        <v>468693</v>
      </c>
      <c r="AF369" s="75">
        <f t="shared" si="131"/>
        <v>257249</v>
      </c>
      <c r="AG369" s="75">
        <f t="shared" si="130"/>
        <v>76283.3399999999</v>
      </c>
    </row>
    <row r="370" s="1" customFormat="1" ht="15" customHeight="1" spans="1:33">
      <c r="A370" s="14">
        <v>42735</v>
      </c>
      <c r="B370" s="26" t="s">
        <v>38</v>
      </c>
      <c r="C370" s="43">
        <v>62934</v>
      </c>
      <c r="D370" s="44">
        <f>24618+8451</f>
        <v>33069</v>
      </c>
      <c r="E370" s="44">
        <v>97332</v>
      </c>
      <c r="F370" s="61">
        <v>4916.5</v>
      </c>
      <c r="G370" s="44">
        <v>3233.4</v>
      </c>
      <c r="H370" s="31"/>
      <c r="I370" s="31"/>
      <c r="J370" s="43">
        <f t="shared" si="125"/>
        <v>64263</v>
      </c>
      <c r="K370" s="44">
        <v>307</v>
      </c>
      <c r="L370" s="44">
        <v>783</v>
      </c>
      <c r="M370" s="44">
        <f t="shared" si="139"/>
        <v>239</v>
      </c>
      <c r="N370" s="91">
        <v>1981228</v>
      </c>
      <c r="O370" s="92">
        <f t="shared" si="134"/>
        <v>1048061</v>
      </c>
      <c r="P370" s="92">
        <f t="shared" si="135"/>
        <v>3054927</v>
      </c>
      <c r="Q370" s="91">
        <v>20432583</v>
      </c>
      <c r="R370" s="91">
        <v>11514781</v>
      </c>
      <c r="S370" s="91">
        <v>32749112.3</v>
      </c>
      <c r="T370" s="93">
        <f>N370/'2015'!M370-1</f>
        <v>0.00421152617010634</v>
      </c>
      <c r="U370" s="93">
        <f>O370/'2015'!N370-1</f>
        <v>0.474802468180315</v>
      </c>
      <c r="V370" s="93">
        <f>P370/'2015'!O370-1</f>
        <v>0.11367402000724</v>
      </c>
      <c r="W370" s="93">
        <f>Q370/'2015'!P370-1</f>
        <v>0.0609846790955633</v>
      </c>
      <c r="X370" s="93">
        <f>R370/'2015'!Q370-1</f>
        <v>0.0970392809459089</v>
      </c>
      <c r="Y370" s="93">
        <f>S370/'2015'!R370-1</f>
        <v>0.0766875924517518</v>
      </c>
      <c r="Z370" s="56">
        <v>149.9194</v>
      </c>
      <c r="AA370" s="56">
        <f t="shared" si="128"/>
        <v>1893.3389</v>
      </c>
      <c r="AB370" s="44">
        <v>4239</v>
      </c>
      <c r="AC370" s="44">
        <f t="shared" si="132"/>
        <v>4466.47534795942</v>
      </c>
      <c r="AD370" s="43">
        <f t="shared" si="129"/>
        <v>21234331.3</v>
      </c>
      <c r="AE370" s="113">
        <f t="shared" si="131"/>
        <v>469000</v>
      </c>
      <c r="AF370" s="44">
        <f t="shared" si="131"/>
        <v>258032</v>
      </c>
      <c r="AG370" s="44">
        <f t="shared" si="130"/>
        <v>74716.3000000007</v>
      </c>
    </row>
    <row r="371" ht="15" customHeight="1" spans="1:29">
      <c r="A371" s="21"/>
      <c r="B371" s="21"/>
      <c r="C371" s="22">
        <f>MAX(C5:C370)</f>
        <v>84776</v>
      </c>
      <c r="D371" s="8">
        <f>MAX(D5:D370)</f>
        <v>48346</v>
      </c>
      <c r="E371" s="8">
        <f>MAX(E5:E370)</f>
        <v>130825</v>
      </c>
      <c r="F371" s="23">
        <f>MAX(F5:F370)</f>
        <v>6547</v>
      </c>
      <c r="G371" s="24"/>
      <c r="H371" s="25"/>
      <c r="I371" s="37"/>
      <c r="J371" s="9"/>
      <c r="K371" s="38"/>
      <c r="L371" s="38"/>
      <c r="M371" s="38"/>
      <c r="N371" s="39"/>
      <c r="O371" s="40"/>
      <c r="P371" s="40"/>
      <c r="Q371" s="41"/>
      <c r="R371" s="40"/>
      <c r="S371" s="40"/>
      <c r="T371" s="40"/>
      <c r="U371" s="40"/>
      <c r="V371" s="40"/>
      <c r="W371" s="40"/>
      <c r="X371" s="40"/>
      <c r="Y371" s="40"/>
      <c r="Z371" s="38"/>
      <c r="AA371" s="38"/>
      <c r="AB371" s="38"/>
      <c r="AC371" s="38"/>
    </row>
    <row r="372" spans="6:11">
      <c r="F372" s="65"/>
      <c r="G372" s="65"/>
      <c r="H372" s="65"/>
      <c r="I372" s="65"/>
      <c r="J372" s="66"/>
      <c r="K372" s="66"/>
    </row>
    <row r="374" spans="7:9">
      <c r="G374" s="2" t="e">
        <f>G372/F372</f>
        <v>#DIV/0!</v>
      </c>
      <c r="I374" s="2" t="e">
        <f>I372/H372</f>
        <v>#DIV/0!</v>
      </c>
    </row>
    <row r="375" spans="1:29">
      <c r="A375" s="2" t="s">
        <v>41</v>
      </c>
      <c r="C375" s="23">
        <f>MAX(C5:C35)</f>
        <v>68431</v>
      </c>
      <c r="D375" s="23">
        <f t="shared" ref="D375:AC375" si="141">MAX(D5:D35)</f>
        <v>28628</v>
      </c>
      <c r="E375" s="23">
        <f t="shared" si="141"/>
        <v>95962</v>
      </c>
      <c r="F375" s="23">
        <f t="shared" si="141"/>
        <v>4900</v>
      </c>
      <c r="G375" s="23">
        <f t="shared" si="141"/>
        <v>2988</v>
      </c>
      <c r="H375" s="23">
        <f t="shared" si="141"/>
        <v>0</v>
      </c>
      <c r="I375" s="23">
        <f t="shared" si="141"/>
        <v>0</v>
      </c>
      <c r="J375" s="23">
        <f t="shared" si="141"/>
        <v>70615</v>
      </c>
      <c r="K375" s="23">
        <f>SUM(K5:K35)</f>
        <v>50764</v>
      </c>
      <c r="L375" s="23">
        <f>SUM(L5:L35)</f>
        <v>24583</v>
      </c>
      <c r="M375" s="23"/>
      <c r="N375" s="23">
        <f t="shared" si="141"/>
        <v>1816991</v>
      </c>
      <c r="O375" s="23">
        <f t="shared" si="141"/>
        <v>769857</v>
      </c>
      <c r="P375" s="23">
        <f t="shared" si="141"/>
        <v>2662823</v>
      </c>
      <c r="Q375" s="23">
        <f t="shared" si="141"/>
        <v>1816991</v>
      </c>
      <c r="R375" s="23">
        <f t="shared" si="141"/>
        <v>769857</v>
      </c>
      <c r="S375" s="23">
        <f t="shared" si="141"/>
        <v>2662823</v>
      </c>
      <c r="T375" s="23">
        <f t="shared" si="141"/>
        <v>-0.0416099632974556</v>
      </c>
      <c r="U375" s="23">
        <f t="shared" si="141"/>
        <v>0.192805581063157</v>
      </c>
      <c r="V375" s="23">
        <f t="shared" si="141"/>
        <v>0.00629757886585125</v>
      </c>
      <c r="W375" s="23">
        <f t="shared" si="141"/>
        <v>-0.0416099632974556</v>
      </c>
      <c r="X375" s="23">
        <f t="shared" si="141"/>
        <v>0.192805581063157</v>
      </c>
      <c r="Y375" s="23">
        <f t="shared" si="141"/>
        <v>0.00629757886585125</v>
      </c>
      <c r="Z375" s="23">
        <f t="shared" si="141"/>
        <v>19.4515</v>
      </c>
      <c r="AA375" s="23">
        <f t="shared" si="141"/>
        <v>162.2476</v>
      </c>
      <c r="AB375" s="23">
        <f t="shared" si="141"/>
        <v>4230.1</v>
      </c>
      <c r="AC375" s="23">
        <f t="shared" si="141"/>
        <v>383.554998699794</v>
      </c>
    </row>
    <row r="376" spans="1:29">
      <c r="A376" s="2" t="s">
        <v>42</v>
      </c>
      <c r="C376" s="23">
        <f>MAX(C36:C64)</f>
        <v>48888</v>
      </c>
      <c r="D376" s="23">
        <f t="shared" ref="D376:AC376" si="142">MAX(D36:D64)</f>
        <v>27164</v>
      </c>
      <c r="E376" s="23">
        <f t="shared" si="142"/>
        <v>78707</v>
      </c>
      <c r="F376" s="23">
        <f t="shared" si="142"/>
        <v>4109</v>
      </c>
      <c r="G376" s="23">
        <f t="shared" si="142"/>
        <v>2462.2</v>
      </c>
      <c r="H376" s="23">
        <f t="shared" si="142"/>
        <v>872.1</v>
      </c>
      <c r="I376" s="23">
        <f t="shared" si="142"/>
        <v>424.4</v>
      </c>
      <c r="J376" s="23">
        <f t="shared" si="142"/>
        <v>51883</v>
      </c>
      <c r="K376" s="23">
        <f>SUM(K36:K64)</f>
        <v>40712</v>
      </c>
      <c r="L376" s="23">
        <f>SUM(L36:L64)</f>
        <v>19214</v>
      </c>
      <c r="M376" s="23"/>
      <c r="N376" s="23">
        <f t="shared" si="142"/>
        <v>878887</v>
      </c>
      <c r="O376" s="23">
        <f t="shared" si="142"/>
        <v>593161</v>
      </c>
      <c r="P376" s="23">
        <f t="shared" si="142"/>
        <v>1536859</v>
      </c>
      <c r="Q376" s="23">
        <f t="shared" si="142"/>
        <v>2695234</v>
      </c>
      <c r="R376" s="23">
        <f t="shared" si="142"/>
        <v>1363018</v>
      </c>
      <c r="S376" s="23">
        <f t="shared" si="142"/>
        <v>4199682</v>
      </c>
      <c r="T376" s="23">
        <f t="shared" si="142"/>
        <v>-0.0655228216120581</v>
      </c>
      <c r="U376" s="23">
        <f t="shared" si="142"/>
        <v>0.160618933107403</v>
      </c>
      <c r="V376" s="23">
        <f t="shared" si="142"/>
        <v>0.0378845742155554</v>
      </c>
      <c r="W376" s="23">
        <f t="shared" si="142"/>
        <v>-0.116140239149391</v>
      </c>
      <c r="X376" s="23">
        <f t="shared" si="142"/>
        <v>0.174438254341521</v>
      </c>
      <c r="Y376" s="23">
        <f t="shared" si="142"/>
        <v>-0.0177073987203032</v>
      </c>
      <c r="Z376" s="23">
        <f t="shared" si="142"/>
        <v>28.07</v>
      </c>
      <c r="AA376" s="23">
        <f t="shared" si="142"/>
        <v>241.4534</v>
      </c>
      <c r="AB376" s="23">
        <f t="shared" si="142"/>
        <v>4230.1</v>
      </c>
      <c r="AC376" s="23">
        <f t="shared" si="142"/>
        <v>570.798326280703</v>
      </c>
    </row>
    <row r="377" spans="1:29">
      <c r="A377" s="2" t="s">
        <v>43</v>
      </c>
      <c r="C377" s="23">
        <f>MAX(C65:C95)</f>
        <v>70475</v>
      </c>
      <c r="D377" s="23">
        <f t="shared" ref="D377:AC377" si="143">MAX(D65:D95)</f>
        <v>29545</v>
      </c>
      <c r="E377" s="23">
        <f t="shared" si="143"/>
        <v>95082</v>
      </c>
      <c r="F377" s="23">
        <f t="shared" si="143"/>
        <v>4946</v>
      </c>
      <c r="G377" s="23">
        <f t="shared" si="143"/>
        <v>3108.5</v>
      </c>
      <c r="H377" s="23">
        <f t="shared" si="143"/>
        <v>1420</v>
      </c>
      <c r="I377" s="23">
        <f t="shared" si="143"/>
        <v>850</v>
      </c>
      <c r="J377" s="23">
        <f t="shared" si="143"/>
        <v>73407</v>
      </c>
      <c r="K377" s="23">
        <f>SUM(K65:K95)</f>
        <v>36133</v>
      </c>
      <c r="L377" s="23">
        <f>SUM(L65:L95)</f>
        <v>24534</v>
      </c>
      <c r="M377" s="23"/>
      <c r="N377" s="23">
        <f t="shared" si="143"/>
        <v>1919573</v>
      </c>
      <c r="O377" s="23">
        <f t="shared" si="143"/>
        <v>765807</v>
      </c>
      <c r="P377" s="23">
        <f t="shared" si="143"/>
        <v>2749953</v>
      </c>
      <c r="Q377" s="23">
        <f t="shared" si="143"/>
        <v>4614807</v>
      </c>
      <c r="R377" s="23">
        <f t="shared" si="143"/>
        <v>2128927</v>
      </c>
      <c r="S377" s="23">
        <f t="shared" si="143"/>
        <v>6949159</v>
      </c>
      <c r="T377" s="23">
        <f t="shared" si="143"/>
        <v>0.947544642857143</v>
      </c>
      <c r="U377" s="23">
        <f t="shared" si="143"/>
        <v>0.191608644542906</v>
      </c>
      <c r="V377" s="23">
        <f t="shared" si="143"/>
        <v>0.627056924651602</v>
      </c>
      <c r="W377" s="23">
        <f t="shared" si="143"/>
        <v>-0.0195928176381247</v>
      </c>
      <c r="X377" s="23">
        <f t="shared" si="143"/>
        <v>0.170091779896682</v>
      </c>
      <c r="Y377" s="23">
        <f t="shared" si="143"/>
        <v>0.0382586670682985</v>
      </c>
      <c r="Z377" s="23">
        <f t="shared" si="143"/>
        <v>47.4257</v>
      </c>
      <c r="AA377" s="23">
        <f t="shared" si="143"/>
        <v>414.055</v>
      </c>
      <c r="AB377" s="23">
        <f t="shared" si="143"/>
        <v>4230.1</v>
      </c>
      <c r="AC377" s="23">
        <f t="shared" si="143"/>
        <v>978.830287700054</v>
      </c>
    </row>
    <row r="378" spans="1:29">
      <c r="A378" s="2" t="s">
        <v>44</v>
      </c>
      <c r="C378" s="23">
        <f>MAX(C96:C125)</f>
        <v>60328</v>
      </c>
      <c r="D378" s="23">
        <f t="shared" ref="D378:AC378" si="144">MAX(D96:D125)</f>
        <v>27589</v>
      </c>
      <c r="E378" s="23">
        <f t="shared" si="144"/>
        <v>88149</v>
      </c>
      <c r="F378" s="23">
        <f t="shared" si="144"/>
        <v>4479</v>
      </c>
      <c r="G378" s="23">
        <f t="shared" si="144"/>
        <v>2974.7</v>
      </c>
      <c r="H378" s="23">
        <f t="shared" si="144"/>
        <v>1403.1</v>
      </c>
      <c r="I378" s="23">
        <f t="shared" si="144"/>
        <v>793.9</v>
      </c>
      <c r="J378" s="23">
        <f t="shared" si="144"/>
        <v>62251</v>
      </c>
      <c r="K378" s="23">
        <f>SUM(K96:K125)</f>
        <v>64012</v>
      </c>
      <c r="L378" s="23">
        <f>SUM(L96:L125)</f>
        <v>23752</v>
      </c>
      <c r="M378" s="23"/>
      <c r="N378" s="23">
        <f t="shared" si="144"/>
        <v>1638832</v>
      </c>
      <c r="O378" s="23">
        <f t="shared" si="144"/>
        <v>758190</v>
      </c>
      <c r="P378" s="23">
        <f t="shared" si="144"/>
        <v>2488877</v>
      </c>
      <c r="Q378" s="23">
        <f t="shared" si="144"/>
        <v>6253639</v>
      </c>
      <c r="R378" s="23">
        <f t="shared" si="144"/>
        <v>2887117</v>
      </c>
      <c r="S378" s="23">
        <f t="shared" si="144"/>
        <v>9438036</v>
      </c>
      <c r="T378" s="23">
        <f t="shared" si="144"/>
        <v>0.0331691645042278</v>
      </c>
      <c r="U378" s="23">
        <f t="shared" si="144"/>
        <v>0.0307697224652532</v>
      </c>
      <c r="V378" s="23">
        <f t="shared" si="144"/>
        <v>0.0290687493433264</v>
      </c>
      <c r="W378" s="23">
        <f t="shared" si="144"/>
        <v>-0.0181217223229856</v>
      </c>
      <c r="X378" s="23">
        <f t="shared" si="144"/>
        <v>0.135708376057033</v>
      </c>
      <c r="Y378" s="23">
        <f t="shared" si="144"/>
        <v>0.0378420437263816</v>
      </c>
      <c r="Z378" s="23">
        <f t="shared" si="144"/>
        <v>61.1689</v>
      </c>
      <c r="AA378" s="23">
        <f t="shared" si="144"/>
        <v>564.195</v>
      </c>
      <c r="AB378" s="23">
        <f t="shared" si="144"/>
        <v>4230.1</v>
      </c>
      <c r="AC378" s="23" t="e">
        <f t="shared" si="144"/>
        <v>#DIV/0!</v>
      </c>
    </row>
    <row r="379" spans="1:29">
      <c r="A379" s="2" t="s">
        <v>45</v>
      </c>
      <c r="C379" s="23">
        <f>MAX(C126:C156)</f>
        <v>59874</v>
      </c>
      <c r="D379" s="23">
        <f t="shared" ref="D379:AC379" si="145">MAX(D126:D156)</f>
        <v>26509</v>
      </c>
      <c r="E379" s="23">
        <f t="shared" si="145"/>
        <v>87893</v>
      </c>
      <c r="F379" s="23">
        <f t="shared" si="145"/>
        <v>4423</v>
      </c>
      <c r="G379" s="23">
        <f t="shared" si="145"/>
        <v>4246</v>
      </c>
      <c r="H379" s="23">
        <f t="shared" si="145"/>
        <v>0</v>
      </c>
      <c r="I379" s="23">
        <f t="shared" si="145"/>
        <v>0</v>
      </c>
      <c r="J379" s="23">
        <f t="shared" si="145"/>
        <v>63165</v>
      </c>
      <c r="K379" s="23">
        <f>SUM(K126:K156)</f>
        <v>83645</v>
      </c>
      <c r="L379" s="23">
        <f>SUM(L126:L156)</f>
        <v>24523</v>
      </c>
      <c r="M379" s="23"/>
      <c r="N379" s="23">
        <f t="shared" si="145"/>
        <v>1659864</v>
      </c>
      <c r="O379" s="23">
        <f t="shared" si="145"/>
        <v>757258</v>
      </c>
      <c r="P379" s="23">
        <f t="shared" si="145"/>
        <v>2530376</v>
      </c>
      <c r="Q379" s="23">
        <f t="shared" si="145"/>
        <v>7913503</v>
      </c>
      <c r="R379" s="23">
        <f t="shared" si="145"/>
        <v>3644375</v>
      </c>
      <c r="S379" s="23">
        <f t="shared" si="145"/>
        <v>11968412</v>
      </c>
      <c r="T379" s="23">
        <f t="shared" si="145"/>
        <v>-0.0529717442951136</v>
      </c>
      <c r="U379" s="23">
        <f t="shared" si="145"/>
        <v>0.0769394487602426</v>
      </c>
      <c r="V379" s="23">
        <f t="shared" si="145"/>
        <v>-0.0183285356258874</v>
      </c>
      <c r="W379" s="23">
        <f t="shared" si="145"/>
        <v>-0.0345942975724162</v>
      </c>
      <c r="X379" s="23">
        <f t="shared" si="145"/>
        <v>0.0901042164642891</v>
      </c>
      <c r="Y379" s="23">
        <f t="shared" si="145"/>
        <v>0.0166216964328825</v>
      </c>
      <c r="Z379" s="23">
        <f t="shared" si="145"/>
        <v>73.1677</v>
      </c>
      <c r="AA379" s="23">
        <f t="shared" si="145"/>
        <v>718.1826</v>
      </c>
      <c r="AB379" s="23">
        <f t="shared" si="145"/>
        <v>4230.1</v>
      </c>
      <c r="AC379" s="23">
        <f t="shared" si="145"/>
        <v>1697.79106876906</v>
      </c>
    </row>
    <row r="380" spans="1:29">
      <c r="A380" s="2" t="s">
        <v>46</v>
      </c>
      <c r="C380" s="23">
        <f>MAX(C157:C186)</f>
        <v>71944</v>
      </c>
      <c r="D380" s="23">
        <f t="shared" ref="D380:AC380" si="146">MAX(D157:D186)</f>
        <v>39035</v>
      </c>
      <c r="E380" s="23">
        <f t="shared" si="146"/>
        <v>110680</v>
      </c>
      <c r="F380" s="23">
        <f t="shared" si="146"/>
        <v>5480</v>
      </c>
      <c r="G380" s="23">
        <f t="shared" si="146"/>
        <v>3723</v>
      </c>
      <c r="H380" s="23">
        <f t="shared" si="146"/>
        <v>0</v>
      </c>
      <c r="I380" s="23">
        <f t="shared" si="146"/>
        <v>0</v>
      </c>
      <c r="J380" s="23">
        <f t="shared" si="146"/>
        <v>74948</v>
      </c>
      <c r="K380" s="23">
        <f>SUM(K157:K186)</f>
        <v>49237</v>
      </c>
      <c r="L380" s="23">
        <f>SUM(L157:L186)</f>
        <v>23573</v>
      </c>
      <c r="M380" s="23"/>
      <c r="N380" s="23">
        <f t="shared" si="146"/>
        <v>1581948</v>
      </c>
      <c r="O380" s="23">
        <f t="shared" si="146"/>
        <v>996425</v>
      </c>
      <c r="P380" s="23">
        <f t="shared" si="146"/>
        <v>2651030</v>
      </c>
      <c r="Q380" s="23">
        <f t="shared" si="146"/>
        <v>9495451</v>
      </c>
      <c r="R380" s="23">
        <f t="shared" si="146"/>
        <v>4640800</v>
      </c>
      <c r="S380" s="23">
        <f t="shared" si="146"/>
        <v>14619442</v>
      </c>
      <c r="T380" s="23">
        <f t="shared" si="146"/>
        <v>0.0670873259747435</v>
      </c>
      <c r="U380" s="23">
        <f t="shared" si="146"/>
        <v>0.166863881986353</v>
      </c>
      <c r="V380" s="23">
        <f t="shared" si="146"/>
        <v>0.0657509769381845</v>
      </c>
      <c r="W380" s="23">
        <f t="shared" si="146"/>
        <v>-0.024747984020893</v>
      </c>
      <c r="X380" s="23">
        <f t="shared" si="146"/>
        <v>0.0734943240069341</v>
      </c>
      <c r="Y380" s="23">
        <f t="shared" si="146"/>
        <v>0.0174685397981151</v>
      </c>
      <c r="Z380" s="23">
        <f t="shared" si="146"/>
        <v>84.507</v>
      </c>
      <c r="AA380" s="23">
        <f t="shared" si="146"/>
        <v>865.0381</v>
      </c>
      <c r="AB380" s="23">
        <f t="shared" si="146"/>
        <v>4233.1</v>
      </c>
      <c r="AC380" s="23">
        <f t="shared" si="146"/>
        <v>2043.50972100824</v>
      </c>
    </row>
    <row r="381" spans="1:29">
      <c r="A381" s="2" t="s">
        <v>47</v>
      </c>
      <c r="C381" s="23">
        <f>MAX(C187:C217)</f>
        <v>82261</v>
      </c>
      <c r="D381" s="23">
        <f t="shared" ref="D381:AC381" si="147">MAX(D187:D217)</f>
        <v>48346</v>
      </c>
      <c r="E381" s="23">
        <f t="shared" si="147"/>
        <v>130825</v>
      </c>
      <c r="F381" s="23">
        <f t="shared" si="147"/>
        <v>6547</v>
      </c>
      <c r="G381" s="23">
        <f t="shared" si="147"/>
        <v>4309.5</v>
      </c>
      <c r="H381" s="23">
        <f t="shared" si="147"/>
        <v>0</v>
      </c>
      <c r="I381" s="23">
        <f t="shared" si="147"/>
        <v>0</v>
      </c>
      <c r="J381" s="23">
        <f t="shared" si="147"/>
        <v>84168</v>
      </c>
      <c r="K381" s="23">
        <f>SUM(K187:K217)</f>
        <v>35039.6600000002</v>
      </c>
      <c r="L381" s="23">
        <f>SUM(L187:L217)</f>
        <v>23586</v>
      </c>
      <c r="M381" s="23"/>
      <c r="N381" s="23">
        <f t="shared" si="147"/>
        <v>2126940</v>
      </c>
      <c r="O381" s="23">
        <f t="shared" si="147"/>
        <v>1325048</v>
      </c>
      <c r="P381" s="23">
        <f t="shared" si="147"/>
        <v>3518459.18</v>
      </c>
      <c r="Q381" s="23">
        <f t="shared" si="147"/>
        <v>11622391</v>
      </c>
      <c r="R381" s="23">
        <f t="shared" si="147"/>
        <v>5965848</v>
      </c>
      <c r="S381" s="23">
        <f t="shared" si="147"/>
        <v>18137901.34</v>
      </c>
      <c r="T381" s="23">
        <f t="shared" si="147"/>
        <v>0.571116621283319</v>
      </c>
      <c r="U381" s="23">
        <f t="shared" si="147"/>
        <v>0.162773499670434</v>
      </c>
      <c r="V381" s="23">
        <f t="shared" si="147"/>
        <v>0.339944570956005</v>
      </c>
      <c r="W381" s="23">
        <f t="shared" si="147"/>
        <v>0.0216063978431487</v>
      </c>
      <c r="X381" s="23">
        <f t="shared" si="147"/>
        <v>0.0837006613903184</v>
      </c>
      <c r="Y381" s="23">
        <f t="shared" si="147"/>
        <v>0.0516673285283853</v>
      </c>
      <c r="Z381" s="23">
        <f t="shared" si="147"/>
        <v>101.583816</v>
      </c>
      <c r="AA381" s="23">
        <f t="shared" si="147"/>
        <v>1060.655284</v>
      </c>
      <c r="AB381" s="23">
        <f t="shared" si="147"/>
        <v>4234</v>
      </c>
      <c r="AC381" s="23">
        <f t="shared" si="147"/>
        <v>2505.09042040624</v>
      </c>
    </row>
  </sheetData>
  <mergeCells count="7">
    <mergeCell ref="F1:G1"/>
    <mergeCell ref="A2:B2"/>
    <mergeCell ref="C2:M2"/>
    <mergeCell ref="N2:P2"/>
    <mergeCell ref="Q2:S2"/>
    <mergeCell ref="T2:V2"/>
    <mergeCell ref="W2:Y2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74"/>
  <sheetViews>
    <sheetView workbookViewId="0">
      <pane xSplit="2" ySplit="4" topLeftCell="C342" activePane="bottomRight" state="frozen"/>
      <selection/>
      <selection pane="topRight"/>
      <selection pane="bottomLeft"/>
      <selection pane="bottomRight" activeCell="E372" sqref="E372"/>
    </sheetView>
  </sheetViews>
  <sheetFormatPr defaultColWidth="9" defaultRowHeight="14.25"/>
  <cols>
    <col min="1" max="1" width="9.625" style="2" customWidth="1"/>
    <col min="2" max="2" width="6" style="2" customWidth="1"/>
    <col min="3" max="3" width="10.375" style="2" customWidth="1"/>
    <col min="4" max="4" width="8.75" style="2" customWidth="1"/>
    <col min="5" max="6" width="9.5" style="2" customWidth="1"/>
    <col min="7" max="7" width="8.625" style="2" customWidth="1"/>
    <col min="8" max="8" width="7.375" style="2" hidden="1" customWidth="1"/>
    <col min="9" max="9" width="8.75" style="2" hidden="1" customWidth="1"/>
    <col min="10" max="10" width="11.25" style="2" customWidth="1"/>
    <col min="11" max="12" width="9" style="2"/>
    <col min="13" max="13" width="8.875" style="2" customWidth="1"/>
    <col min="14" max="14" width="9" style="2"/>
    <col min="15" max="15" width="10.625" style="2" customWidth="1"/>
    <col min="16" max="16" width="10" style="3" customWidth="1"/>
    <col min="17" max="17" width="10.125" style="2" customWidth="1"/>
    <col min="18" max="24" width="10.625" style="2" customWidth="1"/>
    <col min="25" max="25" width="7.875" style="2" customWidth="1"/>
    <col min="26" max="26" width="9.25" style="2" customWidth="1"/>
    <col min="27" max="28" width="8.125" style="2" customWidth="1"/>
    <col min="29" max="29" width="10.5" style="67" customWidth="1"/>
    <col min="30" max="30" width="9.125" style="2" customWidth="1"/>
    <col min="31" max="31" width="9" style="2"/>
    <col min="32" max="32" width="10.5" style="2" customWidth="1"/>
    <col min="33" max="16384" width="9" style="2"/>
  </cols>
  <sheetData>
    <row r="1" ht="15" customHeight="1" spans="1:28">
      <c r="A1" s="4" t="s">
        <v>63</v>
      </c>
      <c r="B1" s="4"/>
      <c r="C1" s="4"/>
      <c r="D1" s="4"/>
      <c r="E1" s="4"/>
      <c r="F1" s="68"/>
      <c r="G1" s="68"/>
      <c r="H1" s="6"/>
      <c r="I1" s="32"/>
      <c r="M1" s="68"/>
      <c r="N1" s="4"/>
      <c r="O1" s="68"/>
      <c r="P1" s="4"/>
      <c r="Q1" s="4"/>
      <c r="R1" s="68"/>
      <c r="S1" s="68"/>
      <c r="T1" s="68"/>
      <c r="U1" s="68"/>
      <c r="V1" s="68"/>
      <c r="W1" s="68"/>
      <c r="X1" s="68"/>
      <c r="Y1" s="32"/>
      <c r="Z1" s="32"/>
      <c r="AA1" s="32"/>
      <c r="AB1" s="32"/>
    </row>
    <row r="2" ht="15" customHeight="1" spans="1:28">
      <c r="A2" s="7"/>
      <c r="B2" s="7"/>
      <c r="C2" s="68" t="s">
        <v>1</v>
      </c>
      <c r="D2" s="68"/>
      <c r="E2" s="68"/>
      <c r="F2" s="68"/>
      <c r="G2" s="68"/>
      <c r="H2" s="68"/>
      <c r="I2" s="68"/>
      <c r="J2" s="68"/>
      <c r="K2" s="68"/>
      <c r="L2" s="68"/>
      <c r="M2" s="7" t="s">
        <v>2</v>
      </c>
      <c r="N2" s="7"/>
      <c r="O2" s="7"/>
      <c r="P2" s="7" t="s">
        <v>3</v>
      </c>
      <c r="Q2" s="7"/>
      <c r="R2" s="7"/>
      <c r="S2" s="7" t="s">
        <v>4</v>
      </c>
      <c r="T2" s="7"/>
      <c r="U2" s="7"/>
      <c r="V2" s="7" t="s">
        <v>5</v>
      </c>
      <c r="W2" s="7"/>
      <c r="X2" s="7"/>
      <c r="Y2" s="32"/>
      <c r="Z2" s="32"/>
      <c r="AA2" s="32"/>
      <c r="AB2" s="32"/>
    </row>
    <row r="3" ht="24.75" customHeight="1" spans="1:28">
      <c r="A3" s="9" t="s">
        <v>6</v>
      </c>
      <c r="B3" s="9" t="s">
        <v>7</v>
      </c>
      <c r="C3" s="69" t="s">
        <v>8</v>
      </c>
      <c r="D3" s="69" t="s">
        <v>9</v>
      </c>
      <c r="E3" s="69" t="s">
        <v>10</v>
      </c>
      <c r="F3" s="11" t="s">
        <v>11</v>
      </c>
      <c r="G3" s="8" t="s">
        <v>12</v>
      </c>
      <c r="H3" s="12" t="s">
        <v>13</v>
      </c>
      <c r="I3" s="12" t="s">
        <v>14</v>
      </c>
      <c r="J3" s="8" t="s">
        <v>15</v>
      </c>
      <c r="K3" s="8" t="s">
        <v>16</v>
      </c>
      <c r="L3" s="8" t="s">
        <v>17</v>
      </c>
      <c r="M3" s="69" t="s">
        <v>8</v>
      </c>
      <c r="N3" s="69" t="s">
        <v>9</v>
      </c>
      <c r="O3" s="69" t="s">
        <v>10</v>
      </c>
      <c r="P3" s="69" t="s">
        <v>8</v>
      </c>
      <c r="Q3" s="69" t="s">
        <v>9</v>
      </c>
      <c r="R3" s="69" t="s">
        <v>10</v>
      </c>
      <c r="S3" s="69" t="s">
        <v>8</v>
      </c>
      <c r="T3" s="69" t="s">
        <v>9</v>
      </c>
      <c r="U3" s="69" t="s">
        <v>10</v>
      </c>
      <c r="V3" s="69" t="s">
        <v>8</v>
      </c>
      <c r="W3" s="69" t="s">
        <v>9</v>
      </c>
      <c r="X3" s="69" t="s">
        <v>10</v>
      </c>
      <c r="Y3" s="51" t="s">
        <v>19</v>
      </c>
      <c r="Z3" s="51" t="s">
        <v>20</v>
      </c>
      <c r="AA3" s="52" t="s">
        <v>21</v>
      </c>
      <c r="AB3" s="52" t="s">
        <v>22</v>
      </c>
    </row>
    <row r="4" ht="15" customHeight="1" spans="1:32">
      <c r="A4" s="9"/>
      <c r="B4" s="9"/>
      <c r="C4" s="8" t="s">
        <v>29</v>
      </c>
      <c r="D4" s="8" t="s">
        <v>29</v>
      </c>
      <c r="E4" s="8" t="s">
        <v>29</v>
      </c>
      <c r="F4" s="13" t="s">
        <v>30</v>
      </c>
      <c r="G4" s="9" t="s">
        <v>30</v>
      </c>
      <c r="H4" s="9" t="s">
        <v>30</v>
      </c>
      <c r="I4" s="9" t="s">
        <v>30</v>
      </c>
      <c r="J4" s="9" t="s">
        <v>29</v>
      </c>
      <c r="K4" s="9" t="s">
        <v>29</v>
      </c>
      <c r="L4" s="9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31</v>
      </c>
      <c r="T4" s="8" t="s">
        <v>31</v>
      </c>
      <c r="U4" s="8" t="s">
        <v>31</v>
      </c>
      <c r="V4" s="8" t="s">
        <v>31</v>
      </c>
      <c r="W4" s="8" t="s">
        <v>31</v>
      </c>
      <c r="X4" s="8" t="s">
        <v>31</v>
      </c>
      <c r="Y4" s="8" t="s">
        <v>29</v>
      </c>
      <c r="Z4" s="8" t="s">
        <v>29</v>
      </c>
      <c r="AA4" s="9" t="s">
        <v>30</v>
      </c>
      <c r="AB4" s="9" t="s">
        <v>33</v>
      </c>
      <c r="AC4" s="87" t="s">
        <v>64</v>
      </c>
      <c r="AD4" s="88" t="s">
        <v>65</v>
      </c>
      <c r="AE4" s="88" t="s">
        <v>66</v>
      </c>
      <c r="AF4" s="88" t="s">
        <v>67</v>
      </c>
    </row>
    <row r="5" ht="15" customHeight="1" spans="1:28">
      <c r="A5" s="14">
        <v>42005</v>
      </c>
      <c r="B5" s="21" t="s">
        <v>36</v>
      </c>
      <c r="C5" s="70">
        <v>48498</v>
      </c>
      <c r="D5" s="71">
        <v>18968</v>
      </c>
      <c r="E5" s="71">
        <v>68439</v>
      </c>
      <c r="F5" s="72">
        <v>3186.4</v>
      </c>
      <c r="G5" s="73">
        <v>2570.4</v>
      </c>
      <c r="H5" s="25">
        <v>1006.8</v>
      </c>
      <c r="I5" s="25">
        <v>650.2</v>
      </c>
      <c r="J5" s="74">
        <f t="shared" ref="J5:J63" si="0">E5-D5</f>
        <v>49471</v>
      </c>
      <c r="K5" s="75">
        <f t="shared" ref="K5:K63" si="1">J5-C5-L5</f>
        <v>180</v>
      </c>
      <c r="L5" s="75">
        <v>793</v>
      </c>
      <c r="M5" s="76">
        <f>C5</f>
        <v>48498</v>
      </c>
      <c r="N5" s="77">
        <f>D5</f>
        <v>18968</v>
      </c>
      <c r="O5" s="77">
        <f>E5</f>
        <v>68439</v>
      </c>
      <c r="P5" s="76">
        <f>M5</f>
        <v>48498</v>
      </c>
      <c r="Q5" s="76">
        <f>N5</f>
        <v>18968</v>
      </c>
      <c r="R5" s="76">
        <f>O5</f>
        <v>68439</v>
      </c>
      <c r="S5" s="83">
        <f>M5/'[21]2014'!M5-1</f>
        <v>-0.0936308589369814</v>
      </c>
      <c r="T5" s="83">
        <f>N5/'[21]2014'!N5-1</f>
        <v>0.129383745162251</v>
      </c>
      <c r="U5" s="83">
        <f>O5/'[21]2014'!O5-1</f>
        <v>-0.040139689485421</v>
      </c>
      <c r="V5" s="83">
        <f>P5/'[21]2014'!P5-1</f>
        <v>-0.0936308589369814</v>
      </c>
      <c r="W5" s="83">
        <f>Q5/'[21]2014'!Q5-1</f>
        <v>0.129383745162251</v>
      </c>
      <c r="X5" s="83">
        <f>R5/'[21]2014'!R5-1</f>
        <v>-0.040139689485421</v>
      </c>
      <c r="Y5" s="75"/>
      <c r="Z5" s="75"/>
      <c r="AA5" s="89">
        <v>3890.092</v>
      </c>
      <c r="AB5" s="75"/>
    </row>
    <row r="6" ht="15" customHeight="1" spans="1:28">
      <c r="A6" s="21">
        <v>42006</v>
      </c>
      <c r="B6" s="21" t="s">
        <v>37</v>
      </c>
      <c r="C6" s="22">
        <v>59168</v>
      </c>
      <c r="D6" s="8">
        <v>19356</v>
      </c>
      <c r="E6" s="8">
        <v>79397</v>
      </c>
      <c r="F6" s="23">
        <v>4049.8</v>
      </c>
      <c r="G6" s="24">
        <v>2323</v>
      </c>
      <c r="H6" s="25">
        <v>1063.3</v>
      </c>
      <c r="I6" s="37">
        <v>586.3</v>
      </c>
      <c r="J6" s="9">
        <f t="shared" si="0"/>
        <v>60041</v>
      </c>
      <c r="K6" s="38">
        <f t="shared" si="1"/>
        <v>80</v>
      </c>
      <c r="L6" s="38">
        <v>793</v>
      </c>
      <c r="M6" s="78">
        <f t="shared" ref="M6:O21" si="2">M5+C6</f>
        <v>107666</v>
      </c>
      <c r="N6" s="79">
        <f t="shared" si="2"/>
        <v>38324</v>
      </c>
      <c r="O6" s="79">
        <f t="shared" si="2"/>
        <v>147836</v>
      </c>
      <c r="P6" s="80">
        <f t="shared" ref="P6:R35" si="3">M6</f>
        <v>107666</v>
      </c>
      <c r="Q6" s="80">
        <f t="shared" si="3"/>
        <v>38324</v>
      </c>
      <c r="R6" s="80">
        <f t="shared" si="3"/>
        <v>147836</v>
      </c>
      <c r="S6" s="84">
        <f>M6/'[21]2014'!M6-1</f>
        <v>-0.0877077031275155</v>
      </c>
      <c r="T6" s="84">
        <f>N6/'[21]2014'!N6-1</f>
        <v>0.0935030102433874</v>
      </c>
      <c r="U6" s="84">
        <f>O6/'[21]2014'!O6-1</f>
        <v>-0.0466376041478577</v>
      </c>
      <c r="V6" s="85">
        <f>P6/'[21]2014'!P6-1</f>
        <v>-0.0877077031275155</v>
      </c>
      <c r="W6" s="85">
        <f>Q6/'[21]2014'!Q6-1</f>
        <v>0.0935030102433874</v>
      </c>
      <c r="X6" s="85">
        <f>R6/'[21]2014'!R6-1</f>
        <v>-0.0466376041478577</v>
      </c>
      <c r="Y6" s="38"/>
      <c r="Z6" s="38"/>
      <c r="AA6" s="38"/>
      <c r="AB6" s="38"/>
    </row>
    <row r="7" ht="15" customHeight="1" spans="1:28">
      <c r="A7" s="21">
        <v>42007</v>
      </c>
      <c r="B7" s="21" t="s">
        <v>38</v>
      </c>
      <c r="C7" s="22">
        <v>66782</v>
      </c>
      <c r="D7" s="8">
        <v>19527</v>
      </c>
      <c r="E7" s="8">
        <v>87685</v>
      </c>
      <c r="F7" s="23">
        <v>4552.4</v>
      </c>
      <c r="G7" s="24">
        <v>2678.4</v>
      </c>
      <c r="H7" s="25">
        <v>1241.3</v>
      </c>
      <c r="I7" s="37">
        <v>616.3</v>
      </c>
      <c r="J7" s="9">
        <f t="shared" si="0"/>
        <v>68158</v>
      </c>
      <c r="K7" s="38">
        <f t="shared" si="1"/>
        <v>583</v>
      </c>
      <c r="L7" s="38">
        <v>793</v>
      </c>
      <c r="M7" s="78">
        <f t="shared" si="2"/>
        <v>174448</v>
      </c>
      <c r="N7" s="79">
        <f t="shared" si="2"/>
        <v>57851</v>
      </c>
      <c r="O7" s="79">
        <f t="shared" si="2"/>
        <v>235521</v>
      </c>
      <c r="P7" s="80">
        <f t="shared" si="3"/>
        <v>174448</v>
      </c>
      <c r="Q7" s="80">
        <f t="shared" si="3"/>
        <v>57851</v>
      </c>
      <c r="R7" s="80">
        <f t="shared" si="3"/>
        <v>235521</v>
      </c>
      <c r="S7" s="84">
        <f>M7/'[21]2014'!M7-1</f>
        <v>-0.0415734966898332</v>
      </c>
      <c r="T7" s="84">
        <f>N7/'[21]2014'!N7-1</f>
        <v>0.0280966767371602</v>
      </c>
      <c r="U7" s="84">
        <f>O7/'[21]2014'!O7-1</f>
        <v>-0.0238523516636548</v>
      </c>
      <c r="V7" s="85">
        <f>P7/'[21]2014'!P7-1</f>
        <v>-0.0415734966898332</v>
      </c>
      <c r="W7" s="85">
        <f>Q7/'[21]2014'!Q7-1</f>
        <v>0.0280966767371602</v>
      </c>
      <c r="X7" s="85">
        <f>R7/'[21]2014'!R7-1</f>
        <v>-0.0238523516636548</v>
      </c>
      <c r="Y7" s="38"/>
      <c r="Z7" s="38"/>
      <c r="AA7" s="38"/>
      <c r="AB7" s="38"/>
    </row>
    <row r="8" ht="15" customHeight="1" spans="1:28">
      <c r="A8" s="21">
        <v>42008</v>
      </c>
      <c r="B8" s="21" t="s">
        <v>1</v>
      </c>
      <c r="C8" s="22">
        <v>65676</v>
      </c>
      <c r="D8" s="8">
        <v>21441</v>
      </c>
      <c r="E8" s="8">
        <v>88720</v>
      </c>
      <c r="F8" s="23">
        <v>4641.1</v>
      </c>
      <c r="G8" s="24">
        <v>2826.9</v>
      </c>
      <c r="H8" s="25">
        <v>1324.9</v>
      </c>
      <c r="I8" s="37">
        <v>654.2</v>
      </c>
      <c r="J8" s="9">
        <f t="shared" si="0"/>
        <v>67279</v>
      </c>
      <c r="K8" s="38">
        <f t="shared" si="1"/>
        <v>810</v>
      </c>
      <c r="L8" s="38">
        <v>793</v>
      </c>
      <c r="M8" s="78">
        <f t="shared" si="2"/>
        <v>240124</v>
      </c>
      <c r="N8" s="79">
        <f t="shared" si="2"/>
        <v>79292</v>
      </c>
      <c r="O8" s="79">
        <f t="shared" si="2"/>
        <v>324241</v>
      </c>
      <c r="P8" s="80">
        <f t="shared" si="3"/>
        <v>240124</v>
      </c>
      <c r="Q8" s="80">
        <f t="shared" si="3"/>
        <v>79292</v>
      </c>
      <c r="R8" s="80">
        <f t="shared" si="3"/>
        <v>324241</v>
      </c>
      <c r="S8" s="84">
        <f>M8/'[21]2014'!M8-1</f>
        <v>-0.0326279192500292</v>
      </c>
      <c r="T8" s="84">
        <f>N8/'[21]2014'!N8-1</f>
        <v>0.0379756777630873</v>
      </c>
      <c r="U8" s="84">
        <f>O8/'[21]2014'!O8-1</f>
        <v>-0.0131272180524358</v>
      </c>
      <c r="V8" s="85">
        <f>P8/'[21]2014'!P8-1</f>
        <v>-0.0326279192500292</v>
      </c>
      <c r="W8" s="85">
        <f>Q8/'[21]2014'!Q8-1</f>
        <v>0.0379756777630873</v>
      </c>
      <c r="X8" s="85">
        <f>R8/'[21]2014'!R8-1</f>
        <v>-0.0131272180524358</v>
      </c>
      <c r="Y8" s="38"/>
      <c r="Z8" s="38"/>
      <c r="AA8" s="38"/>
      <c r="AB8" s="38"/>
    </row>
    <row r="9" ht="15" customHeight="1" spans="1:28">
      <c r="A9" s="21">
        <v>42009</v>
      </c>
      <c r="B9" s="21" t="s">
        <v>39</v>
      </c>
      <c r="C9" s="22">
        <v>68162</v>
      </c>
      <c r="D9" s="8">
        <v>20491</v>
      </c>
      <c r="E9" s="8">
        <v>89805</v>
      </c>
      <c r="F9" s="23">
        <v>4621.2</v>
      </c>
      <c r="G9" s="24">
        <v>2812.2</v>
      </c>
      <c r="H9" s="25">
        <v>1092.5</v>
      </c>
      <c r="I9" s="37">
        <v>592</v>
      </c>
      <c r="J9" s="9">
        <f t="shared" si="0"/>
        <v>69314</v>
      </c>
      <c r="K9" s="38">
        <f t="shared" si="1"/>
        <v>359</v>
      </c>
      <c r="L9" s="38">
        <v>793</v>
      </c>
      <c r="M9" s="78">
        <f t="shared" si="2"/>
        <v>308286</v>
      </c>
      <c r="N9" s="79">
        <f t="shared" si="2"/>
        <v>99783</v>
      </c>
      <c r="O9" s="79">
        <f t="shared" si="2"/>
        <v>414046</v>
      </c>
      <c r="P9" s="80">
        <f t="shared" si="3"/>
        <v>308286</v>
      </c>
      <c r="Q9" s="80">
        <f t="shared" si="3"/>
        <v>99783</v>
      </c>
      <c r="R9" s="80">
        <f t="shared" si="3"/>
        <v>414046</v>
      </c>
      <c r="S9" s="84">
        <f>M9/'[21]2014'!M9-1</f>
        <v>-0.0189722766732008</v>
      </c>
      <c r="T9" s="84">
        <f>N9/'[21]2014'!N9-1</f>
        <v>0.0452421855359089</v>
      </c>
      <c r="U9" s="84">
        <f>O9/'[21]2014'!O9-1</f>
        <v>-0.00155778264350415</v>
      </c>
      <c r="V9" s="85">
        <f>P9/'[21]2014'!P9-1</f>
        <v>-0.0189722766732008</v>
      </c>
      <c r="W9" s="85">
        <f>Q9/'[21]2014'!Q9-1</f>
        <v>0.0452421855359089</v>
      </c>
      <c r="X9" s="85">
        <f>R9/'[21]2014'!R9-1</f>
        <v>-0.00155778264350415</v>
      </c>
      <c r="Y9" s="38"/>
      <c r="Z9" s="38"/>
      <c r="AA9" s="38"/>
      <c r="AB9" s="38"/>
    </row>
    <row r="10" ht="15" customHeight="1" spans="1:28">
      <c r="A10" s="21">
        <v>42010</v>
      </c>
      <c r="B10" s="21" t="s">
        <v>34</v>
      </c>
      <c r="C10" s="22">
        <v>69820</v>
      </c>
      <c r="D10" s="8">
        <v>21578</v>
      </c>
      <c r="E10" s="8">
        <v>92530</v>
      </c>
      <c r="F10" s="23">
        <v>4766.3</v>
      </c>
      <c r="G10" s="24">
        <v>2827.6</v>
      </c>
      <c r="H10" s="25">
        <v>1195.3</v>
      </c>
      <c r="I10" s="37">
        <v>626.1</v>
      </c>
      <c r="J10" s="9">
        <f t="shared" si="0"/>
        <v>70952</v>
      </c>
      <c r="K10" s="38">
        <f t="shared" si="1"/>
        <v>339</v>
      </c>
      <c r="L10" s="38">
        <v>793</v>
      </c>
      <c r="M10" s="78">
        <f t="shared" si="2"/>
        <v>378106</v>
      </c>
      <c r="N10" s="79">
        <f t="shared" si="2"/>
        <v>121361</v>
      </c>
      <c r="O10" s="79">
        <f t="shared" si="2"/>
        <v>506576</v>
      </c>
      <c r="P10" s="80">
        <f t="shared" si="3"/>
        <v>378106</v>
      </c>
      <c r="Q10" s="80">
        <f t="shared" si="3"/>
        <v>121361</v>
      </c>
      <c r="R10" s="80">
        <f t="shared" si="3"/>
        <v>506576</v>
      </c>
      <c r="S10" s="84">
        <f>M10/'[21]2014'!M10-1</f>
        <v>-0.00743688622062855</v>
      </c>
      <c r="T10" s="84">
        <f>N10/'[21]2014'!N10-1</f>
        <v>0.0459450142204603</v>
      </c>
      <c r="U10" s="84">
        <f>O10/'[21]2014'!O10-1</f>
        <v>0.00677908837061403</v>
      </c>
      <c r="V10" s="85">
        <f>P10/'[21]2014'!P10-1</f>
        <v>-0.00743688622062855</v>
      </c>
      <c r="W10" s="85">
        <f>Q10/'[21]2014'!Q10-1</f>
        <v>0.0459450142204603</v>
      </c>
      <c r="X10" s="85">
        <f>R10/'[21]2014'!R10-1</f>
        <v>0.00677908837061403</v>
      </c>
      <c r="Y10" s="38"/>
      <c r="Z10" s="38"/>
      <c r="AA10" s="38"/>
      <c r="AB10" s="38"/>
    </row>
    <row r="11" ht="15" customHeight="1" spans="1:28">
      <c r="A11" s="21">
        <v>42011</v>
      </c>
      <c r="B11" s="15" t="s">
        <v>35</v>
      </c>
      <c r="C11" s="16">
        <v>72281</v>
      </c>
      <c r="D11" s="17">
        <v>22303</v>
      </c>
      <c r="E11" s="17">
        <v>95469</v>
      </c>
      <c r="F11" s="18">
        <v>4956.8</v>
      </c>
      <c r="G11" s="19">
        <v>2941.5</v>
      </c>
      <c r="H11" s="20">
        <v>1224.4</v>
      </c>
      <c r="I11" s="20">
        <v>657.4</v>
      </c>
      <c r="J11" s="33">
        <f t="shared" si="0"/>
        <v>73166</v>
      </c>
      <c r="K11" s="34">
        <f t="shared" si="1"/>
        <v>92</v>
      </c>
      <c r="L11" s="34">
        <v>793</v>
      </c>
      <c r="M11" s="81">
        <f t="shared" si="2"/>
        <v>450387</v>
      </c>
      <c r="N11" s="82">
        <f t="shared" si="2"/>
        <v>143664</v>
      </c>
      <c r="O11" s="82">
        <f t="shared" si="2"/>
        <v>602045</v>
      </c>
      <c r="P11" s="81">
        <f t="shared" si="3"/>
        <v>450387</v>
      </c>
      <c r="Q11" s="81">
        <f t="shared" si="3"/>
        <v>143664</v>
      </c>
      <c r="R11" s="81">
        <f t="shared" si="3"/>
        <v>602045</v>
      </c>
      <c r="S11" s="86">
        <f>M11/'[21]2014'!M11-1</f>
        <v>0.00845930108887183</v>
      </c>
      <c r="T11" s="86">
        <f>N11/'[21]2014'!N11-1</f>
        <v>0.036731277151558</v>
      </c>
      <c r="U11" s="86">
        <f>O11/'[21]2014'!O11-1</f>
        <v>0.0164150580258711</v>
      </c>
      <c r="V11" s="86">
        <f>P11/'[21]2014'!P11-1</f>
        <v>0.00845930108887183</v>
      </c>
      <c r="W11" s="86">
        <f>Q11/'[21]2014'!Q11-1</f>
        <v>0.036731277151558</v>
      </c>
      <c r="X11" s="86">
        <f>R11/'[21]2014'!R11-1</f>
        <v>0.0164150580258711</v>
      </c>
      <c r="Y11" s="34"/>
      <c r="Z11" s="34"/>
      <c r="AA11" s="34"/>
      <c r="AB11" s="34"/>
    </row>
    <row r="12" ht="15" customHeight="1" spans="1:28">
      <c r="A12" s="21">
        <v>42012</v>
      </c>
      <c r="B12" s="21" t="s">
        <v>36</v>
      </c>
      <c r="C12" s="70">
        <v>72753</v>
      </c>
      <c r="D12" s="71">
        <v>21990</v>
      </c>
      <c r="E12" s="71">
        <v>95667</v>
      </c>
      <c r="F12" s="72">
        <v>4949.8</v>
      </c>
      <c r="G12" s="73">
        <v>2988</v>
      </c>
      <c r="H12" s="25">
        <v>1211.6</v>
      </c>
      <c r="I12" s="25">
        <v>652.9</v>
      </c>
      <c r="J12" s="74">
        <f t="shared" si="0"/>
        <v>73677</v>
      </c>
      <c r="K12" s="75">
        <f t="shared" si="1"/>
        <v>131</v>
      </c>
      <c r="L12" s="75">
        <v>793</v>
      </c>
      <c r="M12" s="76">
        <f t="shared" si="2"/>
        <v>523140</v>
      </c>
      <c r="N12" s="77">
        <f t="shared" si="2"/>
        <v>165654</v>
      </c>
      <c r="O12" s="77">
        <f t="shared" si="2"/>
        <v>697712</v>
      </c>
      <c r="P12" s="76">
        <f t="shared" si="3"/>
        <v>523140</v>
      </c>
      <c r="Q12" s="76">
        <f t="shared" si="3"/>
        <v>165654</v>
      </c>
      <c r="R12" s="76">
        <f t="shared" si="3"/>
        <v>697712</v>
      </c>
      <c r="S12" s="83">
        <f>M12/'[21]2014'!M12-1</f>
        <v>0.0216301087364079</v>
      </c>
      <c r="T12" s="83">
        <f>N12/'[21]2014'!N12-1</f>
        <v>0.0307506595649361</v>
      </c>
      <c r="U12" s="83">
        <f>O12/'[21]2014'!O12-1</f>
        <v>0.0248594276044818</v>
      </c>
      <c r="V12" s="83">
        <f>P12/'[21]2014'!P12-1</f>
        <v>0.0216301087364079</v>
      </c>
      <c r="W12" s="83">
        <f>Q12/'[21]2014'!Q12-1</f>
        <v>0.0307506595649361</v>
      </c>
      <c r="X12" s="83">
        <f>R12/'[21]2014'!R12-1</f>
        <v>0.0248594276044818</v>
      </c>
      <c r="Y12" s="75">
        <f>0.42*8</f>
        <v>3.36</v>
      </c>
      <c r="Z12" s="75">
        <f>P12/10000-Y12</f>
        <v>48.954</v>
      </c>
      <c r="AA12" s="89">
        <v>3890.092</v>
      </c>
      <c r="AB12" s="75">
        <f>Z12*10000/AA12</f>
        <v>125.842782124433</v>
      </c>
    </row>
    <row r="13" ht="15" customHeight="1" spans="1:28">
      <c r="A13" s="21">
        <v>42013</v>
      </c>
      <c r="B13" s="21" t="s">
        <v>37</v>
      </c>
      <c r="C13" s="22">
        <v>72906</v>
      </c>
      <c r="D13" s="8">
        <v>21228</v>
      </c>
      <c r="E13" s="8">
        <v>95482</v>
      </c>
      <c r="F13" s="23">
        <v>4968.9</v>
      </c>
      <c r="G13" s="24">
        <v>3037.5</v>
      </c>
      <c r="H13" s="25">
        <v>1186.2</v>
      </c>
      <c r="I13" s="37">
        <v>628.1</v>
      </c>
      <c r="J13" s="9">
        <f t="shared" si="0"/>
        <v>74254</v>
      </c>
      <c r="K13" s="38">
        <f t="shared" si="1"/>
        <v>555</v>
      </c>
      <c r="L13" s="38">
        <v>793</v>
      </c>
      <c r="M13" s="78">
        <f t="shared" si="2"/>
        <v>596046</v>
      </c>
      <c r="N13" s="79">
        <f t="shared" si="2"/>
        <v>186882</v>
      </c>
      <c r="O13" s="79">
        <f t="shared" si="2"/>
        <v>793194</v>
      </c>
      <c r="P13" s="80">
        <f t="shared" si="3"/>
        <v>596046</v>
      </c>
      <c r="Q13" s="80">
        <f t="shared" si="3"/>
        <v>186882</v>
      </c>
      <c r="R13" s="80">
        <f t="shared" si="3"/>
        <v>793194</v>
      </c>
      <c r="S13" s="84">
        <f>M13/'[21]2014'!M13-1</f>
        <v>0.0299295865912135</v>
      </c>
      <c r="T13" s="84">
        <f>N13/'[21]2014'!N13-1</f>
        <v>0.0202764675052411</v>
      </c>
      <c r="U13" s="84">
        <f>O13/'[21]2014'!O13-1</f>
        <v>0.0290596072885787</v>
      </c>
      <c r="V13" s="85">
        <f>P13/'[21]2014'!P13-1</f>
        <v>0.0299295865912135</v>
      </c>
      <c r="W13" s="85">
        <f>Q13/'[21]2014'!Q13-1</f>
        <v>0.0202764675052411</v>
      </c>
      <c r="X13" s="85">
        <f>R13/'[21]2014'!R13-1</f>
        <v>0.0290596072885787</v>
      </c>
      <c r="Y13" s="38"/>
      <c r="Z13" s="38"/>
      <c r="AA13" s="38"/>
      <c r="AB13" s="38"/>
    </row>
    <row r="14" ht="15" customHeight="1" spans="1:28">
      <c r="A14" s="21">
        <v>42014</v>
      </c>
      <c r="B14" s="21" t="s">
        <v>38</v>
      </c>
      <c r="C14" s="22">
        <v>71310</v>
      </c>
      <c r="D14" s="8">
        <v>20809</v>
      </c>
      <c r="E14" s="8">
        <v>93486</v>
      </c>
      <c r="F14" s="23">
        <v>4804.6</v>
      </c>
      <c r="G14" s="24">
        <v>2986.8</v>
      </c>
      <c r="H14" s="25">
        <v>1173.5</v>
      </c>
      <c r="I14" s="37">
        <v>616.3</v>
      </c>
      <c r="J14" s="9">
        <f t="shared" si="0"/>
        <v>72677</v>
      </c>
      <c r="K14" s="38">
        <f t="shared" si="1"/>
        <v>574</v>
      </c>
      <c r="L14" s="38">
        <v>793</v>
      </c>
      <c r="M14" s="78">
        <f t="shared" si="2"/>
        <v>667356</v>
      </c>
      <c r="N14" s="79">
        <f t="shared" si="2"/>
        <v>207691</v>
      </c>
      <c r="O14" s="79">
        <f t="shared" si="2"/>
        <v>886680</v>
      </c>
      <c r="P14" s="80">
        <f t="shared" si="3"/>
        <v>667356</v>
      </c>
      <c r="Q14" s="80">
        <f t="shared" si="3"/>
        <v>207691</v>
      </c>
      <c r="R14" s="80">
        <f t="shared" si="3"/>
        <v>886680</v>
      </c>
      <c r="S14" s="84">
        <f>M14/'[21]2014'!M14-1</f>
        <v>0.0343846292151551</v>
      </c>
      <c r="T14" s="84">
        <f>N14/'[21]2014'!N14-1</f>
        <v>0.0100965396493446</v>
      </c>
      <c r="U14" s="84">
        <f>O14/'[21]2014'!O14-1</f>
        <v>0.030325988691374</v>
      </c>
      <c r="V14" s="85">
        <f>P14/'[21]2014'!P14-1</f>
        <v>0.0343846292151551</v>
      </c>
      <c r="W14" s="85">
        <f>Q14/'[21]2014'!Q14-1</f>
        <v>0.0100965396493446</v>
      </c>
      <c r="X14" s="85">
        <f>R14/'[21]2014'!R14-1</f>
        <v>0.030325988691374</v>
      </c>
      <c r="Y14" s="38">
        <v>2.4958</v>
      </c>
      <c r="Z14" s="38">
        <f>P14/10000-Y14</f>
        <v>64.2398</v>
      </c>
      <c r="AA14" s="38">
        <f>AA12</f>
        <v>3890.092</v>
      </c>
      <c r="AB14" s="38">
        <f>Z14*10000/AA14</f>
        <v>165.136968483008</v>
      </c>
    </row>
    <row r="15" ht="15" customHeight="1" spans="1:28">
      <c r="A15" s="21">
        <v>42015</v>
      </c>
      <c r="B15" s="21" t="s">
        <v>1</v>
      </c>
      <c r="C15" s="22">
        <v>66073</v>
      </c>
      <c r="D15" s="8">
        <v>20893</v>
      </c>
      <c r="E15" s="8">
        <v>88036</v>
      </c>
      <c r="F15" s="23">
        <v>4429.4</v>
      </c>
      <c r="G15" s="24">
        <v>2948.9</v>
      </c>
      <c r="H15" s="25">
        <v>1163.4</v>
      </c>
      <c r="I15" s="37">
        <v>615.6</v>
      </c>
      <c r="J15" s="9">
        <f t="shared" si="0"/>
        <v>67143</v>
      </c>
      <c r="K15" s="38">
        <f t="shared" si="1"/>
        <v>277</v>
      </c>
      <c r="L15" s="38">
        <v>793</v>
      </c>
      <c r="M15" s="78">
        <f t="shared" si="2"/>
        <v>733429</v>
      </c>
      <c r="N15" s="79">
        <f t="shared" si="2"/>
        <v>228584</v>
      </c>
      <c r="O15" s="79">
        <f t="shared" si="2"/>
        <v>974716</v>
      </c>
      <c r="P15" s="80">
        <f t="shared" si="3"/>
        <v>733429</v>
      </c>
      <c r="Q15" s="80">
        <f t="shared" si="3"/>
        <v>228584</v>
      </c>
      <c r="R15" s="80">
        <f t="shared" si="3"/>
        <v>974716</v>
      </c>
      <c r="S15" s="84">
        <f>M15/'[21]2014'!M15-1</f>
        <v>0.0319346814270358</v>
      </c>
      <c r="T15" s="84">
        <f>N15/'[21]2014'!N15-1</f>
        <v>0.00327425626980582</v>
      </c>
      <c r="U15" s="84">
        <f>O15/'[21]2014'!O15-1</f>
        <v>0.0268199233716475</v>
      </c>
      <c r="V15" s="85">
        <f>P15/'[21]2014'!P15-1</f>
        <v>0.0319346814270358</v>
      </c>
      <c r="W15" s="85">
        <f>Q15/'[21]2014'!Q15-1</f>
        <v>0.00327425626980582</v>
      </c>
      <c r="X15" s="85">
        <f>R15/'[21]2014'!R15-1</f>
        <v>0.0268199233716475</v>
      </c>
      <c r="Y15" s="38"/>
      <c r="Z15" s="38"/>
      <c r="AA15" s="38"/>
      <c r="AB15" s="38"/>
    </row>
    <row r="16" ht="15" customHeight="1" spans="1:28">
      <c r="A16" s="21">
        <v>42016</v>
      </c>
      <c r="B16" s="21" t="s">
        <v>39</v>
      </c>
      <c r="C16" s="22">
        <v>71620</v>
      </c>
      <c r="D16" s="8">
        <v>21031</v>
      </c>
      <c r="E16" s="8">
        <v>93789</v>
      </c>
      <c r="F16" s="23">
        <v>4882.8</v>
      </c>
      <c r="G16" s="24">
        <v>2808.3</v>
      </c>
      <c r="H16" s="25">
        <v>1164.1</v>
      </c>
      <c r="I16" s="37">
        <v>619.6</v>
      </c>
      <c r="J16" s="9">
        <f t="shared" si="0"/>
        <v>72758</v>
      </c>
      <c r="K16" s="38">
        <f t="shared" si="1"/>
        <v>345</v>
      </c>
      <c r="L16" s="38">
        <v>793</v>
      </c>
      <c r="M16" s="78">
        <f t="shared" si="2"/>
        <v>805049</v>
      </c>
      <c r="N16" s="79">
        <f t="shared" si="2"/>
        <v>249615</v>
      </c>
      <c r="O16" s="79">
        <f t="shared" si="2"/>
        <v>1068505</v>
      </c>
      <c r="P16" s="80">
        <f t="shared" si="3"/>
        <v>805049</v>
      </c>
      <c r="Q16" s="80">
        <f t="shared" si="3"/>
        <v>249615</v>
      </c>
      <c r="R16" s="80">
        <f t="shared" si="3"/>
        <v>1068505</v>
      </c>
      <c r="S16" s="84">
        <f>M16/'[21]2014'!M16-1</f>
        <v>0.0415009638148958</v>
      </c>
      <c r="T16" s="84">
        <f>N16/'[21]2014'!N16-1</f>
        <v>0.00290084494140053</v>
      </c>
      <c r="U16" s="84">
        <f>O16/'[21]2014'!O16-1</f>
        <v>0.0337423134822199</v>
      </c>
      <c r="V16" s="85">
        <f>P16/'[21]2014'!P16-1</f>
        <v>0.0415009638148958</v>
      </c>
      <c r="W16" s="85">
        <f>Q16/'[21]2014'!Q16-1</f>
        <v>0.00290084494140053</v>
      </c>
      <c r="X16" s="85">
        <f>R16/'[21]2014'!R16-1</f>
        <v>0.0337423134822199</v>
      </c>
      <c r="Y16" s="38"/>
      <c r="Z16" s="38"/>
      <c r="AA16" s="38"/>
      <c r="AB16" s="38"/>
    </row>
    <row r="17" s="2" customFormat="1" ht="15" customHeight="1" spans="1:28">
      <c r="A17" s="21">
        <v>42017</v>
      </c>
      <c r="B17" s="21" t="s">
        <v>34</v>
      </c>
      <c r="C17" s="22">
        <v>73005</v>
      </c>
      <c r="D17" s="8">
        <v>20979</v>
      </c>
      <c r="E17" s="8">
        <v>95254</v>
      </c>
      <c r="F17" s="23">
        <v>4975.2</v>
      </c>
      <c r="G17" s="24">
        <v>2969.8</v>
      </c>
      <c r="H17" s="25">
        <v>1174</v>
      </c>
      <c r="I17" s="37">
        <v>615.7</v>
      </c>
      <c r="J17" s="9">
        <f t="shared" si="0"/>
        <v>74275</v>
      </c>
      <c r="K17" s="38">
        <f t="shared" si="1"/>
        <v>477</v>
      </c>
      <c r="L17" s="38">
        <v>793</v>
      </c>
      <c r="M17" s="78">
        <f t="shared" si="2"/>
        <v>878054</v>
      </c>
      <c r="N17" s="79">
        <f t="shared" si="2"/>
        <v>270594</v>
      </c>
      <c r="O17" s="79">
        <f t="shared" si="2"/>
        <v>1163759</v>
      </c>
      <c r="P17" s="80">
        <f t="shared" si="3"/>
        <v>878054</v>
      </c>
      <c r="Q17" s="80">
        <f t="shared" si="3"/>
        <v>270594</v>
      </c>
      <c r="R17" s="80">
        <f t="shared" si="3"/>
        <v>1163759</v>
      </c>
      <c r="S17" s="84">
        <f>M17/'[21]2014'!M17-1</f>
        <v>0.0499998804173911</v>
      </c>
      <c r="T17" s="84">
        <f>N17/'[21]2014'!N17-1</f>
        <v>-0.00390202242558546</v>
      </c>
      <c r="U17" s="84">
        <f>O17/'[21]2014'!O17-1</f>
        <v>0.0383974316648314</v>
      </c>
      <c r="V17" s="85">
        <f>P17/'[21]2014'!P17-1</f>
        <v>0.0499998804173911</v>
      </c>
      <c r="W17" s="85">
        <f>Q17/'[21]2014'!Q17-1</f>
        <v>-0.00390202242558546</v>
      </c>
      <c r="X17" s="85">
        <f>R17/'[21]2014'!R17-1</f>
        <v>0.0383974316648314</v>
      </c>
      <c r="Y17" s="38"/>
      <c r="Z17" s="38"/>
      <c r="AA17" s="38"/>
      <c r="AB17" s="38"/>
    </row>
    <row r="18" s="2" customFormat="1" ht="15" customHeight="1" spans="1:28">
      <c r="A18" s="21">
        <v>42018</v>
      </c>
      <c r="B18" s="15" t="s">
        <v>35</v>
      </c>
      <c r="C18" s="16">
        <v>70720</v>
      </c>
      <c r="D18" s="17">
        <v>21518</v>
      </c>
      <c r="E18" s="17">
        <v>93188</v>
      </c>
      <c r="F18" s="18">
        <v>4857.2</v>
      </c>
      <c r="G18" s="19">
        <v>2943.4</v>
      </c>
      <c r="H18" s="20">
        <v>1206.5</v>
      </c>
      <c r="I18" s="20">
        <v>618.8</v>
      </c>
      <c r="J18" s="33">
        <f t="shared" si="0"/>
        <v>71670</v>
      </c>
      <c r="K18" s="34">
        <f t="shared" si="1"/>
        <v>157</v>
      </c>
      <c r="L18" s="34">
        <v>793</v>
      </c>
      <c r="M18" s="81">
        <f t="shared" si="2"/>
        <v>948774</v>
      </c>
      <c r="N18" s="82">
        <f t="shared" si="2"/>
        <v>292112</v>
      </c>
      <c r="O18" s="82">
        <f t="shared" si="2"/>
        <v>1256947</v>
      </c>
      <c r="P18" s="81">
        <f t="shared" si="3"/>
        <v>948774</v>
      </c>
      <c r="Q18" s="81">
        <f t="shared" si="3"/>
        <v>292112</v>
      </c>
      <c r="R18" s="81">
        <f t="shared" si="3"/>
        <v>1256947</v>
      </c>
      <c r="S18" s="86">
        <f>M18/'[21]2014'!M18-1</f>
        <v>0.0557476284530003</v>
      </c>
      <c r="T18" s="86">
        <f>N18/'[21]2014'!N18-1</f>
        <v>-0.00569802509309503</v>
      </c>
      <c r="U18" s="86">
        <f>O18/'[21]2014'!O18-1</f>
        <v>0.0418126813095732</v>
      </c>
      <c r="V18" s="86">
        <f>P18/'[21]2014'!P18-1</f>
        <v>0.0557476284530003</v>
      </c>
      <c r="W18" s="86">
        <f>Q18/'[21]2014'!Q18-1</f>
        <v>-0.00569802509309503</v>
      </c>
      <c r="X18" s="86">
        <f>R18/'[21]2014'!R18-1</f>
        <v>0.0418126813095732</v>
      </c>
      <c r="Y18" s="34"/>
      <c r="Z18" s="34"/>
      <c r="AA18" s="34"/>
      <c r="AB18" s="34"/>
    </row>
    <row r="19" s="2" customFormat="1" ht="15" customHeight="1" spans="1:28">
      <c r="A19" s="21">
        <v>42019</v>
      </c>
      <c r="B19" s="21" t="s">
        <v>36</v>
      </c>
      <c r="C19" s="70">
        <v>71700</v>
      </c>
      <c r="D19" s="71">
        <v>21520</v>
      </c>
      <c r="E19" s="71">
        <v>94174</v>
      </c>
      <c r="F19" s="72">
        <v>4774.4</v>
      </c>
      <c r="G19" s="73">
        <v>2908.3</v>
      </c>
      <c r="H19" s="25">
        <v>1194.2</v>
      </c>
      <c r="I19" s="25">
        <v>619</v>
      </c>
      <c r="J19" s="74">
        <f t="shared" si="0"/>
        <v>72654</v>
      </c>
      <c r="K19" s="75">
        <f t="shared" si="1"/>
        <v>161</v>
      </c>
      <c r="L19" s="75">
        <v>793</v>
      </c>
      <c r="M19" s="76">
        <f t="shared" si="2"/>
        <v>1020474</v>
      </c>
      <c r="N19" s="77">
        <f t="shared" si="2"/>
        <v>313632</v>
      </c>
      <c r="O19" s="77">
        <f t="shared" si="2"/>
        <v>1351121</v>
      </c>
      <c r="P19" s="76">
        <f t="shared" si="3"/>
        <v>1020474</v>
      </c>
      <c r="Q19" s="76">
        <f t="shared" si="3"/>
        <v>313632</v>
      </c>
      <c r="R19" s="76">
        <f t="shared" si="3"/>
        <v>1351121</v>
      </c>
      <c r="S19" s="83">
        <f>M19/'[21]2014'!M19-1</f>
        <v>0.0638370625047564</v>
      </c>
      <c r="T19" s="83">
        <f>N19/'[21]2014'!N19-1</f>
        <v>-0.00810575752304754</v>
      </c>
      <c r="U19" s="83">
        <f>O19/'[21]2014'!O19-1</f>
        <v>0.0467801416241846</v>
      </c>
      <c r="V19" s="83">
        <f>P19/'[21]2014'!P19-1</f>
        <v>0.0638370625047564</v>
      </c>
      <c r="W19" s="83">
        <f>Q19/'[21]2014'!Q19-1</f>
        <v>-0.00810575752304754</v>
      </c>
      <c r="X19" s="83">
        <f>R19/'[21]2014'!R19-1</f>
        <v>0.0467801416241846</v>
      </c>
      <c r="Y19" s="75">
        <v>4.54</v>
      </c>
      <c r="Z19" s="75">
        <f>P19/10000-Y19</f>
        <v>97.5074</v>
      </c>
      <c r="AA19" s="89">
        <f>AA12</f>
        <v>3890.092</v>
      </c>
      <c r="AB19" s="75">
        <f>Z19*10000/AA19</f>
        <v>250.655768552517</v>
      </c>
    </row>
    <row r="20" s="2" customFormat="1" ht="15" customHeight="1" spans="1:28">
      <c r="A20" s="21">
        <v>42020</v>
      </c>
      <c r="B20" s="21" t="s">
        <v>37</v>
      </c>
      <c r="C20" s="22">
        <v>69446</v>
      </c>
      <c r="D20" s="8">
        <v>22361</v>
      </c>
      <c r="E20" s="8">
        <v>92666</v>
      </c>
      <c r="F20" s="23">
        <v>4750</v>
      </c>
      <c r="G20" s="24">
        <v>2910</v>
      </c>
      <c r="H20" s="25"/>
      <c r="I20" s="37"/>
      <c r="J20" s="9">
        <f t="shared" si="0"/>
        <v>70305</v>
      </c>
      <c r="K20" s="38">
        <f t="shared" si="1"/>
        <v>66</v>
      </c>
      <c r="L20" s="38">
        <v>793</v>
      </c>
      <c r="M20" s="78">
        <f t="shared" si="2"/>
        <v>1089920</v>
      </c>
      <c r="N20" s="79">
        <f t="shared" si="2"/>
        <v>335993</v>
      </c>
      <c r="O20" s="79">
        <f t="shared" si="2"/>
        <v>1443787</v>
      </c>
      <c r="P20" s="80">
        <f t="shared" si="3"/>
        <v>1089920</v>
      </c>
      <c r="Q20" s="80">
        <f t="shared" si="3"/>
        <v>335993</v>
      </c>
      <c r="R20" s="80">
        <f t="shared" si="3"/>
        <v>1443787</v>
      </c>
      <c r="S20" s="84">
        <f>M20/'[21]2014'!M20-1</f>
        <v>0.0710028761977197</v>
      </c>
      <c r="T20" s="84">
        <f>N20/'[21]2014'!N20-1</f>
        <v>-0.00618485346836883</v>
      </c>
      <c r="U20" s="84">
        <f>O20/'[21]2014'!O20-1</f>
        <v>0.0522500264194534</v>
      </c>
      <c r="V20" s="85">
        <f>P20/'[21]2014'!P20-1</f>
        <v>0.0710028761977197</v>
      </c>
      <c r="W20" s="85">
        <f>Q20/'[21]2014'!Q20-1</f>
        <v>-0.00618485346836883</v>
      </c>
      <c r="X20" s="85">
        <f>R20/'[21]2014'!R20-1</f>
        <v>0.0522500264194534</v>
      </c>
      <c r="Y20" s="38"/>
      <c r="Z20" s="38"/>
      <c r="AA20" s="38"/>
      <c r="AB20" s="38"/>
    </row>
    <row r="21" s="2" customFormat="1" ht="15" customHeight="1" spans="1:28">
      <c r="A21" s="21">
        <v>42021</v>
      </c>
      <c r="B21" s="21" t="s">
        <v>38</v>
      </c>
      <c r="C21" s="22">
        <v>69306</v>
      </c>
      <c r="D21" s="8">
        <v>22240</v>
      </c>
      <c r="E21" s="8">
        <v>92453</v>
      </c>
      <c r="F21" s="23">
        <v>4709.9</v>
      </c>
      <c r="G21" s="24">
        <v>2898.6</v>
      </c>
      <c r="H21" s="25">
        <v>1217.3</v>
      </c>
      <c r="I21" s="37">
        <v>684.3</v>
      </c>
      <c r="J21" s="9">
        <f t="shared" si="0"/>
        <v>70213</v>
      </c>
      <c r="K21" s="38">
        <f t="shared" si="1"/>
        <v>114</v>
      </c>
      <c r="L21" s="38">
        <v>793</v>
      </c>
      <c r="M21" s="78">
        <f t="shared" si="2"/>
        <v>1159226</v>
      </c>
      <c r="N21" s="79">
        <f t="shared" si="2"/>
        <v>358233</v>
      </c>
      <c r="O21" s="79">
        <f t="shared" si="2"/>
        <v>1536240</v>
      </c>
      <c r="P21" s="80">
        <f t="shared" si="3"/>
        <v>1159226</v>
      </c>
      <c r="Q21" s="80">
        <f t="shared" si="3"/>
        <v>358233</v>
      </c>
      <c r="R21" s="80">
        <f t="shared" si="3"/>
        <v>1536240</v>
      </c>
      <c r="S21" s="84">
        <f>M21/'[21]2014'!M21-1</f>
        <v>0.080979312467071</v>
      </c>
      <c r="T21" s="84">
        <f>N21/'[21]2014'!N21-1</f>
        <v>-0.00538906195338917</v>
      </c>
      <c r="U21" s="84">
        <f>O21/'[21]2014'!O21-1</f>
        <v>0.0596052069804383</v>
      </c>
      <c r="V21" s="85">
        <f>P21/'[21]2014'!P21-1</f>
        <v>0.080979312467071</v>
      </c>
      <c r="W21" s="85">
        <f>Q21/'[21]2014'!Q21-1</f>
        <v>-0.00538906195338917</v>
      </c>
      <c r="X21" s="85">
        <f>R21/'[21]2014'!R21-1</f>
        <v>0.0596052069804383</v>
      </c>
      <c r="Y21" s="38"/>
      <c r="Z21" s="38"/>
      <c r="AA21" s="38"/>
      <c r="AB21" s="38"/>
    </row>
    <row r="22" s="2" customFormat="1" ht="15" customHeight="1" spans="1:28">
      <c r="A22" s="21">
        <v>42022</v>
      </c>
      <c r="B22" s="21" t="s">
        <v>1</v>
      </c>
      <c r="C22" s="22">
        <v>65704</v>
      </c>
      <c r="D22" s="8">
        <v>21140</v>
      </c>
      <c r="E22" s="8">
        <v>87752</v>
      </c>
      <c r="F22" s="23">
        <v>4417.9</v>
      </c>
      <c r="G22" s="24">
        <v>2939</v>
      </c>
      <c r="H22" s="25">
        <v>1192.5</v>
      </c>
      <c r="I22" s="37">
        <v>659.3</v>
      </c>
      <c r="J22" s="9">
        <f t="shared" si="0"/>
        <v>66612</v>
      </c>
      <c r="K22" s="38">
        <f t="shared" si="1"/>
        <v>115</v>
      </c>
      <c r="L22" s="38">
        <v>793</v>
      </c>
      <c r="M22" s="78">
        <f t="shared" ref="M22:O35" si="4">M21+C22</f>
        <v>1224930</v>
      </c>
      <c r="N22" s="79">
        <f t="shared" si="4"/>
        <v>379373</v>
      </c>
      <c r="O22" s="79">
        <f t="shared" si="4"/>
        <v>1623992</v>
      </c>
      <c r="P22" s="80">
        <f t="shared" si="3"/>
        <v>1224930</v>
      </c>
      <c r="Q22" s="80">
        <f t="shared" si="3"/>
        <v>379373</v>
      </c>
      <c r="R22" s="80">
        <f t="shared" si="3"/>
        <v>1623992</v>
      </c>
      <c r="S22" s="84">
        <f>M22/'[21]2014'!M22-1</f>
        <v>0.089850641891982</v>
      </c>
      <c r="T22" s="84">
        <f>N22/'[21]2014'!N22-1</f>
        <v>-0.00810774065688125</v>
      </c>
      <c r="U22" s="84">
        <f>O22/'[21]2014'!O22-1</f>
        <v>0.065111142009397</v>
      </c>
      <c r="V22" s="85">
        <f>P22/'[21]2014'!P22-1</f>
        <v>0.089850641891982</v>
      </c>
      <c r="W22" s="85">
        <f>Q22/'[21]2014'!Q22-1</f>
        <v>-0.00810774065688125</v>
      </c>
      <c r="X22" s="85">
        <f>R22/'[21]2014'!R22-1</f>
        <v>0.065111142009397</v>
      </c>
      <c r="Y22" s="38"/>
      <c r="Z22" s="38"/>
      <c r="AA22" s="38"/>
      <c r="AB22" s="38"/>
    </row>
    <row r="23" s="2" customFormat="1" ht="15" customHeight="1" spans="1:28">
      <c r="A23" s="21">
        <v>42023</v>
      </c>
      <c r="B23" s="21" t="s">
        <v>39</v>
      </c>
      <c r="C23" s="22">
        <v>68433</v>
      </c>
      <c r="D23" s="8">
        <v>21244</v>
      </c>
      <c r="E23" s="8">
        <v>90622</v>
      </c>
      <c r="F23" s="23">
        <v>4737.3</v>
      </c>
      <c r="G23" s="24">
        <v>2766.6</v>
      </c>
      <c r="H23" s="25">
        <v>1191</v>
      </c>
      <c r="I23" s="37">
        <v>620.7</v>
      </c>
      <c r="J23" s="9">
        <f t="shared" si="0"/>
        <v>69378</v>
      </c>
      <c r="K23" s="38">
        <f t="shared" si="1"/>
        <v>152</v>
      </c>
      <c r="L23" s="38">
        <v>793</v>
      </c>
      <c r="M23" s="78">
        <f t="shared" si="4"/>
        <v>1293363</v>
      </c>
      <c r="N23" s="79">
        <f t="shared" si="4"/>
        <v>400617</v>
      </c>
      <c r="O23" s="79">
        <f t="shared" si="4"/>
        <v>1714614</v>
      </c>
      <c r="P23" s="80">
        <f t="shared" si="3"/>
        <v>1293363</v>
      </c>
      <c r="Q23" s="80">
        <f t="shared" si="3"/>
        <v>400617</v>
      </c>
      <c r="R23" s="80">
        <f t="shared" si="3"/>
        <v>1714614</v>
      </c>
      <c r="S23" s="84">
        <f>M23/'[21]2014'!M23-1</f>
        <v>0.104603871946324</v>
      </c>
      <c r="T23" s="84">
        <f>N23/'[21]2014'!N23-1</f>
        <v>-0.00926885363471119</v>
      </c>
      <c r="U23" s="84">
        <f>O23/'[21]2014'!O23-1</f>
        <v>0.0752587159461333</v>
      </c>
      <c r="V23" s="85">
        <f>P23/'[21]2014'!P23-1</f>
        <v>0.104603871946324</v>
      </c>
      <c r="W23" s="85">
        <f>Q23/'[21]2014'!Q23-1</f>
        <v>-0.00926885363471119</v>
      </c>
      <c r="X23" s="85">
        <f>R23/'[21]2014'!R23-1</f>
        <v>0.0752587159461333</v>
      </c>
      <c r="Y23" s="38"/>
      <c r="Z23" s="38"/>
      <c r="AA23" s="38"/>
      <c r="AB23" s="38"/>
    </row>
    <row r="24" s="2" customFormat="1" ht="15" customHeight="1" spans="1:28">
      <c r="A24" s="21">
        <v>42024</v>
      </c>
      <c r="B24" s="21" t="s">
        <v>34</v>
      </c>
      <c r="C24" s="22">
        <v>68909</v>
      </c>
      <c r="D24" s="8">
        <v>21963</v>
      </c>
      <c r="E24" s="8">
        <v>91812</v>
      </c>
      <c r="F24" s="23">
        <v>4742.7</v>
      </c>
      <c r="G24" s="24">
        <v>2917.8</v>
      </c>
      <c r="H24" s="25">
        <v>1186.2</v>
      </c>
      <c r="I24" s="37">
        <v>769</v>
      </c>
      <c r="J24" s="9">
        <f t="shared" si="0"/>
        <v>69849</v>
      </c>
      <c r="K24" s="38">
        <f t="shared" si="1"/>
        <v>147</v>
      </c>
      <c r="L24" s="38">
        <v>793</v>
      </c>
      <c r="M24" s="78">
        <f t="shared" si="4"/>
        <v>1362272</v>
      </c>
      <c r="N24" s="79">
        <f t="shared" si="4"/>
        <v>422580</v>
      </c>
      <c r="O24" s="79">
        <f t="shared" si="4"/>
        <v>1806426</v>
      </c>
      <c r="P24" s="80">
        <f t="shared" si="3"/>
        <v>1362272</v>
      </c>
      <c r="Q24" s="80">
        <f t="shared" si="3"/>
        <v>422580</v>
      </c>
      <c r="R24" s="80">
        <f t="shared" si="3"/>
        <v>1806426</v>
      </c>
      <c r="S24" s="84">
        <f>M24/'[21]2014'!M24-1</f>
        <v>0.120575146624551</v>
      </c>
      <c r="T24" s="84">
        <f>N24/'[21]2014'!N24-1</f>
        <v>-0.0095046116703974</v>
      </c>
      <c r="U24" s="84">
        <f>O24/'[21]2014'!O24-1</f>
        <v>0.0864949134437376</v>
      </c>
      <c r="V24" s="85">
        <f>P24/'[21]2014'!P24-1</f>
        <v>0.120575146624551</v>
      </c>
      <c r="W24" s="85">
        <f>Q24/'[21]2014'!Q24-1</f>
        <v>-0.0095046116703974</v>
      </c>
      <c r="X24" s="85">
        <f>R24/'[21]2014'!R24-1</f>
        <v>0.0864949134437376</v>
      </c>
      <c r="Y24" s="38">
        <v>6.3889</v>
      </c>
      <c r="Z24" s="38">
        <f>P24/10000-Y24</f>
        <v>129.8383</v>
      </c>
      <c r="AA24" s="38">
        <f>AA19</f>
        <v>3890.092</v>
      </c>
      <c r="AB24" s="38">
        <f>Z24*10000/AA24</f>
        <v>333.766656418409</v>
      </c>
    </row>
    <row r="25" s="2" customFormat="1" ht="15" customHeight="1" spans="1:28">
      <c r="A25" s="21">
        <v>42025</v>
      </c>
      <c r="B25" s="15" t="s">
        <v>35</v>
      </c>
      <c r="C25" s="16">
        <v>65971</v>
      </c>
      <c r="D25" s="17">
        <v>22254</v>
      </c>
      <c r="E25" s="17">
        <v>89275</v>
      </c>
      <c r="F25" s="18">
        <v>4595</v>
      </c>
      <c r="G25" s="19">
        <v>2889.2</v>
      </c>
      <c r="H25" s="20">
        <v>1207.3</v>
      </c>
      <c r="I25" s="20">
        <v>655.4</v>
      </c>
      <c r="J25" s="33">
        <f t="shared" si="0"/>
        <v>67021</v>
      </c>
      <c r="K25" s="34">
        <f t="shared" si="1"/>
        <v>257</v>
      </c>
      <c r="L25" s="34">
        <v>793</v>
      </c>
      <c r="M25" s="81">
        <f t="shared" si="4"/>
        <v>1428243</v>
      </c>
      <c r="N25" s="82">
        <f t="shared" si="4"/>
        <v>444834</v>
      </c>
      <c r="O25" s="82">
        <f t="shared" si="4"/>
        <v>1895701</v>
      </c>
      <c r="P25" s="81">
        <f t="shared" si="3"/>
        <v>1428243</v>
      </c>
      <c r="Q25" s="81">
        <f t="shared" si="3"/>
        <v>444834</v>
      </c>
      <c r="R25" s="81">
        <f t="shared" si="3"/>
        <v>1895701</v>
      </c>
      <c r="S25" s="86">
        <f>M25/'[21]2014'!M25-1</f>
        <v>0.135589177481949</v>
      </c>
      <c r="T25" s="86">
        <f>N25/'[21]2014'!N25-1</f>
        <v>-0.00865797971559035</v>
      </c>
      <c r="U25" s="86">
        <f>O25/'[21]2014'!O25-1</f>
        <v>0.0970777595481365</v>
      </c>
      <c r="V25" s="86">
        <f>P25/'[21]2014'!P25-1</f>
        <v>0.135589177481949</v>
      </c>
      <c r="W25" s="86">
        <f>Q25/'[21]2014'!Q25-1</f>
        <v>-0.00865797971559035</v>
      </c>
      <c r="X25" s="86">
        <f>R25/'[21]2014'!R25-1</f>
        <v>0.0970777595481365</v>
      </c>
      <c r="Y25" s="34"/>
      <c r="Z25" s="34"/>
      <c r="AA25" s="34"/>
      <c r="AB25" s="34"/>
    </row>
    <row r="26" s="2" customFormat="1" ht="15" customHeight="1" spans="1:28">
      <c r="A26" s="21">
        <v>42026</v>
      </c>
      <c r="B26" s="21" t="s">
        <v>36</v>
      </c>
      <c r="C26" s="70">
        <v>67069</v>
      </c>
      <c r="D26" s="71">
        <v>22941</v>
      </c>
      <c r="E26" s="71">
        <v>90854</v>
      </c>
      <c r="F26" s="72">
        <v>4686.3</v>
      </c>
      <c r="G26" s="73">
        <v>2826.4</v>
      </c>
      <c r="H26" s="25">
        <v>1239.3</v>
      </c>
      <c r="I26" s="25">
        <v>648.2</v>
      </c>
      <c r="J26" s="74">
        <f t="shared" si="0"/>
        <v>67913</v>
      </c>
      <c r="K26" s="75">
        <f t="shared" si="1"/>
        <v>51</v>
      </c>
      <c r="L26" s="75">
        <v>793</v>
      </c>
      <c r="M26" s="76">
        <f t="shared" si="4"/>
        <v>1495312</v>
      </c>
      <c r="N26" s="77">
        <f t="shared" si="4"/>
        <v>467775</v>
      </c>
      <c r="O26" s="77">
        <f t="shared" si="4"/>
        <v>1986555</v>
      </c>
      <c r="P26" s="76">
        <f t="shared" si="3"/>
        <v>1495312</v>
      </c>
      <c r="Q26" s="76">
        <f t="shared" si="3"/>
        <v>467775</v>
      </c>
      <c r="R26" s="76">
        <f t="shared" si="3"/>
        <v>1986555</v>
      </c>
      <c r="S26" s="83">
        <f>M26/'[21]2014'!M26-1</f>
        <v>0.150145334191724</v>
      </c>
      <c r="T26" s="83">
        <f>N26/'[21]2014'!N26-1</f>
        <v>-5.13040857291758e-5</v>
      </c>
      <c r="U26" s="83">
        <f>O26/'[21]2014'!O26-1</f>
        <v>0.10941184091927</v>
      </c>
      <c r="V26" s="83">
        <f>P26/'[21]2014'!P26-1</f>
        <v>0.150145334191724</v>
      </c>
      <c r="W26" s="83">
        <f>Q26/'[21]2014'!Q26-1</f>
        <v>-5.13040857291758e-5</v>
      </c>
      <c r="X26" s="83">
        <f>R26/'[21]2014'!R26-1</f>
        <v>0.10941184091927</v>
      </c>
      <c r="Y26" s="75">
        <f>Y24+0.4*2</f>
        <v>7.1889</v>
      </c>
      <c r="Z26" s="75">
        <f>P26/10000-Y26</f>
        <v>142.3423</v>
      </c>
      <c r="AA26" s="89">
        <f>AA19</f>
        <v>3890.092</v>
      </c>
      <c r="AB26" s="75">
        <f>Z26*10000/AA26</f>
        <v>365.90985508826</v>
      </c>
    </row>
    <row r="27" s="2" customFormat="1" ht="15" customHeight="1" spans="1:28">
      <c r="A27" s="21">
        <v>42027</v>
      </c>
      <c r="B27" s="21" t="s">
        <v>37</v>
      </c>
      <c r="C27" s="22">
        <v>70003</v>
      </c>
      <c r="D27" s="8">
        <v>20800</v>
      </c>
      <c r="E27" s="8">
        <v>91845</v>
      </c>
      <c r="F27" s="23">
        <v>4773</v>
      </c>
      <c r="G27" s="24">
        <v>2933</v>
      </c>
      <c r="H27" s="25"/>
      <c r="I27" s="37"/>
      <c r="J27" s="9">
        <f t="shared" si="0"/>
        <v>71045</v>
      </c>
      <c r="K27" s="38">
        <f t="shared" si="1"/>
        <v>249</v>
      </c>
      <c r="L27" s="38">
        <v>793</v>
      </c>
      <c r="M27" s="78">
        <f t="shared" si="4"/>
        <v>1565315</v>
      </c>
      <c r="N27" s="79">
        <f t="shared" si="4"/>
        <v>488575</v>
      </c>
      <c r="O27" s="79">
        <f t="shared" si="4"/>
        <v>2078400</v>
      </c>
      <c r="P27" s="80">
        <f t="shared" si="3"/>
        <v>1565315</v>
      </c>
      <c r="Q27" s="80">
        <f t="shared" si="3"/>
        <v>488575</v>
      </c>
      <c r="R27" s="80">
        <f t="shared" si="3"/>
        <v>2078400</v>
      </c>
      <c r="S27" s="84">
        <f>M27/'[21]2014'!M27-1</f>
        <v>0.169551602710423</v>
      </c>
      <c r="T27" s="84">
        <f>N27/'[21]2014'!N27-1</f>
        <v>0.00417021206627943</v>
      </c>
      <c r="U27" s="84">
        <f>O27/'[21]2014'!O27-1</f>
        <v>0.124220891230655</v>
      </c>
      <c r="V27" s="85">
        <f>P27/'[21]2014'!P27-1</f>
        <v>0.169551602710423</v>
      </c>
      <c r="W27" s="85">
        <f>Q27/'[21]2014'!Q27-1</f>
        <v>0.00417021206627943</v>
      </c>
      <c r="X27" s="85">
        <f>R27/'[21]2014'!R27-1</f>
        <v>0.124220891230655</v>
      </c>
      <c r="Y27" s="38"/>
      <c r="Z27" s="38"/>
      <c r="AA27" s="38"/>
      <c r="AB27" s="38"/>
    </row>
    <row r="28" s="2" customFormat="1" ht="15" customHeight="1" spans="1:28">
      <c r="A28" s="21">
        <v>42028</v>
      </c>
      <c r="B28" s="21" t="s">
        <v>38</v>
      </c>
      <c r="C28" s="22">
        <v>66050</v>
      </c>
      <c r="D28" s="8">
        <v>20300</v>
      </c>
      <c r="E28" s="8">
        <v>87201</v>
      </c>
      <c r="F28" s="23">
        <v>4516</v>
      </c>
      <c r="G28" s="24">
        <v>2857</v>
      </c>
      <c r="H28" s="25"/>
      <c r="I28" s="37"/>
      <c r="J28" s="9">
        <f t="shared" si="0"/>
        <v>66901</v>
      </c>
      <c r="K28" s="38">
        <f t="shared" si="1"/>
        <v>58</v>
      </c>
      <c r="L28" s="38">
        <v>793</v>
      </c>
      <c r="M28" s="78">
        <f t="shared" si="4"/>
        <v>1631365</v>
      </c>
      <c r="N28" s="79">
        <f t="shared" si="4"/>
        <v>508875</v>
      </c>
      <c r="O28" s="79">
        <f t="shared" si="4"/>
        <v>2165601</v>
      </c>
      <c r="P28" s="80">
        <f t="shared" si="3"/>
        <v>1631365</v>
      </c>
      <c r="Q28" s="80">
        <f t="shared" si="3"/>
        <v>508875</v>
      </c>
      <c r="R28" s="80">
        <f t="shared" si="3"/>
        <v>2165601</v>
      </c>
      <c r="S28" s="84">
        <f>M28/'[21]2014'!M28-1</f>
        <v>0.190091983521899</v>
      </c>
      <c r="T28" s="84">
        <f>N28/'[21]2014'!N28-1</f>
        <v>0.00813441395965286</v>
      </c>
      <c r="U28" s="84">
        <f>O28/'[21]2014'!O28-1</f>
        <v>0.139514117634678</v>
      </c>
      <c r="V28" s="85">
        <f>P28/'[21]2014'!P28-1</f>
        <v>0.190091983521899</v>
      </c>
      <c r="W28" s="85">
        <f>Q28/'[21]2014'!Q28-1</f>
        <v>0.00813441395965286</v>
      </c>
      <c r="X28" s="85">
        <f>R28/'[21]2014'!R28-1</f>
        <v>0.139514117634678</v>
      </c>
      <c r="Y28" s="38"/>
      <c r="Z28" s="38"/>
      <c r="AA28" s="38"/>
      <c r="AB28" s="38"/>
    </row>
    <row r="29" s="2" customFormat="1" ht="15" customHeight="1" spans="1:28">
      <c r="A29" s="21">
        <v>42029</v>
      </c>
      <c r="B29" s="21" t="s">
        <v>1</v>
      </c>
      <c r="C29" s="22">
        <v>62200</v>
      </c>
      <c r="D29" s="8">
        <v>19950</v>
      </c>
      <c r="E29" s="8">
        <v>83037</v>
      </c>
      <c r="F29" s="23">
        <v>4205</v>
      </c>
      <c r="G29" s="24">
        <v>2718</v>
      </c>
      <c r="H29" s="25"/>
      <c r="I29" s="37"/>
      <c r="J29" s="9">
        <f t="shared" si="0"/>
        <v>63087</v>
      </c>
      <c r="K29" s="38">
        <f t="shared" si="1"/>
        <v>94</v>
      </c>
      <c r="L29" s="38">
        <v>793</v>
      </c>
      <c r="M29" s="78">
        <f t="shared" si="4"/>
        <v>1693565</v>
      </c>
      <c r="N29" s="79">
        <f t="shared" si="4"/>
        <v>528825</v>
      </c>
      <c r="O29" s="79">
        <f t="shared" si="4"/>
        <v>2248638</v>
      </c>
      <c r="P29" s="80">
        <f t="shared" si="3"/>
        <v>1693565</v>
      </c>
      <c r="Q29" s="80">
        <f t="shared" si="3"/>
        <v>528825</v>
      </c>
      <c r="R29" s="80">
        <f t="shared" si="3"/>
        <v>2248638</v>
      </c>
      <c r="S29" s="84">
        <f>M29/'[21]2014'!M29-1</f>
        <v>0.211810820228844</v>
      </c>
      <c r="T29" s="84">
        <f>N29/'[21]2014'!N29-1</f>
        <v>0.0141199166957515</v>
      </c>
      <c r="U29" s="84">
        <f>O29/'[21]2014'!O29-1</f>
        <v>0.155593995905178</v>
      </c>
      <c r="V29" s="85">
        <f>P29/'[21]2014'!P29-1</f>
        <v>0.211810820228844</v>
      </c>
      <c r="W29" s="85">
        <f>Q29/'[21]2014'!Q29-1</f>
        <v>0.0141199166957515</v>
      </c>
      <c r="X29" s="85">
        <f>R29/'[21]2014'!R29-1</f>
        <v>0.155593995905178</v>
      </c>
      <c r="Y29" s="38"/>
      <c r="Z29" s="38"/>
      <c r="AA29" s="38"/>
      <c r="AB29" s="38"/>
    </row>
    <row r="30" s="2" customFormat="1" ht="15" customHeight="1" spans="1:28">
      <c r="A30" s="21">
        <v>42030</v>
      </c>
      <c r="B30" s="21" t="s">
        <v>39</v>
      </c>
      <c r="C30" s="22">
        <v>64800</v>
      </c>
      <c r="D30" s="8">
        <v>20950</v>
      </c>
      <c r="E30" s="8">
        <v>86671</v>
      </c>
      <c r="F30" s="23">
        <v>4519</v>
      </c>
      <c r="G30" s="24">
        <v>2637</v>
      </c>
      <c r="H30" s="25"/>
      <c r="I30" s="37"/>
      <c r="J30" s="9">
        <f t="shared" si="0"/>
        <v>65721</v>
      </c>
      <c r="K30" s="38">
        <f t="shared" si="1"/>
        <v>128</v>
      </c>
      <c r="L30" s="38">
        <v>793</v>
      </c>
      <c r="M30" s="78">
        <f t="shared" si="4"/>
        <v>1758365</v>
      </c>
      <c r="N30" s="79">
        <f t="shared" si="4"/>
        <v>549775</v>
      </c>
      <c r="O30" s="79">
        <f t="shared" si="4"/>
        <v>2335309</v>
      </c>
      <c r="P30" s="80">
        <f t="shared" si="3"/>
        <v>1758365</v>
      </c>
      <c r="Q30" s="80">
        <f t="shared" si="3"/>
        <v>549775</v>
      </c>
      <c r="R30" s="80">
        <f t="shared" si="3"/>
        <v>2335309</v>
      </c>
      <c r="S30" s="84">
        <f>M30/'[21]2014'!M30-1</f>
        <v>0.236368839566278</v>
      </c>
      <c r="T30" s="84">
        <f>N30/'[21]2014'!N30-1</f>
        <v>0.0210724162331524</v>
      </c>
      <c r="U30" s="84">
        <f>O30/'[21]2014'!O30-1</f>
        <v>0.174484125187968</v>
      </c>
      <c r="V30" s="85">
        <f>P30/'[21]2014'!P30-1</f>
        <v>0.236368839566278</v>
      </c>
      <c r="W30" s="85">
        <f>Q30/'[21]2014'!Q30-1</f>
        <v>0.0210724162331524</v>
      </c>
      <c r="X30" s="85">
        <f>R30/'[21]2014'!R30-1</f>
        <v>0.174484125187968</v>
      </c>
      <c r="Y30" s="38"/>
      <c r="Z30" s="38"/>
      <c r="AA30" s="38"/>
      <c r="AB30" s="38"/>
    </row>
    <row r="31" s="2" customFormat="1" ht="15" customHeight="1" spans="1:28">
      <c r="A31" s="21">
        <v>42031</v>
      </c>
      <c r="B31" s="21" t="s">
        <v>34</v>
      </c>
      <c r="C31" s="22">
        <v>68000</v>
      </c>
      <c r="D31" s="8">
        <v>20900</v>
      </c>
      <c r="E31" s="8">
        <v>89777</v>
      </c>
      <c r="F31" s="23">
        <v>4612</v>
      </c>
      <c r="G31" s="24">
        <v>2740</v>
      </c>
      <c r="H31" s="25">
        <v>1150</v>
      </c>
      <c r="I31" s="37"/>
      <c r="J31" s="9">
        <f t="shared" si="0"/>
        <v>68877</v>
      </c>
      <c r="K31" s="38">
        <f t="shared" si="1"/>
        <v>84</v>
      </c>
      <c r="L31" s="38">
        <v>793</v>
      </c>
      <c r="M31" s="78">
        <f t="shared" si="4"/>
        <v>1826365</v>
      </c>
      <c r="N31" s="79">
        <f t="shared" si="4"/>
        <v>570675</v>
      </c>
      <c r="O31" s="79">
        <f t="shared" si="4"/>
        <v>2425086</v>
      </c>
      <c r="P31" s="80">
        <f t="shared" si="3"/>
        <v>1826365</v>
      </c>
      <c r="Q31" s="80">
        <f t="shared" si="3"/>
        <v>570675</v>
      </c>
      <c r="R31" s="80">
        <f t="shared" si="3"/>
        <v>2425086</v>
      </c>
      <c r="S31" s="84">
        <f>M31/'[21]2014'!M31-1</f>
        <v>0.264528614108516</v>
      </c>
      <c r="T31" s="84">
        <f>N31/'[21]2014'!N31-1</f>
        <v>0.0277006913467304</v>
      </c>
      <c r="U31" s="84">
        <f>O31/'[21]2014'!O31-1</f>
        <v>0.195631391778982</v>
      </c>
      <c r="V31" s="85">
        <f>P31/'[21]2014'!P31-1</f>
        <v>0.264528614108516</v>
      </c>
      <c r="W31" s="85">
        <f>Q31/'[21]2014'!Q31-1</f>
        <v>0.0277006913467304</v>
      </c>
      <c r="X31" s="85">
        <f>R31/'[21]2014'!R31-1</f>
        <v>0.195631391778982</v>
      </c>
      <c r="Y31" s="38"/>
      <c r="Z31" s="38"/>
      <c r="AA31" s="38"/>
      <c r="AB31" s="38"/>
    </row>
    <row r="32" s="2" customFormat="1" ht="15" customHeight="1" spans="1:28">
      <c r="A32" s="21">
        <v>42032</v>
      </c>
      <c r="B32" s="15" t="s">
        <v>35</v>
      </c>
      <c r="C32" s="16">
        <v>71900</v>
      </c>
      <c r="D32" s="17">
        <v>20600</v>
      </c>
      <c r="E32" s="17">
        <v>93400</v>
      </c>
      <c r="F32" s="18">
        <v>4837</v>
      </c>
      <c r="G32" s="19">
        <v>2812</v>
      </c>
      <c r="H32" s="20">
        <v>1150</v>
      </c>
      <c r="I32" s="20"/>
      <c r="J32" s="33">
        <f t="shared" si="0"/>
        <v>72800</v>
      </c>
      <c r="K32" s="34">
        <f t="shared" si="1"/>
        <v>107</v>
      </c>
      <c r="L32" s="34">
        <v>793</v>
      </c>
      <c r="M32" s="81">
        <f t="shared" si="4"/>
        <v>1898265</v>
      </c>
      <c r="N32" s="82">
        <f t="shared" si="4"/>
        <v>591275</v>
      </c>
      <c r="O32" s="82">
        <f t="shared" si="4"/>
        <v>2518486</v>
      </c>
      <c r="P32" s="81">
        <f t="shared" si="3"/>
        <v>1898265</v>
      </c>
      <c r="Q32" s="81">
        <f t="shared" si="3"/>
        <v>591275</v>
      </c>
      <c r="R32" s="81">
        <f t="shared" si="3"/>
        <v>2518486</v>
      </c>
      <c r="S32" s="86">
        <f>M32/'[21]2014'!M32-1</f>
        <v>0.295947486636127</v>
      </c>
      <c r="T32" s="86">
        <f>N32/'[21]2014'!N32-1</f>
        <v>0.0352631164260639</v>
      </c>
      <c r="U32" s="86">
        <f>O32/'[21]2014'!O32-1</f>
        <v>0.219312939845926</v>
      </c>
      <c r="V32" s="86">
        <f>P32/'[21]2014'!P32-1</f>
        <v>0.295947486636127</v>
      </c>
      <c r="W32" s="86">
        <f>Q32/'[21]2014'!Q32-1</f>
        <v>0.0352631164260639</v>
      </c>
      <c r="X32" s="86">
        <f>R32/'[21]2014'!R32-1</f>
        <v>0.219312939845926</v>
      </c>
      <c r="Y32" s="34"/>
      <c r="Z32" s="34"/>
      <c r="AA32" s="34"/>
      <c r="AB32" s="34"/>
    </row>
    <row r="33" ht="15" customHeight="1" spans="1:28">
      <c r="A33" s="21">
        <v>42033</v>
      </c>
      <c r="B33" s="21" t="s">
        <v>36</v>
      </c>
      <c r="C33" s="70">
        <v>70800</v>
      </c>
      <c r="D33" s="71">
        <v>21400</v>
      </c>
      <c r="E33" s="71">
        <v>93100</v>
      </c>
      <c r="F33" s="72">
        <v>4811</v>
      </c>
      <c r="G33" s="73">
        <v>2854</v>
      </c>
      <c r="H33" s="25"/>
      <c r="I33" s="25"/>
      <c r="J33" s="74">
        <f t="shared" si="0"/>
        <v>71700</v>
      </c>
      <c r="K33" s="75">
        <f t="shared" si="1"/>
        <v>107</v>
      </c>
      <c r="L33" s="75">
        <v>793</v>
      </c>
      <c r="M33" s="76">
        <f t="shared" si="4"/>
        <v>1969065</v>
      </c>
      <c r="N33" s="77">
        <f t="shared" si="4"/>
        <v>612675</v>
      </c>
      <c r="O33" s="77">
        <f t="shared" si="4"/>
        <v>2611586</v>
      </c>
      <c r="P33" s="76">
        <f t="shared" si="3"/>
        <v>1969065</v>
      </c>
      <c r="Q33" s="76">
        <f t="shared" si="3"/>
        <v>612675</v>
      </c>
      <c r="R33" s="76">
        <f t="shared" si="3"/>
        <v>2611586</v>
      </c>
      <c r="S33" s="83">
        <f>M33/'[21]2014'!M33-1</f>
        <v>0.326732679938497</v>
      </c>
      <c r="T33" s="83">
        <f>N33/'[21]2014'!N33-1</f>
        <v>0.0466832607555492</v>
      </c>
      <c r="U33" s="83">
        <f>O33/'[21]2014'!O33-1</f>
        <v>0.243651467141348</v>
      </c>
      <c r="V33" s="83">
        <f>P33/'[21]2014'!P33-1</f>
        <v>0.326732679938497</v>
      </c>
      <c r="W33" s="83">
        <f>Q33/'[21]2014'!Q33-1</f>
        <v>0.0466832607555492</v>
      </c>
      <c r="X33" s="83">
        <f>R33/'[21]2014'!R33-1</f>
        <v>0.243651467141348</v>
      </c>
      <c r="Y33" s="75">
        <f>Y26+0.4*7</f>
        <v>9.9889</v>
      </c>
      <c r="Z33" s="75">
        <f>P33/10000-Y33</f>
        <v>186.9176</v>
      </c>
      <c r="AA33" s="89">
        <f>AA26</f>
        <v>3890.092</v>
      </c>
      <c r="AB33" s="75">
        <f>Z33*10000/AA33</f>
        <v>480.496605221676</v>
      </c>
    </row>
    <row r="34" ht="15" customHeight="1" spans="1:28">
      <c r="A34" s="21">
        <v>42034</v>
      </c>
      <c r="B34" s="21" t="s">
        <v>37</v>
      </c>
      <c r="C34" s="22">
        <v>71133</v>
      </c>
      <c r="D34" s="8">
        <v>21468</v>
      </c>
      <c r="E34" s="8">
        <v>93430</v>
      </c>
      <c r="F34" s="23">
        <v>4844</v>
      </c>
      <c r="G34" s="24">
        <v>2815</v>
      </c>
      <c r="H34" s="25"/>
      <c r="I34" s="37"/>
      <c r="J34" s="9">
        <f t="shared" si="0"/>
        <v>71962</v>
      </c>
      <c r="K34" s="38">
        <f t="shared" si="1"/>
        <v>36</v>
      </c>
      <c r="L34" s="38">
        <v>793</v>
      </c>
      <c r="M34" s="78">
        <f t="shared" si="4"/>
        <v>2040198</v>
      </c>
      <c r="N34" s="79">
        <f t="shared" si="4"/>
        <v>634143</v>
      </c>
      <c r="O34" s="79">
        <f t="shared" si="4"/>
        <v>2705016</v>
      </c>
      <c r="P34" s="80">
        <f t="shared" si="3"/>
        <v>2040198</v>
      </c>
      <c r="Q34" s="80">
        <f t="shared" si="3"/>
        <v>634143</v>
      </c>
      <c r="R34" s="80">
        <f t="shared" si="3"/>
        <v>2705016</v>
      </c>
      <c r="S34" s="84">
        <f>M34/'[21]2014'!M34-1</f>
        <v>0.358044233331958</v>
      </c>
      <c r="T34" s="84">
        <f>N34/'[21]2014'!N34-1</f>
        <v>0.0575968446025108</v>
      </c>
      <c r="U34" s="84">
        <f>O34/'[21]2014'!O34-1</f>
        <v>0.268700202052796</v>
      </c>
      <c r="V34" s="85">
        <f>P34/'[21]2014'!P34-1</f>
        <v>0.358044233331958</v>
      </c>
      <c r="W34" s="85">
        <f>Q34/'[21]2014'!Q34-1</f>
        <v>0.0575968446025108</v>
      </c>
      <c r="X34" s="85">
        <f>R34/'[21]2014'!R34-1</f>
        <v>0.268700202052796</v>
      </c>
      <c r="Y34" s="38"/>
      <c r="Z34" s="38"/>
      <c r="AA34" s="38"/>
      <c r="AB34" s="38"/>
    </row>
    <row r="35" s="1" customFormat="1" ht="15" customHeight="1" spans="1:29">
      <c r="A35" s="26">
        <v>42035</v>
      </c>
      <c r="B35" s="21" t="s">
        <v>38</v>
      </c>
      <c r="C35" s="22">
        <v>68681</v>
      </c>
      <c r="D35" s="8">
        <v>20072</v>
      </c>
      <c r="E35" s="8">
        <v>89611</v>
      </c>
      <c r="F35" s="23">
        <v>4581</v>
      </c>
      <c r="G35" s="24">
        <v>2797</v>
      </c>
      <c r="H35" s="25"/>
      <c r="I35" s="37"/>
      <c r="J35" s="9">
        <f t="shared" si="0"/>
        <v>69539</v>
      </c>
      <c r="K35" s="38">
        <f t="shared" si="1"/>
        <v>65</v>
      </c>
      <c r="L35" s="38">
        <v>793</v>
      </c>
      <c r="M35" s="78">
        <f t="shared" si="4"/>
        <v>2108879</v>
      </c>
      <c r="N35" s="79">
        <f t="shared" si="4"/>
        <v>654215</v>
      </c>
      <c r="O35" s="79">
        <f t="shared" si="4"/>
        <v>2794627</v>
      </c>
      <c r="P35" s="80">
        <f t="shared" si="3"/>
        <v>2108879</v>
      </c>
      <c r="Q35" s="80">
        <f t="shared" si="3"/>
        <v>654215</v>
      </c>
      <c r="R35" s="80">
        <f t="shared" si="3"/>
        <v>2794627</v>
      </c>
      <c r="S35" s="84">
        <f>M35/'[21]2014'!M35-1</f>
        <v>0.389102854180623</v>
      </c>
      <c r="T35" s="84">
        <f>N35/'[21]2014'!N35-1</f>
        <v>0.0697609771851149</v>
      </c>
      <c r="U35" s="84">
        <f>O35/'[21]2014'!O35-1</f>
        <v>0.293349537455913</v>
      </c>
      <c r="V35" s="85">
        <f>P35/'[21]2014'!P35-1</f>
        <v>0.389102854180623</v>
      </c>
      <c r="W35" s="85">
        <f>Q35/'[21]2014'!Q35-1</f>
        <v>0.0697609771851149</v>
      </c>
      <c r="X35" s="85">
        <f>R35/'[21]2014'!R35-1</f>
        <v>0.293349537455913</v>
      </c>
      <c r="Y35" s="38">
        <v>10.3177</v>
      </c>
      <c r="Z35" s="38">
        <f>P35/10000-Y35</f>
        <v>200.5702</v>
      </c>
      <c r="AA35" s="38">
        <v>3890.092</v>
      </c>
      <c r="AB35" s="38">
        <f>Z35*10000/AA35</f>
        <v>515.592433289495</v>
      </c>
      <c r="AC35" s="90"/>
    </row>
    <row r="36" ht="15" customHeight="1" spans="1:28">
      <c r="A36" s="21">
        <v>42036</v>
      </c>
      <c r="B36" s="21" t="s">
        <v>1</v>
      </c>
      <c r="C36" s="22">
        <v>65300</v>
      </c>
      <c r="D36" s="8">
        <v>19800</v>
      </c>
      <c r="E36" s="8">
        <v>86084</v>
      </c>
      <c r="F36" s="23">
        <v>4320</v>
      </c>
      <c r="G36" s="24">
        <v>2704</v>
      </c>
      <c r="H36" s="25"/>
      <c r="I36" s="37"/>
      <c r="J36" s="9">
        <f t="shared" si="0"/>
        <v>66284</v>
      </c>
      <c r="K36" s="38">
        <f t="shared" si="1"/>
        <v>192</v>
      </c>
      <c r="L36" s="38">
        <v>792</v>
      </c>
      <c r="M36" s="78">
        <f>C36</f>
        <v>65300</v>
      </c>
      <c r="N36" s="79">
        <f>D36</f>
        <v>19800</v>
      </c>
      <c r="O36" s="79">
        <f>E36</f>
        <v>86084</v>
      </c>
      <c r="P36" s="80">
        <f>M36+P$35</f>
        <v>2174179</v>
      </c>
      <c r="Q36" s="80">
        <f>N36+Q$35</f>
        <v>674015</v>
      </c>
      <c r="R36" s="80">
        <f>O36+R$35</f>
        <v>2880711</v>
      </c>
      <c r="S36" s="84">
        <f>M36/'[21]2014'!M36-1</f>
        <v>3.2629586107847</v>
      </c>
      <c r="T36" s="84">
        <f>N36/'[21]2014'!N36-1</f>
        <v>0.687979539641944</v>
      </c>
      <c r="U36" s="84">
        <f>O36/'[21]2014'!O36-1</f>
        <v>2.08865846220085</v>
      </c>
      <c r="V36" s="85">
        <f>P36/'[21]2014'!P36-1</f>
        <v>0.417809983455898</v>
      </c>
      <c r="W36" s="85">
        <f>Q36/'[21]2014'!Q36-1</f>
        <v>0.0813956753157676</v>
      </c>
      <c r="X36" s="85">
        <f>R36/'[21]2014'!R36-1</f>
        <v>0.31621172619684</v>
      </c>
      <c r="Y36" s="38"/>
      <c r="Z36" s="38"/>
      <c r="AA36" s="38"/>
      <c r="AB36" s="38"/>
    </row>
    <row r="37" ht="15" customHeight="1" spans="1:28">
      <c r="A37" s="21">
        <v>42037</v>
      </c>
      <c r="B37" s="21" t="s">
        <v>39</v>
      </c>
      <c r="C37" s="22">
        <v>66500</v>
      </c>
      <c r="D37" s="8">
        <v>20800</v>
      </c>
      <c r="E37" s="8">
        <v>88398</v>
      </c>
      <c r="F37" s="23">
        <v>4612</v>
      </c>
      <c r="G37" s="24">
        <v>2587</v>
      </c>
      <c r="H37" s="25"/>
      <c r="I37" s="37"/>
      <c r="J37" s="9">
        <f t="shared" si="0"/>
        <v>67598</v>
      </c>
      <c r="K37" s="38">
        <f t="shared" si="1"/>
        <v>306</v>
      </c>
      <c r="L37" s="38">
        <v>792</v>
      </c>
      <c r="M37" s="78">
        <f t="shared" ref="M37:O52" si="5">M36+C37</f>
        <v>131800</v>
      </c>
      <c r="N37" s="79">
        <f t="shared" si="5"/>
        <v>40600</v>
      </c>
      <c r="O37" s="79">
        <f t="shared" si="5"/>
        <v>174482</v>
      </c>
      <c r="P37" s="80">
        <f t="shared" ref="P37:R63" si="6">M37+P$35</f>
        <v>2240679</v>
      </c>
      <c r="Q37" s="80">
        <f t="shared" si="6"/>
        <v>694815</v>
      </c>
      <c r="R37" s="80">
        <f t="shared" si="6"/>
        <v>2969109</v>
      </c>
      <c r="S37" s="84">
        <f>M37/'[21]2014'!M37-1</f>
        <v>3.200796812749</v>
      </c>
      <c r="T37" s="84">
        <f>N37/'[21]2014'!N37-1</f>
        <v>0.735858737013126</v>
      </c>
      <c r="U37" s="84">
        <f>O37/'[21]2014'!O37-1</f>
        <v>2.09573826336894</v>
      </c>
      <c r="V37" s="85">
        <f>P37/'[21]2014'!P37-1</f>
        <v>0.446034097993332</v>
      </c>
      <c r="W37" s="85">
        <f>Q37/'[21]2014'!Q37-1</f>
        <v>0.0942976636430286</v>
      </c>
      <c r="X37" s="85">
        <f>R37/'[21]2014'!R37-1</f>
        <v>0.339168356915633</v>
      </c>
      <c r="Y37" s="38"/>
      <c r="Z37" s="38"/>
      <c r="AA37" s="38"/>
      <c r="AB37" s="38"/>
    </row>
    <row r="38" ht="15" customHeight="1" spans="1:28">
      <c r="A38" s="21">
        <v>42038</v>
      </c>
      <c r="B38" s="21" t="s">
        <v>34</v>
      </c>
      <c r="C38" s="22">
        <v>63800</v>
      </c>
      <c r="D38" s="8">
        <v>21080</v>
      </c>
      <c r="E38" s="8">
        <v>86572</v>
      </c>
      <c r="F38" s="23">
        <v>4467</v>
      </c>
      <c r="G38" s="24">
        <v>2622</v>
      </c>
      <c r="H38" s="25"/>
      <c r="I38" s="37"/>
      <c r="J38" s="9">
        <f t="shared" si="0"/>
        <v>65492</v>
      </c>
      <c r="K38" s="38">
        <f t="shared" si="1"/>
        <v>900</v>
      </c>
      <c r="L38" s="38">
        <v>792</v>
      </c>
      <c r="M38" s="78">
        <f t="shared" si="5"/>
        <v>195600</v>
      </c>
      <c r="N38" s="79">
        <f t="shared" si="5"/>
        <v>61680</v>
      </c>
      <c r="O38" s="79">
        <f t="shared" si="5"/>
        <v>261054</v>
      </c>
      <c r="P38" s="80">
        <f t="shared" si="6"/>
        <v>2304479</v>
      </c>
      <c r="Q38" s="80">
        <f t="shared" si="6"/>
        <v>715895</v>
      </c>
      <c r="R38" s="80">
        <f t="shared" si="6"/>
        <v>3055681</v>
      </c>
      <c r="S38" s="84">
        <f>M38/'[21]2014'!M38-1</f>
        <v>3.08061083990487</v>
      </c>
      <c r="T38" s="84">
        <f>N38/'[21]2014'!N38-1</f>
        <v>0.710719733740119</v>
      </c>
      <c r="U38" s="84">
        <f>O38/'[21]2014'!O38-1</f>
        <v>2.01653551495823</v>
      </c>
      <c r="V38" s="85">
        <f>P38/'[21]2014'!P38-1</f>
        <v>0.471482855743561</v>
      </c>
      <c r="W38" s="85">
        <f>Q38/'[21]2014'!Q38-1</f>
        <v>0.105445814015434</v>
      </c>
      <c r="X38" s="85">
        <f>R38/'[21]2014'!R38-1</f>
        <v>0.359707258640115</v>
      </c>
      <c r="Y38" s="38"/>
      <c r="Z38" s="38"/>
      <c r="AA38" s="38"/>
      <c r="AB38" s="38"/>
    </row>
    <row r="39" ht="15" customHeight="1" spans="1:28">
      <c r="A39" s="21">
        <v>42039</v>
      </c>
      <c r="B39" s="15" t="s">
        <v>35</v>
      </c>
      <c r="C39" s="16">
        <v>61200</v>
      </c>
      <c r="D39" s="17">
        <v>19870</v>
      </c>
      <c r="E39" s="17">
        <v>82012</v>
      </c>
      <c r="F39" s="18">
        <v>4271</v>
      </c>
      <c r="G39" s="19">
        <v>2545</v>
      </c>
      <c r="H39" s="20"/>
      <c r="I39" s="20"/>
      <c r="J39" s="33">
        <f t="shared" si="0"/>
        <v>62142</v>
      </c>
      <c r="K39" s="34">
        <f t="shared" si="1"/>
        <v>150</v>
      </c>
      <c r="L39" s="34">
        <v>792</v>
      </c>
      <c r="M39" s="81">
        <f t="shared" si="5"/>
        <v>256800</v>
      </c>
      <c r="N39" s="82">
        <f t="shared" si="5"/>
        <v>81550</v>
      </c>
      <c r="O39" s="82">
        <f t="shared" si="5"/>
        <v>343066</v>
      </c>
      <c r="P39" s="81">
        <f t="shared" si="6"/>
        <v>2365679</v>
      </c>
      <c r="Q39" s="81">
        <f t="shared" si="6"/>
        <v>735765</v>
      </c>
      <c r="R39" s="81">
        <f t="shared" si="6"/>
        <v>3137693</v>
      </c>
      <c r="S39" s="86">
        <f>M39/'[21]2014'!M39-1</f>
        <v>2.87845103606597</v>
      </c>
      <c r="T39" s="86">
        <f>N39/'[21]2014'!N39-1</f>
        <v>0.650976819516145</v>
      </c>
      <c r="U39" s="86">
        <f>O39/'[21]2014'!O39-1</f>
        <v>1.87715325651219</v>
      </c>
      <c r="V39" s="86">
        <f>P39/'[21]2014'!P39-1</f>
        <v>0.493134499432267</v>
      </c>
      <c r="W39" s="86">
        <f>Q39/'[21]2014'!Q39-1</f>
        <v>0.113197341695066</v>
      </c>
      <c r="X39" s="86">
        <f>R39/'[21]2014'!R39-1</f>
        <v>0.376178122416398</v>
      </c>
      <c r="Y39" s="34"/>
      <c r="Z39" s="34"/>
      <c r="AA39" s="34"/>
      <c r="AB39" s="34"/>
    </row>
    <row r="40" ht="15" customHeight="1" spans="1:28">
      <c r="A40" s="21">
        <v>42040</v>
      </c>
      <c r="B40" s="21" t="s">
        <v>36</v>
      </c>
      <c r="C40" s="70">
        <v>58700</v>
      </c>
      <c r="D40" s="71">
        <v>19800</v>
      </c>
      <c r="E40" s="71">
        <v>79814</v>
      </c>
      <c r="F40" s="72">
        <v>4059</v>
      </c>
      <c r="G40" s="73">
        <v>2464</v>
      </c>
      <c r="H40" s="25">
        <v>1046</v>
      </c>
      <c r="I40" s="25"/>
      <c r="J40" s="74">
        <f t="shared" si="0"/>
        <v>60014</v>
      </c>
      <c r="K40" s="75">
        <f t="shared" si="1"/>
        <v>523</v>
      </c>
      <c r="L40" s="75">
        <v>791</v>
      </c>
      <c r="M40" s="76">
        <f t="shared" si="5"/>
        <v>315500</v>
      </c>
      <c r="N40" s="77">
        <f t="shared" si="5"/>
        <v>101350</v>
      </c>
      <c r="O40" s="77">
        <f t="shared" si="5"/>
        <v>422880</v>
      </c>
      <c r="P40" s="76">
        <f t="shared" si="6"/>
        <v>2424379</v>
      </c>
      <c r="Q40" s="76">
        <f t="shared" si="6"/>
        <v>755565</v>
      </c>
      <c r="R40" s="76">
        <f t="shared" si="6"/>
        <v>3217507</v>
      </c>
      <c r="S40" s="83">
        <f>M40/'[21]2014'!M40-1</f>
        <v>2.57778710182235</v>
      </c>
      <c r="T40" s="83">
        <f>N40/'[21]2014'!N40-1</f>
        <v>0.646200825130754</v>
      </c>
      <c r="U40" s="83">
        <f>O40/'[21]2014'!O40-1</f>
        <v>1.73772529521442</v>
      </c>
      <c r="V40" s="83">
        <f>P40/'[21]2014'!P40-1</f>
        <v>0.509254567209224</v>
      </c>
      <c r="W40" s="83">
        <f>Q40/'[21]2014'!Q40-1</f>
        <v>0.122484376822209</v>
      </c>
      <c r="X40" s="83">
        <f>R40/'[21]2014'!R40-1</f>
        <v>0.389713164690694</v>
      </c>
      <c r="Y40" s="75">
        <f>Y35+0.32*5</f>
        <v>11.9177</v>
      </c>
      <c r="Z40" s="75">
        <f>P40/10000-Y40</f>
        <v>230.5202</v>
      </c>
      <c r="AA40" s="89">
        <v>3890.092</v>
      </c>
      <c r="AB40" s="75">
        <f>Z40*10000/AA40</f>
        <v>592.582900352999</v>
      </c>
    </row>
    <row r="41" ht="15" customHeight="1" spans="1:28">
      <c r="A41" s="21">
        <v>42041</v>
      </c>
      <c r="B41" s="21" t="s">
        <v>37</v>
      </c>
      <c r="C41" s="22">
        <v>56980</v>
      </c>
      <c r="D41" s="8">
        <v>19200</v>
      </c>
      <c r="E41" s="8">
        <v>77500</v>
      </c>
      <c r="F41" s="23">
        <v>3996</v>
      </c>
      <c r="G41" s="24">
        <v>2440</v>
      </c>
      <c r="H41" s="25">
        <v>938</v>
      </c>
      <c r="I41" s="37">
        <v>640</v>
      </c>
      <c r="J41" s="9">
        <f t="shared" si="0"/>
        <v>58300</v>
      </c>
      <c r="K41" s="38">
        <f t="shared" si="1"/>
        <v>528</v>
      </c>
      <c r="L41" s="38">
        <v>792</v>
      </c>
      <c r="M41" s="78">
        <f t="shared" si="5"/>
        <v>372480</v>
      </c>
      <c r="N41" s="79">
        <f t="shared" si="5"/>
        <v>120550</v>
      </c>
      <c r="O41" s="79">
        <f t="shared" si="5"/>
        <v>500380</v>
      </c>
      <c r="P41" s="80">
        <f t="shared" si="6"/>
        <v>2481359</v>
      </c>
      <c r="Q41" s="80">
        <f t="shared" si="6"/>
        <v>774765</v>
      </c>
      <c r="R41" s="80">
        <f t="shared" si="6"/>
        <v>3295007</v>
      </c>
      <c r="S41" s="84">
        <f>M41/'[21]2014'!M41-1</f>
        <v>2.34714197137029</v>
      </c>
      <c r="T41" s="84">
        <f>N41/'[21]2014'!N41-1</f>
        <v>0.624093983240374</v>
      </c>
      <c r="U41" s="84">
        <f>O41/'[21]2014'!O41-1</f>
        <v>1.61833746716482</v>
      </c>
      <c r="V41" s="85">
        <f>P41/'[21]2014'!P41-1</f>
        <v>0.522827446450994</v>
      </c>
      <c r="W41" s="85">
        <f>Q41/'[21]2014'!Q41-1</f>
        <v>0.129759827699468</v>
      </c>
      <c r="X41" s="85">
        <f>R41/'[21]2014'!R41-1</f>
        <v>0.4010140003308</v>
      </c>
      <c r="Y41" s="38"/>
      <c r="Z41" s="38"/>
      <c r="AA41" s="38"/>
      <c r="AB41" s="38"/>
    </row>
    <row r="42" ht="15" customHeight="1" spans="1:28">
      <c r="A42" s="21">
        <v>42042</v>
      </c>
      <c r="B42" s="21" t="s">
        <v>38</v>
      </c>
      <c r="C42" s="22">
        <v>58200</v>
      </c>
      <c r="D42" s="8">
        <v>18066</v>
      </c>
      <c r="E42" s="8">
        <v>77400</v>
      </c>
      <c r="F42" s="23">
        <v>3594</v>
      </c>
      <c r="G42" s="24">
        <v>2337</v>
      </c>
      <c r="H42" s="25"/>
      <c r="I42" s="37"/>
      <c r="J42" s="9">
        <f t="shared" si="0"/>
        <v>59334</v>
      </c>
      <c r="K42" s="38">
        <f t="shared" si="1"/>
        <v>342</v>
      </c>
      <c r="L42" s="38">
        <v>792</v>
      </c>
      <c r="M42" s="78">
        <f t="shared" si="5"/>
        <v>430680</v>
      </c>
      <c r="N42" s="79">
        <f t="shared" si="5"/>
        <v>138616</v>
      </c>
      <c r="O42" s="79">
        <f t="shared" si="5"/>
        <v>577780</v>
      </c>
      <c r="P42" s="80">
        <f t="shared" si="6"/>
        <v>2539559</v>
      </c>
      <c r="Q42" s="80">
        <f t="shared" si="6"/>
        <v>792831</v>
      </c>
      <c r="R42" s="80">
        <f t="shared" si="6"/>
        <v>3372407</v>
      </c>
      <c r="S42" s="84">
        <f>M42/'[21]2014'!M42-1</f>
        <v>2.1308519918581</v>
      </c>
      <c r="T42" s="84">
        <f>N42/'[21]2014'!N42-1</f>
        <v>0.565822470234733</v>
      </c>
      <c r="U42" s="84">
        <f>O42/'[21]2014'!O42-1</f>
        <v>1.47896581757647</v>
      </c>
      <c r="V42" s="85">
        <f>P42/'[21]2014'!P42-1</f>
        <v>0.53381038690744</v>
      </c>
      <c r="W42" s="85">
        <f>Q42/'[21]2014'!Q42-1</f>
        <v>0.132488713765671</v>
      </c>
      <c r="X42" s="85">
        <f>R42/'[21]2014'!R42-1</f>
        <v>0.408785466029476</v>
      </c>
      <c r="Y42" s="38"/>
      <c r="Z42" s="38"/>
      <c r="AA42" s="38"/>
      <c r="AB42" s="38"/>
    </row>
    <row r="43" ht="15" customHeight="1" spans="1:28">
      <c r="A43" s="21">
        <v>42043</v>
      </c>
      <c r="B43" s="21" t="s">
        <v>1</v>
      </c>
      <c r="C43" s="22">
        <v>44400</v>
      </c>
      <c r="D43" s="8">
        <v>20200</v>
      </c>
      <c r="E43" s="8">
        <v>65800</v>
      </c>
      <c r="F43" s="23">
        <v>3236</v>
      </c>
      <c r="G43" s="24">
        <v>2116</v>
      </c>
      <c r="H43" s="25"/>
      <c r="I43" s="37"/>
      <c r="J43" s="9">
        <f t="shared" si="0"/>
        <v>45600</v>
      </c>
      <c r="K43" s="38">
        <f t="shared" si="1"/>
        <v>408</v>
      </c>
      <c r="L43" s="38">
        <v>792</v>
      </c>
      <c r="M43" s="78">
        <f t="shared" si="5"/>
        <v>475080</v>
      </c>
      <c r="N43" s="79">
        <f t="shared" si="5"/>
        <v>158816</v>
      </c>
      <c r="O43" s="79">
        <f t="shared" si="5"/>
        <v>643580</v>
      </c>
      <c r="P43" s="80">
        <f t="shared" si="6"/>
        <v>2583959</v>
      </c>
      <c r="Q43" s="80">
        <f t="shared" si="6"/>
        <v>813031</v>
      </c>
      <c r="R43" s="80">
        <f t="shared" si="6"/>
        <v>3438207</v>
      </c>
      <c r="S43" s="84">
        <f>M43/'[21]2014'!M43-1</f>
        <v>1.77761212355077</v>
      </c>
      <c r="T43" s="84">
        <f>N43/'[21]2014'!N43-1</f>
        <v>0.572638062324854</v>
      </c>
      <c r="U43" s="84">
        <f>O43/'[21]2014'!O43-1</f>
        <v>1.29098882948049</v>
      </c>
      <c r="V43" s="85">
        <f>P43/'[21]2014'!P43-1</f>
        <v>0.529695749106973</v>
      </c>
      <c r="W43" s="85">
        <f>Q43/'[21]2014'!Q43-1</f>
        <v>0.141032883089288</v>
      </c>
      <c r="X43" s="85">
        <f>R43/'[21]2014'!R43-1</f>
        <v>0.408128812684683</v>
      </c>
      <c r="Y43" s="38"/>
      <c r="Z43" s="38"/>
      <c r="AA43" s="38"/>
      <c r="AB43" s="38"/>
    </row>
    <row r="44" ht="15" customHeight="1" spans="1:28">
      <c r="A44" s="21">
        <v>42044</v>
      </c>
      <c r="B44" s="21" t="s">
        <v>39</v>
      </c>
      <c r="C44" s="22">
        <v>43800</v>
      </c>
      <c r="D44" s="8">
        <v>21400</v>
      </c>
      <c r="E44" s="8">
        <v>66900</v>
      </c>
      <c r="F44" s="23">
        <v>3400</v>
      </c>
      <c r="G44" s="24">
        <v>2034</v>
      </c>
      <c r="H44" s="25"/>
      <c r="I44" s="37"/>
      <c r="J44" s="9">
        <f t="shared" si="0"/>
        <v>45500</v>
      </c>
      <c r="K44" s="38">
        <f t="shared" si="1"/>
        <v>908</v>
      </c>
      <c r="L44" s="38">
        <v>792</v>
      </c>
      <c r="M44" s="78">
        <f t="shared" si="5"/>
        <v>518880</v>
      </c>
      <c r="N44" s="79">
        <f t="shared" si="5"/>
        <v>180216</v>
      </c>
      <c r="O44" s="79">
        <f t="shared" si="5"/>
        <v>710480</v>
      </c>
      <c r="P44" s="80">
        <f t="shared" si="6"/>
        <v>2627759</v>
      </c>
      <c r="Q44" s="80">
        <f t="shared" si="6"/>
        <v>834431</v>
      </c>
      <c r="R44" s="80">
        <f t="shared" si="6"/>
        <v>3505107</v>
      </c>
      <c r="S44" s="84">
        <f>M44/'[21]2014'!M44-1</f>
        <v>1.4654331898395</v>
      </c>
      <c r="T44" s="84">
        <f>N44/'[21]2014'!N44-1</f>
        <v>0.580038226165635</v>
      </c>
      <c r="U44" s="84">
        <f>O44/'[21]2014'!O44-1</f>
        <v>1.12517498414674</v>
      </c>
      <c r="V44" s="85">
        <f>P44/'[21]2014'!P44-1</f>
        <v>0.520147562710392</v>
      </c>
      <c r="W44" s="85">
        <f>Q44/'[21]2014'!Q44-1</f>
        <v>0.149970955491961</v>
      </c>
      <c r="X44" s="85">
        <f>R44/'[21]2014'!R44-1</f>
        <v>0.404805771992355</v>
      </c>
      <c r="Y44" s="38"/>
      <c r="Z44" s="38"/>
      <c r="AA44" s="38"/>
      <c r="AB44" s="38"/>
    </row>
    <row r="45" ht="15" customHeight="1" spans="1:28">
      <c r="A45" s="21">
        <v>42045</v>
      </c>
      <c r="B45" s="21" t="s">
        <v>34</v>
      </c>
      <c r="C45" s="22">
        <v>39700</v>
      </c>
      <c r="D45" s="8">
        <v>21300</v>
      </c>
      <c r="E45" s="8">
        <v>62000</v>
      </c>
      <c r="F45" s="23">
        <v>3186</v>
      </c>
      <c r="G45" s="24">
        <v>2018</v>
      </c>
      <c r="H45" s="25"/>
      <c r="I45" s="37"/>
      <c r="J45" s="9">
        <f t="shared" si="0"/>
        <v>40700</v>
      </c>
      <c r="K45" s="38">
        <f t="shared" si="1"/>
        <v>208</v>
      </c>
      <c r="L45" s="38">
        <v>792</v>
      </c>
      <c r="M45" s="78">
        <f t="shared" si="5"/>
        <v>558580</v>
      </c>
      <c r="N45" s="79">
        <f t="shared" si="5"/>
        <v>201516</v>
      </c>
      <c r="O45" s="79">
        <f t="shared" si="5"/>
        <v>772480</v>
      </c>
      <c r="P45" s="80">
        <f t="shared" si="6"/>
        <v>2667459</v>
      </c>
      <c r="Q45" s="80">
        <f t="shared" si="6"/>
        <v>855731</v>
      </c>
      <c r="R45" s="80">
        <f t="shared" si="6"/>
        <v>3567107</v>
      </c>
      <c r="S45" s="84">
        <f>M45/'[21]2014'!M45-1</f>
        <v>1.18380850918261</v>
      </c>
      <c r="T45" s="84">
        <f>N45/'[21]2014'!N45-1</f>
        <v>0.579278996865204</v>
      </c>
      <c r="U45" s="84">
        <f>O45/'[21]2014'!O45-1</f>
        <v>0.958238376381893</v>
      </c>
      <c r="V45" s="85">
        <f>P45/'[21]2014'!P45-1</f>
        <v>0.503690510650999</v>
      </c>
      <c r="W45" s="85">
        <f>Q45/'[21]2014'!Q45-1</f>
        <v>0.157719144560831</v>
      </c>
      <c r="X45" s="85">
        <f>R45/'[21]2014'!R45-1</f>
        <v>0.395994668219552</v>
      </c>
      <c r="Y45" s="38">
        <v>13.1994</v>
      </c>
      <c r="Z45" s="38">
        <f>P45/10000-Y45</f>
        <v>253.5465</v>
      </c>
      <c r="AA45" s="38">
        <v>3890.092</v>
      </c>
      <c r="AB45" s="38">
        <f>Z45*10000/AA45</f>
        <v>651.775073700056</v>
      </c>
    </row>
    <row r="46" ht="15" customHeight="1" spans="1:28">
      <c r="A46" s="21">
        <v>42046</v>
      </c>
      <c r="B46" s="15" t="s">
        <v>35</v>
      </c>
      <c r="C46" s="16">
        <v>34400</v>
      </c>
      <c r="D46" s="17">
        <v>20800</v>
      </c>
      <c r="E46" s="17">
        <v>56600</v>
      </c>
      <c r="F46" s="18">
        <v>2873</v>
      </c>
      <c r="G46" s="19">
        <v>1854</v>
      </c>
      <c r="H46" s="20"/>
      <c r="I46" s="20"/>
      <c r="J46" s="33">
        <f t="shared" si="0"/>
        <v>35800</v>
      </c>
      <c r="K46" s="34">
        <f t="shared" si="1"/>
        <v>608</v>
      </c>
      <c r="L46" s="34">
        <v>792</v>
      </c>
      <c r="M46" s="81">
        <f t="shared" si="5"/>
        <v>592980</v>
      </c>
      <c r="N46" s="82">
        <f t="shared" si="5"/>
        <v>222316</v>
      </c>
      <c r="O46" s="82">
        <f t="shared" si="5"/>
        <v>829080</v>
      </c>
      <c r="P46" s="81">
        <f t="shared" si="6"/>
        <v>2701859</v>
      </c>
      <c r="Q46" s="81">
        <f t="shared" si="6"/>
        <v>876531</v>
      </c>
      <c r="R46" s="81">
        <f t="shared" si="6"/>
        <v>3623707</v>
      </c>
      <c r="S46" s="86">
        <f>M46/'[21]2014'!M46-1</f>
        <v>0.95357065789452</v>
      </c>
      <c r="T46" s="86">
        <f>N46/'[21]2014'!N46-1</f>
        <v>0.550688447749118</v>
      </c>
      <c r="U46" s="86">
        <f>O46/'[21]2014'!O46-1</f>
        <v>0.80680986087381</v>
      </c>
      <c r="V46" s="86">
        <f>P46/'[21]2014'!P46-1</f>
        <v>0.483156213538432</v>
      </c>
      <c r="W46" s="86">
        <f>Q46/'[21]2014'!Q46-1</f>
        <v>0.161093548508879</v>
      </c>
      <c r="X46" s="86">
        <f>R46/'[21]2014'!R46-1</f>
        <v>0.383289096823179</v>
      </c>
      <c r="Y46" s="34"/>
      <c r="Z46" s="34"/>
      <c r="AA46" s="34"/>
      <c r="AB46" s="34"/>
    </row>
    <row r="47" ht="15" customHeight="1" spans="1:28">
      <c r="A47" s="21">
        <v>42047</v>
      </c>
      <c r="B47" s="21" t="s">
        <v>36</v>
      </c>
      <c r="C47" s="70">
        <v>28300</v>
      </c>
      <c r="D47" s="71">
        <v>21000</v>
      </c>
      <c r="E47" s="71">
        <v>50400</v>
      </c>
      <c r="F47" s="72">
        <v>2509</v>
      </c>
      <c r="G47" s="73">
        <v>1650</v>
      </c>
      <c r="H47" s="25"/>
      <c r="I47" s="25"/>
      <c r="J47" s="74">
        <f t="shared" si="0"/>
        <v>29400</v>
      </c>
      <c r="K47" s="75">
        <f t="shared" si="1"/>
        <v>309</v>
      </c>
      <c r="L47" s="75">
        <v>791</v>
      </c>
      <c r="M47" s="76">
        <f t="shared" si="5"/>
        <v>621280</v>
      </c>
      <c r="N47" s="77">
        <f t="shared" si="5"/>
        <v>243316</v>
      </c>
      <c r="O47" s="77">
        <f t="shared" si="5"/>
        <v>879480</v>
      </c>
      <c r="P47" s="76">
        <f t="shared" si="6"/>
        <v>2730159</v>
      </c>
      <c r="Q47" s="76">
        <f t="shared" si="6"/>
        <v>897531</v>
      </c>
      <c r="R47" s="76">
        <f t="shared" si="6"/>
        <v>3674107</v>
      </c>
      <c r="S47" s="83">
        <f>M47/'[21]2014'!M47-1</f>
        <v>0.749702529729425</v>
      </c>
      <c r="T47" s="83">
        <f>N47/'[21]2014'!N47-1</f>
        <v>0.521371582922742</v>
      </c>
      <c r="U47" s="83">
        <f>O47/'[21]2014'!O47-1</f>
        <v>0.664717038988768</v>
      </c>
      <c r="V47" s="83">
        <f>P47/'[21]2014'!P47-1</f>
        <v>0.457455585560072</v>
      </c>
      <c r="W47" s="83">
        <f>Q47/'[21]2014'!Q47-1</f>
        <v>0.163381765933081</v>
      </c>
      <c r="X47" s="83">
        <f>R47/'[21]2014'!R47-1</f>
        <v>0.366309877046848</v>
      </c>
      <c r="Y47" s="75">
        <f>Y45+0.2*2</f>
        <v>13.5994</v>
      </c>
      <c r="Z47" s="75">
        <f>P47/10000-Y47</f>
        <v>259.4165</v>
      </c>
      <c r="AA47" s="89">
        <v>3890.092</v>
      </c>
      <c r="AB47" s="75">
        <f>Z47*10000/AA47</f>
        <v>666.864691117845</v>
      </c>
    </row>
    <row r="48" ht="15" customHeight="1" spans="1:28">
      <c r="A48" s="21">
        <v>42048</v>
      </c>
      <c r="B48" s="21" t="s">
        <v>37</v>
      </c>
      <c r="C48" s="22">
        <v>24500</v>
      </c>
      <c r="D48" s="8">
        <v>20500</v>
      </c>
      <c r="E48" s="8">
        <v>46700</v>
      </c>
      <c r="F48" s="23">
        <v>2330</v>
      </c>
      <c r="G48" s="24">
        <v>1543</v>
      </c>
      <c r="H48" s="25"/>
      <c r="I48" s="37"/>
      <c r="J48" s="9">
        <f t="shared" si="0"/>
        <v>26200</v>
      </c>
      <c r="K48" s="38">
        <f t="shared" si="1"/>
        <v>908</v>
      </c>
      <c r="L48" s="38">
        <v>792</v>
      </c>
      <c r="M48" s="78">
        <f t="shared" si="5"/>
        <v>645780</v>
      </c>
      <c r="N48" s="79">
        <f t="shared" si="5"/>
        <v>263816</v>
      </c>
      <c r="O48" s="79">
        <f t="shared" si="5"/>
        <v>926180</v>
      </c>
      <c r="P48" s="80">
        <f t="shared" si="6"/>
        <v>2754659</v>
      </c>
      <c r="Q48" s="80">
        <f t="shared" si="6"/>
        <v>918031</v>
      </c>
      <c r="R48" s="80">
        <f t="shared" si="6"/>
        <v>3720807</v>
      </c>
      <c r="S48" s="84">
        <f>M48/'[21]2014'!M48-1</f>
        <v>0.580386739317437</v>
      </c>
      <c r="T48" s="84">
        <f>N48/'[21]2014'!N48-1</f>
        <v>0.493405187541748</v>
      </c>
      <c r="U48" s="84">
        <f>O48/'[21]2014'!O48-1</f>
        <v>0.5446399236836</v>
      </c>
      <c r="V48" s="85">
        <f>P48/'[21]2014'!P48-1</f>
        <v>0.429669337010625</v>
      </c>
      <c r="W48" s="85">
        <f>Q48/'[21]2014'!Q48-1</f>
        <v>0.16470874066631</v>
      </c>
      <c r="X48" s="85">
        <f>R48/'[21]2014'!R48-1</f>
        <v>0.347934846557136</v>
      </c>
      <c r="Y48" s="38"/>
      <c r="Z48" s="38"/>
      <c r="AA48" s="38"/>
      <c r="AB48" s="38"/>
    </row>
    <row r="49" s="2" customFormat="1" ht="15" customHeight="1" spans="1:28">
      <c r="A49" s="21">
        <v>42049</v>
      </c>
      <c r="B49" s="21" t="s">
        <v>38</v>
      </c>
      <c r="C49" s="22">
        <v>23000</v>
      </c>
      <c r="D49" s="8">
        <v>15800</v>
      </c>
      <c r="E49" s="8">
        <v>40071</v>
      </c>
      <c r="F49" s="23">
        <v>1999</v>
      </c>
      <c r="G49" s="24">
        <v>1394</v>
      </c>
      <c r="H49" s="25"/>
      <c r="I49" s="37"/>
      <c r="J49" s="9">
        <f t="shared" si="0"/>
        <v>24271</v>
      </c>
      <c r="K49" s="38">
        <f t="shared" si="1"/>
        <v>479</v>
      </c>
      <c r="L49" s="38">
        <v>792</v>
      </c>
      <c r="M49" s="78">
        <f t="shared" si="5"/>
        <v>668780</v>
      </c>
      <c r="N49" s="79">
        <f t="shared" si="5"/>
        <v>279616</v>
      </c>
      <c r="O49" s="79">
        <f t="shared" si="5"/>
        <v>966251</v>
      </c>
      <c r="P49" s="80">
        <f t="shared" si="6"/>
        <v>2777659</v>
      </c>
      <c r="Q49" s="80">
        <f t="shared" si="6"/>
        <v>933831</v>
      </c>
      <c r="R49" s="80">
        <f t="shared" si="6"/>
        <v>3760878</v>
      </c>
      <c r="S49" s="84">
        <f>M49/'[21]2014'!M49-1</f>
        <v>0.458423969635612</v>
      </c>
      <c r="T49" s="84">
        <f>N49/'[21]2014'!N49-1</f>
        <v>0.434413698995557</v>
      </c>
      <c r="U49" s="84">
        <f>O49/'[21]2014'!O49-1</f>
        <v>0.444839703331539</v>
      </c>
      <c r="V49" s="85">
        <f>P49/'[21]2014'!P49-1</f>
        <v>0.405184086284241</v>
      </c>
      <c r="W49" s="85">
        <f>Q49/'[21]2014'!Q49-1</f>
        <v>0.157900349230892</v>
      </c>
      <c r="X49" s="85">
        <f>R49/'[21]2014'!R49-1</f>
        <v>0.329154307416045</v>
      </c>
      <c r="Y49" s="38"/>
      <c r="Z49" s="38"/>
      <c r="AA49" s="38"/>
      <c r="AB49" s="38"/>
    </row>
    <row r="50" s="2" customFormat="1" ht="15" customHeight="1" spans="1:28">
      <c r="A50" s="21">
        <v>42050</v>
      </c>
      <c r="B50" s="21" t="s">
        <v>1</v>
      </c>
      <c r="C50" s="22">
        <v>18283</v>
      </c>
      <c r="D50" s="8">
        <v>18812</v>
      </c>
      <c r="E50" s="8">
        <v>38136</v>
      </c>
      <c r="F50" s="23">
        <v>1875.6</v>
      </c>
      <c r="G50" s="24">
        <v>1231.4</v>
      </c>
      <c r="H50" s="25"/>
      <c r="I50" s="37"/>
      <c r="J50" s="9">
        <f t="shared" si="0"/>
        <v>19324</v>
      </c>
      <c r="K50" s="38">
        <f t="shared" si="1"/>
        <v>250</v>
      </c>
      <c r="L50" s="38">
        <v>791</v>
      </c>
      <c r="M50" s="78">
        <f t="shared" si="5"/>
        <v>687063</v>
      </c>
      <c r="N50" s="79">
        <f t="shared" si="5"/>
        <v>298428</v>
      </c>
      <c r="O50" s="79">
        <f t="shared" si="5"/>
        <v>1004387</v>
      </c>
      <c r="P50" s="80">
        <f t="shared" si="6"/>
        <v>2795942</v>
      </c>
      <c r="Q50" s="80">
        <f t="shared" si="6"/>
        <v>952643</v>
      </c>
      <c r="R50" s="80">
        <f t="shared" si="6"/>
        <v>3799014</v>
      </c>
      <c r="S50" s="84">
        <f>M50/'[21]2014'!M50-1</f>
        <v>0.344965796564681</v>
      </c>
      <c r="T50" s="84">
        <f>N50/'[21]2014'!N50-1</f>
        <v>0.411133860725077</v>
      </c>
      <c r="U50" s="84">
        <f>O50/'[21]2014'!O50-1</f>
        <v>0.360106545766742</v>
      </c>
      <c r="V50" s="85">
        <f>P50/'[21]2014'!P50-1</f>
        <v>0.377990482501351</v>
      </c>
      <c r="W50" s="85">
        <f>Q50/'[21]2014'!Q50-1</f>
        <v>0.15747779403876</v>
      </c>
      <c r="X50" s="85">
        <f>R50/'[21]2014'!R50-1</f>
        <v>0.310353200799247</v>
      </c>
      <c r="Y50" s="38"/>
      <c r="Z50" s="38"/>
      <c r="AA50" s="38"/>
      <c r="AB50" s="38"/>
    </row>
    <row r="51" s="2" customFormat="1" ht="15" customHeight="1" spans="1:28">
      <c r="A51" s="21">
        <v>42051</v>
      </c>
      <c r="B51" s="21" t="s">
        <v>39</v>
      </c>
      <c r="C51" s="22">
        <v>16554</v>
      </c>
      <c r="D51" s="8">
        <v>17501</v>
      </c>
      <c r="E51" s="8">
        <v>34890</v>
      </c>
      <c r="F51" s="23">
        <v>1744.4</v>
      </c>
      <c r="G51" s="24">
        <v>1122.1</v>
      </c>
      <c r="H51" s="25"/>
      <c r="I51" s="37"/>
      <c r="J51" s="9">
        <f t="shared" si="0"/>
        <v>17389</v>
      </c>
      <c r="K51" s="38">
        <f t="shared" si="1"/>
        <v>43</v>
      </c>
      <c r="L51" s="38">
        <v>792</v>
      </c>
      <c r="M51" s="78">
        <f t="shared" si="5"/>
        <v>703617</v>
      </c>
      <c r="N51" s="79">
        <f t="shared" si="5"/>
        <v>315929</v>
      </c>
      <c r="O51" s="79">
        <f t="shared" si="5"/>
        <v>1039277</v>
      </c>
      <c r="P51" s="80">
        <f t="shared" si="6"/>
        <v>2812496</v>
      </c>
      <c r="Q51" s="80">
        <f t="shared" si="6"/>
        <v>970144</v>
      </c>
      <c r="R51" s="80">
        <f t="shared" si="6"/>
        <v>3833904</v>
      </c>
      <c r="S51" s="84">
        <f>M51/'[21]2014'!M51-1</f>
        <v>0.246503594063484</v>
      </c>
      <c r="T51" s="84">
        <f>N51/'[21]2014'!N51-1</f>
        <v>0.388479185711272</v>
      </c>
      <c r="U51" s="84">
        <f>O51/'[21]2014'!O51-1</f>
        <v>0.284644004944376</v>
      </c>
      <c r="V51" s="85">
        <f>P51/'[21]2014'!P51-1</f>
        <v>0.350453020613584</v>
      </c>
      <c r="W51" s="85">
        <f>Q51/'[21]2014'!Q51-1</f>
        <v>0.156187934884103</v>
      </c>
      <c r="X51" s="85">
        <f>R51/'[21]2014'!R51-1</f>
        <v>0.290978046425864</v>
      </c>
      <c r="Y51" s="38"/>
      <c r="Z51" s="38"/>
      <c r="AA51" s="38"/>
      <c r="AB51" s="38"/>
    </row>
    <row r="52" s="2" customFormat="1" ht="15" customHeight="1" spans="1:28">
      <c r="A52" s="21">
        <v>42052</v>
      </c>
      <c r="B52" s="21" t="s">
        <v>34</v>
      </c>
      <c r="C52" s="22">
        <v>17514</v>
      </c>
      <c r="D52" s="8">
        <v>15507</v>
      </c>
      <c r="E52" s="8">
        <v>34017</v>
      </c>
      <c r="F52" s="23">
        <v>1761.6</v>
      </c>
      <c r="G52" s="24">
        <v>1074.4</v>
      </c>
      <c r="H52" s="25"/>
      <c r="I52" s="37"/>
      <c r="J52" s="9">
        <f t="shared" si="0"/>
        <v>18510</v>
      </c>
      <c r="K52" s="38">
        <f t="shared" si="1"/>
        <v>202</v>
      </c>
      <c r="L52" s="38">
        <v>794</v>
      </c>
      <c r="M52" s="78">
        <f t="shared" si="5"/>
        <v>721131</v>
      </c>
      <c r="N52" s="79">
        <f t="shared" si="5"/>
        <v>331436</v>
      </c>
      <c r="O52" s="79">
        <f t="shared" si="5"/>
        <v>1073294</v>
      </c>
      <c r="P52" s="80">
        <f t="shared" si="6"/>
        <v>2830010</v>
      </c>
      <c r="Q52" s="80">
        <f t="shared" si="6"/>
        <v>985651</v>
      </c>
      <c r="R52" s="80">
        <f t="shared" si="6"/>
        <v>3867921</v>
      </c>
      <c r="S52" s="84">
        <f>M52/'[21]2014'!M52-1</f>
        <v>0.159552632277142</v>
      </c>
      <c r="T52" s="84">
        <f>N52/'[21]2014'!N52-1</f>
        <v>0.365338825952626</v>
      </c>
      <c r="U52" s="84">
        <f>O52/'[21]2014'!O52-1</f>
        <v>0.215965685852438</v>
      </c>
      <c r="V52" s="85">
        <f>P52/'[21]2014'!P52-1</f>
        <v>0.322395340138272</v>
      </c>
      <c r="W52" s="85">
        <f>Q52/'[21]2014'!Q52-1</f>
        <v>0.153749403753354</v>
      </c>
      <c r="X52" s="85">
        <f>R52/'[21]2014'!R52-1</f>
        <v>0.270906393598023</v>
      </c>
      <c r="Y52" s="38"/>
      <c r="Z52" s="38"/>
      <c r="AA52" s="38"/>
      <c r="AB52" s="38"/>
    </row>
    <row r="53" s="2" customFormat="1" ht="15" customHeight="1" spans="1:28">
      <c r="A53" s="14">
        <v>42053</v>
      </c>
      <c r="B53" s="15" t="s">
        <v>35</v>
      </c>
      <c r="C53" s="16">
        <v>20223</v>
      </c>
      <c r="D53" s="17">
        <v>12480</v>
      </c>
      <c r="E53" s="17">
        <v>33380</v>
      </c>
      <c r="F53" s="18">
        <v>1813.7</v>
      </c>
      <c r="G53" s="19">
        <v>1038.4</v>
      </c>
      <c r="H53" s="20"/>
      <c r="I53" s="20"/>
      <c r="J53" s="33">
        <f t="shared" si="0"/>
        <v>20900</v>
      </c>
      <c r="K53" s="34">
        <f t="shared" si="1"/>
        <v>75</v>
      </c>
      <c r="L53" s="34">
        <v>602</v>
      </c>
      <c r="M53" s="81">
        <f t="shared" ref="M53:O63" si="7">M52+C53</f>
        <v>741354</v>
      </c>
      <c r="N53" s="82">
        <f t="shared" si="7"/>
        <v>343916</v>
      </c>
      <c r="O53" s="82">
        <f t="shared" si="7"/>
        <v>1106674</v>
      </c>
      <c r="P53" s="81">
        <f t="shared" si="6"/>
        <v>2850233</v>
      </c>
      <c r="Q53" s="81">
        <f t="shared" si="6"/>
        <v>998131</v>
      </c>
      <c r="R53" s="81">
        <f t="shared" si="6"/>
        <v>3901301</v>
      </c>
      <c r="S53" s="86">
        <f>M53/'[21]2014'!M53-1</f>
        <v>0.0870970698320643</v>
      </c>
      <c r="T53" s="86">
        <f>N53/'[21]2014'!N53-1</f>
        <v>0.326063905672236</v>
      </c>
      <c r="U53" s="86">
        <f>O53/'[21]2014'!O53-1</f>
        <v>0.151622997203864</v>
      </c>
      <c r="V53" s="86">
        <f>P53/'[21]2014'!P53-1</f>
        <v>0.295491852363273</v>
      </c>
      <c r="W53" s="86">
        <f>Q53/'[21]2014'!Q53-1</f>
        <v>0.146086793772215</v>
      </c>
      <c r="X53" s="86">
        <f>R53/'[21]2014'!R53-1</f>
        <v>0.249721629247316</v>
      </c>
      <c r="Y53" s="34"/>
      <c r="Z53" s="34"/>
      <c r="AA53" s="34"/>
      <c r="AB53" s="34"/>
    </row>
    <row r="54" s="2" customFormat="1" ht="15" customHeight="1" spans="1:28">
      <c r="A54" s="14">
        <v>42054</v>
      </c>
      <c r="B54" s="21" t="s">
        <v>36</v>
      </c>
      <c r="C54" s="70">
        <v>17255</v>
      </c>
      <c r="D54" s="71">
        <v>12926</v>
      </c>
      <c r="E54" s="71">
        <v>30806</v>
      </c>
      <c r="F54" s="72">
        <v>1628</v>
      </c>
      <c r="G54" s="73">
        <v>1071.6</v>
      </c>
      <c r="H54" s="25"/>
      <c r="I54" s="25"/>
      <c r="J54" s="74">
        <f t="shared" si="0"/>
        <v>17880</v>
      </c>
      <c r="K54" s="75">
        <f t="shared" si="1"/>
        <v>27</v>
      </c>
      <c r="L54" s="75">
        <v>598</v>
      </c>
      <c r="M54" s="76">
        <f t="shared" si="7"/>
        <v>758609</v>
      </c>
      <c r="N54" s="77">
        <f t="shared" si="7"/>
        <v>356842</v>
      </c>
      <c r="O54" s="77">
        <f t="shared" si="7"/>
        <v>1137480</v>
      </c>
      <c r="P54" s="76">
        <f t="shared" si="6"/>
        <v>2867488</v>
      </c>
      <c r="Q54" s="76">
        <f t="shared" si="6"/>
        <v>1011057</v>
      </c>
      <c r="R54" s="76">
        <f t="shared" si="6"/>
        <v>3932107</v>
      </c>
      <c r="S54" s="83">
        <f>M54/'[21]2014'!M54-1</f>
        <v>0.0234095754978203</v>
      </c>
      <c r="T54" s="83">
        <f>N54/'[21]2014'!N54-1</f>
        <v>0.279893546049941</v>
      </c>
      <c r="U54" s="83">
        <f>O54/'[21]2014'!O54-1</f>
        <v>0.0925111486119823</v>
      </c>
      <c r="V54" s="83">
        <f>P54/'[21]2014'!P54-1</f>
        <v>0.269128232500839</v>
      </c>
      <c r="W54" s="83">
        <f>Q54/'[21]2014'!Q54-1</f>
        <v>0.135561686668909</v>
      </c>
      <c r="X54" s="83">
        <f>R54/'[21]2014'!R54-1</f>
        <v>0.228043541266387</v>
      </c>
      <c r="Y54" s="75">
        <v>14.086</v>
      </c>
      <c r="Z54" s="75">
        <f>P54/10000-Y54</f>
        <v>272.6628</v>
      </c>
      <c r="AA54" s="89">
        <v>3890.092</v>
      </c>
      <c r="AB54" s="75">
        <f>Z54*10000/AA54</f>
        <v>700.916070879558</v>
      </c>
    </row>
    <row r="55" s="2" customFormat="1" ht="15" customHeight="1" spans="1:28">
      <c r="A55" s="14">
        <v>42055</v>
      </c>
      <c r="B55" s="21" t="s">
        <v>37</v>
      </c>
      <c r="C55" s="22">
        <v>18053</v>
      </c>
      <c r="D55" s="8">
        <v>12024</v>
      </c>
      <c r="E55" s="8">
        <v>31132</v>
      </c>
      <c r="F55" s="23">
        <v>1641.8</v>
      </c>
      <c r="G55" s="24">
        <v>983.7</v>
      </c>
      <c r="H55" s="25"/>
      <c r="I55" s="37"/>
      <c r="J55" s="9">
        <f t="shared" si="0"/>
        <v>19108</v>
      </c>
      <c r="K55" s="38">
        <f t="shared" si="1"/>
        <v>498</v>
      </c>
      <c r="L55" s="38">
        <v>557</v>
      </c>
      <c r="M55" s="78">
        <f t="shared" si="7"/>
        <v>776662</v>
      </c>
      <c r="N55" s="79">
        <f t="shared" si="7"/>
        <v>368866</v>
      </c>
      <c r="O55" s="79">
        <f t="shared" si="7"/>
        <v>1168612</v>
      </c>
      <c r="P55" s="80">
        <f t="shared" si="6"/>
        <v>2885541</v>
      </c>
      <c r="Q55" s="80">
        <f t="shared" si="6"/>
        <v>1023081</v>
      </c>
      <c r="R55" s="80">
        <f t="shared" si="6"/>
        <v>3963239</v>
      </c>
      <c r="S55" s="84">
        <f>M55/'[21]2014'!M55-1</f>
        <v>-0.0304577494458907</v>
      </c>
      <c r="T55" s="84">
        <f>N55/'[21]2014'!N55-1</f>
        <v>0.237249022251739</v>
      </c>
      <c r="U55" s="84">
        <f>O55/'[21]2014'!O55-1</f>
        <v>0.0420433327210374</v>
      </c>
      <c r="V55" s="85">
        <f>P55/'[21]2014'!P55-1</f>
        <v>0.244186244553394</v>
      </c>
      <c r="W55" s="85">
        <f>Q55/'[21]2014'!Q55-1</f>
        <v>0.124652284056101</v>
      </c>
      <c r="X55" s="85">
        <f>R55/'[21]2014'!R55-1</f>
        <v>0.207483999440624</v>
      </c>
      <c r="Y55" s="38">
        <v>14.1305</v>
      </c>
      <c r="Z55" s="38">
        <f>P55/10000-Y55</f>
        <v>274.4236</v>
      </c>
      <c r="AA55" s="38">
        <v>3890.092</v>
      </c>
      <c r="AB55" s="38">
        <f>Z55*10000/AA55</f>
        <v>705.442441978236</v>
      </c>
    </row>
    <row r="56" s="2" customFormat="1" ht="15" customHeight="1" spans="1:28">
      <c r="A56" s="14">
        <v>42056</v>
      </c>
      <c r="B56" s="21" t="s">
        <v>38</v>
      </c>
      <c r="C56" s="22">
        <v>18383</v>
      </c>
      <c r="D56" s="8">
        <v>12361</v>
      </c>
      <c r="E56" s="8">
        <v>31849</v>
      </c>
      <c r="F56" s="23">
        <v>1673.4</v>
      </c>
      <c r="G56" s="24">
        <v>1023.2</v>
      </c>
      <c r="H56" s="25"/>
      <c r="I56" s="37"/>
      <c r="J56" s="9">
        <f t="shared" si="0"/>
        <v>19488</v>
      </c>
      <c r="K56" s="38">
        <f t="shared" si="1"/>
        <v>625</v>
      </c>
      <c r="L56" s="38">
        <v>480</v>
      </c>
      <c r="M56" s="78">
        <f t="shared" si="7"/>
        <v>795045</v>
      </c>
      <c r="N56" s="79">
        <f t="shared" si="7"/>
        <v>381227</v>
      </c>
      <c r="O56" s="79">
        <f t="shared" si="7"/>
        <v>1200461</v>
      </c>
      <c r="P56" s="80">
        <f t="shared" si="6"/>
        <v>2903924</v>
      </c>
      <c r="Q56" s="80">
        <f t="shared" si="6"/>
        <v>1035442</v>
      </c>
      <c r="R56" s="80">
        <f t="shared" si="6"/>
        <v>3995088</v>
      </c>
      <c r="S56" s="84">
        <f>M56/'[21]2014'!M56-1</f>
        <v>-0.0768113358828929</v>
      </c>
      <c r="T56" s="84">
        <f>N56/'[21]2014'!N56-1</f>
        <v>0.19677972273846</v>
      </c>
      <c r="U56" s="84">
        <f>O56/'[21]2014'!O56-1</f>
        <v>-0.002383388084223</v>
      </c>
      <c r="V56" s="85">
        <f>P56/'[21]2014'!P56-1</f>
        <v>0.220467660648155</v>
      </c>
      <c r="W56" s="85">
        <f>Q56/'[21]2014'!Q56-1</f>
        <v>0.113262978626411</v>
      </c>
      <c r="X56" s="85">
        <f>R56/'[21]2014'!R56-1</f>
        <v>0.187566585495777</v>
      </c>
      <c r="Y56" s="38"/>
      <c r="Z56" s="38"/>
      <c r="AA56" s="38"/>
      <c r="AB56" s="38"/>
    </row>
    <row r="57" s="2" customFormat="1" ht="15" customHeight="1" spans="1:28">
      <c r="A57" s="14">
        <v>42057</v>
      </c>
      <c r="B57" s="21" t="s">
        <v>1</v>
      </c>
      <c r="C57" s="22">
        <v>19214</v>
      </c>
      <c r="D57" s="8">
        <v>13028</v>
      </c>
      <c r="E57" s="8">
        <v>32922</v>
      </c>
      <c r="F57" s="23">
        <v>1755</v>
      </c>
      <c r="G57" s="24">
        <v>1031.4</v>
      </c>
      <c r="H57" s="25"/>
      <c r="I57" s="37"/>
      <c r="J57" s="9">
        <f t="shared" si="0"/>
        <v>19894</v>
      </c>
      <c r="K57" s="38">
        <f t="shared" si="1"/>
        <v>199</v>
      </c>
      <c r="L57" s="38">
        <v>481</v>
      </c>
      <c r="M57" s="78">
        <f t="shared" si="7"/>
        <v>814259</v>
      </c>
      <c r="N57" s="79">
        <f t="shared" si="7"/>
        <v>394255</v>
      </c>
      <c r="O57" s="79">
        <f t="shared" si="7"/>
        <v>1233383</v>
      </c>
      <c r="P57" s="80">
        <f t="shared" si="6"/>
        <v>2923138</v>
      </c>
      <c r="Q57" s="80">
        <f t="shared" si="6"/>
        <v>1048470</v>
      </c>
      <c r="R57" s="80">
        <f t="shared" si="6"/>
        <v>4028010</v>
      </c>
      <c r="S57" s="84">
        <f>M57/'[21]2014'!M57-1</f>
        <v>-0.115271008753749</v>
      </c>
      <c r="T57" s="84">
        <f>N57/'[21]2014'!N57-1</f>
        <v>0.164086074843068</v>
      </c>
      <c r="U57" s="84">
        <f>O57/'[21]2014'!O57-1</f>
        <v>-0.039200595152313</v>
      </c>
      <c r="V57" s="85">
        <f>P57/'[21]2014'!P57-1</f>
        <v>0.198740623106552</v>
      </c>
      <c r="W57" s="85">
        <f>Q57/'[21]2014'!Q57-1</f>
        <v>0.10338027086998</v>
      </c>
      <c r="X57" s="85">
        <f>R57/'[21]2014'!R57-1</f>
        <v>0.169412902761294</v>
      </c>
      <c r="Y57" s="38"/>
      <c r="Z57" s="38"/>
      <c r="AA57" s="38"/>
      <c r="AB57" s="38"/>
    </row>
    <row r="58" s="2" customFormat="1" ht="15" customHeight="1" spans="1:28">
      <c r="A58" s="14">
        <v>42058</v>
      </c>
      <c r="B58" s="21" t="s">
        <v>39</v>
      </c>
      <c r="C58" s="22">
        <v>18779</v>
      </c>
      <c r="D58" s="8">
        <v>15209</v>
      </c>
      <c r="E58" s="8">
        <v>34732</v>
      </c>
      <c r="F58" s="23">
        <v>1844.7</v>
      </c>
      <c r="G58" s="24">
        <v>1066.9</v>
      </c>
      <c r="H58" s="25"/>
      <c r="I58" s="37"/>
      <c r="J58" s="9">
        <f t="shared" si="0"/>
        <v>19523</v>
      </c>
      <c r="K58" s="38">
        <f t="shared" si="1"/>
        <v>264</v>
      </c>
      <c r="L58" s="38">
        <v>480</v>
      </c>
      <c r="M58" s="78">
        <f t="shared" si="7"/>
        <v>833038</v>
      </c>
      <c r="N58" s="79">
        <f t="shared" si="7"/>
        <v>409464</v>
      </c>
      <c r="O58" s="79">
        <f t="shared" si="7"/>
        <v>1268115</v>
      </c>
      <c r="P58" s="80">
        <f t="shared" si="6"/>
        <v>2941917</v>
      </c>
      <c r="Q58" s="80">
        <f t="shared" si="6"/>
        <v>1063679</v>
      </c>
      <c r="R58" s="80">
        <f t="shared" si="6"/>
        <v>4062742</v>
      </c>
      <c r="S58" s="84">
        <f>M58/'[21]2014'!M58-1</f>
        <v>-0.147280814847078</v>
      </c>
      <c r="T58" s="84">
        <f>N58/'[21]2014'!N58-1</f>
        <v>0.142225904446285</v>
      </c>
      <c r="U58" s="84">
        <f>O58/'[21]2014'!O58-1</f>
        <v>-0.0683345492375068</v>
      </c>
      <c r="V58" s="85">
        <f>P58/'[21]2014'!P58-1</f>
        <v>0.179087952543377</v>
      </c>
      <c r="W58" s="85">
        <f>Q58/'[21]2014'!Q58-1</f>
        <v>0.0965406793490726</v>
      </c>
      <c r="X58" s="85">
        <f>R58/'[21]2014'!R58-1</f>
        <v>0.153567370284285</v>
      </c>
      <c r="Y58" s="38"/>
      <c r="Z58" s="38"/>
      <c r="AA58" s="38"/>
      <c r="AB58" s="38"/>
    </row>
    <row r="59" s="2" customFormat="1" ht="15" customHeight="1" spans="1:28">
      <c r="A59" s="14">
        <v>42059</v>
      </c>
      <c r="B59" s="21" t="s">
        <v>34</v>
      </c>
      <c r="C59" s="22">
        <v>17737</v>
      </c>
      <c r="D59" s="8">
        <v>17402</v>
      </c>
      <c r="E59" s="8">
        <v>35707</v>
      </c>
      <c r="F59" s="23">
        <v>1864.2</v>
      </c>
      <c r="G59" s="24">
        <v>1114.2</v>
      </c>
      <c r="H59" s="25"/>
      <c r="I59" s="37"/>
      <c r="J59" s="9">
        <f t="shared" si="0"/>
        <v>18305</v>
      </c>
      <c r="K59" s="38">
        <f t="shared" si="1"/>
        <v>87</v>
      </c>
      <c r="L59" s="38">
        <v>481</v>
      </c>
      <c r="M59" s="78">
        <f t="shared" si="7"/>
        <v>850775</v>
      </c>
      <c r="N59" s="79">
        <f t="shared" si="7"/>
        <v>426866</v>
      </c>
      <c r="O59" s="79">
        <f t="shared" si="7"/>
        <v>1303822</v>
      </c>
      <c r="P59" s="80">
        <f t="shared" si="6"/>
        <v>2959654</v>
      </c>
      <c r="Q59" s="80">
        <f t="shared" si="6"/>
        <v>1081081</v>
      </c>
      <c r="R59" s="80">
        <f t="shared" si="6"/>
        <v>4098449</v>
      </c>
      <c r="S59" s="84">
        <f>M59/'[21]2014'!M59-1</f>
        <v>-0.180282063325746</v>
      </c>
      <c r="T59" s="84">
        <f>N59/'[21]2014'!N59-1</f>
        <v>0.12655114353125</v>
      </c>
      <c r="U59" s="84">
        <f>O59/'[21]2014'!O59-1</f>
        <v>-0.0969673631033102</v>
      </c>
      <c r="V59" s="85">
        <f>P59/'[21]2014'!P59-1</f>
        <v>0.15790303501912</v>
      </c>
      <c r="W59" s="85">
        <f>Q59/'[21]2014'!Q59-1</f>
        <v>0.091486688343321</v>
      </c>
      <c r="X59" s="85">
        <f>R59/'[21]2014'!R59-1</f>
        <v>0.137007423584299</v>
      </c>
      <c r="Y59" s="38"/>
      <c r="Z59" s="38"/>
      <c r="AA59" s="38"/>
      <c r="AB59" s="38"/>
    </row>
    <row r="60" s="2" customFormat="1" ht="15" customHeight="1" spans="1:28">
      <c r="A60" s="21">
        <v>42060</v>
      </c>
      <c r="B60" s="15" t="s">
        <v>35</v>
      </c>
      <c r="C60" s="16">
        <v>19539</v>
      </c>
      <c r="D60" s="17">
        <v>18228</v>
      </c>
      <c r="E60" s="17">
        <v>38435</v>
      </c>
      <c r="F60" s="18">
        <v>1974.4</v>
      </c>
      <c r="G60" s="19">
        <v>1121</v>
      </c>
      <c r="H60" s="20"/>
      <c r="I60" s="20"/>
      <c r="J60" s="33">
        <f t="shared" si="0"/>
        <v>20207</v>
      </c>
      <c r="K60" s="34">
        <f t="shared" si="1"/>
        <v>187</v>
      </c>
      <c r="L60" s="34">
        <v>481</v>
      </c>
      <c r="M60" s="81">
        <f t="shared" si="7"/>
        <v>870314</v>
      </c>
      <c r="N60" s="82">
        <f t="shared" si="7"/>
        <v>445094</v>
      </c>
      <c r="O60" s="82">
        <f t="shared" si="7"/>
        <v>1342257</v>
      </c>
      <c r="P60" s="81">
        <f t="shared" si="6"/>
        <v>2979193</v>
      </c>
      <c r="Q60" s="81">
        <f t="shared" si="6"/>
        <v>1099309</v>
      </c>
      <c r="R60" s="81">
        <f t="shared" si="6"/>
        <v>4136884</v>
      </c>
      <c r="S60" s="86">
        <f>M60/'[21]2014'!M60-1</f>
        <v>-0.207969141962172</v>
      </c>
      <c r="T60" s="86">
        <f>N60/'[21]2014'!N60-1</f>
        <v>0.114177860329126</v>
      </c>
      <c r="U60" s="86">
        <f>O60/'[21]2014'!O60-1</f>
        <v>-0.120692332031657</v>
      </c>
      <c r="V60" s="86">
        <f>P60/'[21]2014'!P60-1</f>
        <v>0.138401163929274</v>
      </c>
      <c r="W60" s="86">
        <f>Q60/'[21]2014'!Q60-1</f>
        <v>0.0873110660417622</v>
      </c>
      <c r="X60" s="86">
        <f>R60/'[21]2014'!R60-1</f>
        <v>0.121939868628738</v>
      </c>
      <c r="Y60" s="34"/>
      <c r="Z60" s="34"/>
      <c r="AA60" s="34"/>
      <c r="AB60" s="34"/>
    </row>
    <row r="61" s="2" customFormat="1" ht="15" customHeight="1" spans="1:28">
      <c r="A61" s="21">
        <v>42061</v>
      </c>
      <c r="B61" s="21" t="s">
        <v>36</v>
      </c>
      <c r="C61" s="70">
        <v>19343</v>
      </c>
      <c r="D61" s="71">
        <v>21059</v>
      </c>
      <c r="E61" s="71">
        <v>41046</v>
      </c>
      <c r="F61" s="72">
        <v>2081.2</v>
      </c>
      <c r="G61" s="73">
        <v>1145.2</v>
      </c>
      <c r="H61" s="25"/>
      <c r="I61" s="25"/>
      <c r="J61" s="74">
        <f t="shared" si="0"/>
        <v>19987</v>
      </c>
      <c r="K61" s="75">
        <f t="shared" si="1"/>
        <v>165</v>
      </c>
      <c r="L61" s="75">
        <v>479</v>
      </c>
      <c r="M61" s="76">
        <f t="shared" si="7"/>
        <v>889657</v>
      </c>
      <c r="N61" s="77">
        <f t="shared" si="7"/>
        <v>466153</v>
      </c>
      <c r="O61" s="77">
        <f t="shared" si="7"/>
        <v>1383303</v>
      </c>
      <c r="P61" s="76">
        <f t="shared" si="6"/>
        <v>2998536</v>
      </c>
      <c r="Q61" s="76">
        <f t="shared" si="6"/>
        <v>1120368</v>
      </c>
      <c r="R61" s="76">
        <f t="shared" si="6"/>
        <v>4177930</v>
      </c>
      <c r="S61" s="83">
        <f>M61/'[21]2014'!M61-1</f>
        <v>-0.231967478116663</v>
      </c>
      <c r="T61" s="83">
        <f>N61/'[21]2014'!N61-1</f>
        <v>0.110840244018683</v>
      </c>
      <c r="U61" s="83">
        <f>O61/'[21]2014'!O61-1</f>
        <v>-0.139430817430081</v>
      </c>
      <c r="V61" s="83">
        <f>P61/'[21]2014'!P61-1</f>
        <v>0.120312495621643</v>
      </c>
      <c r="W61" s="83">
        <f>Q61/'[21]2014'!Q61-1</f>
        <v>0.0864780339267401</v>
      </c>
      <c r="X61" s="83">
        <f>R61/'[21]2014'!R61-1</f>
        <v>0.10873508403891</v>
      </c>
      <c r="Y61" s="75">
        <v>14.48</v>
      </c>
      <c r="Z61" s="75">
        <f>P61/10000-Y61</f>
        <v>285.3736</v>
      </c>
      <c r="AA61" s="89">
        <v>3890.092</v>
      </c>
      <c r="AB61" s="75">
        <f>Z61*10000/AA61</f>
        <v>733.590876513974</v>
      </c>
    </row>
    <row r="62" s="2" customFormat="1" ht="15" customHeight="1" spans="1:28">
      <c r="A62" s="21">
        <v>42062</v>
      </c>
      <c r="B62" s="21" t="s">
        <v>37</v>
      </c>
      <c r="C62" s="22">
        <v>23993</v>
      </c>
      <c r="D62" s="8">
        <v>22154</v>
      </c>
      <c r="E62" s="8">
        <v>46650</v>
      </c>
      <c r="F62" s="23">
        <v>2410</v>
      </c>
      <c r="G62" s="24">
        <v>1266</v>
      </c>
      <c r="H62" s="25"/>
      <c r="I62" s="37"/>
      <c r="J62" s="9">
        <f t="shared" si="0"/>
        <v>24496</v>
      </c>
      <c r="K62" s="38">
        <f t="shared" si="1"/>
        <v>23</v>
      </c>
      <c r="L62" s="38">
        <v>480</v>
      </c>
      <c r="M62" s="78">
        <f t="shared" si="7"/>
        <v>913650</v>
      </c>
      <c r="N62" s="79">
        <f t="shared" si="7"/>
        <v>488307</v>
      </c>
      <c r="O62" s="79">
        <f t="shared" si="7"/>
        <v>1429953</v>
      </c>
      <c r="P62" s="80">
        <f t="shared" si="6"/>
        <v>3022529</v>
      </c>
      <c r="Q62" s="80">
        <f t="shared" si="6"/>
        <v>1142522</v>
      </c>
      <c r="R62" s="80">
        <f t="shared" si="6"/>
        <v>4224580</v>
      </c>
      <c r="S62" s="84">
        <f>M62/'[21]2014'!M62-1</f>
        <v>-0.249912257836761</v>
      </c>
      <c r="T62" s="84">
        <f>N62/'[21]2014'!N62-1</f>
        <v>0.110217584066571</v>
      </c>
      <c r="U62" s="84">
        <f>O62/'[21]2014'!O62-1</f>
        <v>-0.153115777616292</v>
      </c>
      <c r="V62" s="85">
        <f>P62/'[21]2014'!P62-1</f>
        <v>0.104638101553733</v>
      </c>
      <c r="W62" s="85">
        <f>Q62/'[21]2014'!Q62-1</f>
        <v>0.0866853880485932</v>
      </c>
      <c r="X62" s="85">
        <f>R62/'[21]2014'!R62-1</f>
        <v>0.0975061661298526</v>
      </c>
      <c r="Y62" s="38"/>
      <c r="Z62" s="38"/>
      <c r="AA62" s="38"/>
      <c r="AB62" s="38"/>
    </row>
    <row r="63" s="2" customFormat="1" ht="15" customHeight="1" spans="1:28">
      <c r="A63" s="26">
        <v>42063</v>
      </c>
      <c r="B63" s="21" t="s">
        <v>38</v>
      </c>
      <c r="C63" s="22">
        <v>26862</v>
      </c>
      <c r="D63" s="8">
        <v>22766</v>
      </c>
      <c r="E63" s="8">
        <v>50808</v>
      </c>
      <c r="F63" s="23">
        <v>2657</v>
      </c>
      <c r="G63" s="24">
        <v>1425</v>
      </c>
      <c r="H63" s="25"/>
      <c r="I63" s="37"/>
      <c r="J63" s="9">
        <f t="shared" si="0"/>
        <v>28042</v>
      </c>
      <c r="K63" s="38">
        <f t="shared" si="1"/>
        <v>456</v>
      </c>
      <c r="L63" s="38">
        <v>724</v>
      </c>
      <c r="M63" s="78">
        <f t="shared" si="7"/>
        <v>940512</v>
      </c>
      <c r="N63" s="79">
        <f t="shared" si="7"/>
        <v>511073</v>
      </c>
      <c r="O63" s="79">
        <f t="shared" si="7"/>
        <v>1480761</v>
      </c>
      <c r="P63" s="80">
        <f t="shared" si="6"/>
        <v>3049391</v>
      </c>
      <c r="Q63" s="80">
        <f t="shared" si="6"/>
        <v>1165288</v>
      </c>
      <c r="R63" s="80">
        <f t="shared" si="6"/>
        <v>4275388</v>
      </c>
      <c r="S63" s="84">
        <f>M63/'[21]2014'!M63-1</f>
        <v>-0.264053234759719</v>
      </c>
      <c r="T63" s="84">
        <f>N63/'[21]2014'!N63-1</f>
        <v>0.108166300944517</v>
      </c>
      <c r="U63" s="84">
        <f>O63/'[21]2014'!O63-1</f>
        <v>-0.163913516297001</v>
      </c>
      <c r="V63" s="85">
        <f>P63/'[21]2014'!P63-1</f>
        <v>0.0905790557704764</v>
      </c>
      <c r="W63" s="85">
        <f>Q63/'[21]2014'!Q63-1</f>
        <v>0.0862720294423489</v>
      </c>
      <c r="X63" s="85">
        <f>R63/'[21]2014'!R63-1</f>
        <v>0.0873789272117378</v>
      </c>
      <c r="Y63" s="38">
        <v>14.7913</v>
      </c>
      <c r="Z63" s="38">
        <f>P63/10000-Y63</f>
        <v>290.1478</v>
      </c>
      <c r="AA63" s="38">
        <v>3890.092</v>
      </c>
      <c r="AB63" s="38">
        <f>Z63*10000/AA63</f>
        <v>745.863593971556</v>
      </c>
    </row>
    <row r="64" s="2" customFormat="1" ht="15" customHeight="1" spans="1:28">
      <c r="A64" s="21"/>
      <c r="B64" s="21"/>
      <c r="C64" s="22"/>
      <c r="D64" s="8"/>
      <c r="E64" s="8"/>
      <c r="F64" s="23"/>
      <c r="G64" s="24"/>
      <c r="H64" s="25"/>
      <c r="I64" s="37"/>
      <c r="J64" s="9"/>
      <c r="K64" s="38"/>
      <c r="L64" s="38"/>
      <c r="M64" s="78"/>
      <c r="N64" s="79"/>
      <c r="O64" s="79"/>
      <c r="P64" s="80"/>
      <c r="Q64" s="80"/>
      <c r="R64" s="80"/>
      <c r="S64" s="84"/>
      <c r="T64" s="84"/>
      <c r="U64" s="84"/>
      <c r="V64" s="85"/>
      <c r="W64" s="85"/>
      <c r="X64" s="85"/>
      <c r="Y64" s="38"/>
      <c r="Z64" s="38"/>
      <c r="AA64" s="38"/>
      <c r="AB64" s="38"/>
    </row>
    <row r="65" s="2" customFormat="1" ht="15" customHeight="1" spans="1:28">
      <c r="A65" s="21">
        <v>42064</v>
      </c>
      <c r="B65" s="21" t="s">
        <v>1</v>
      </c>
      <c r="C65" s="22">
        <v>27776</v>
      </c>
      <c r="D65" s="8">
        <v>22118</v>
      </c>
      <c r="E65" s="8">
        <v>50804</v>
      </c>
      <c r="F65" s="23">
        <v>2580</v>
      </c>
      <c r="G65" s="24">
        <v>1495</v>
      </c>
      <c r="H65" s="25"/>
      <c r="I65" s="37"/>
      <c r="J65" s="9">
        <f t="shared" ref="J65:J128" si="8">E65-D65</f>
        <v>28686</v>
      </c>
      <c r="K65" s="38">
        <f t="shared" ref="K65:K128" si="9">J65-C65-L65</f>
        <v>117</v>
      </c>
      <c r="L65" s="38">
        <v>793</v>
      </c>
      <c r="M65" s="78">
        <f>C65</f>
        <v>27776</v>
      </c>
      <c r="N65" s="79">
        <f>D65</f>
        <v>22118</v>
      </c>
      <c r="O65" s="79">
        <f>E65</f>
        <v>50804</v>
      </c>
      <c r="P65" s="80">
        <f>P$63+M65</f>
        <v>3077167</v>
      </c>
      <c r="Q65" s="80">
        <f>Q$63+N65</f>
        <v>1187406</v>
      </c>
      <c r="R65" s="80">
        <f>R$63+O65</f>
        <v>4326192</v>
      </c>
      <c r="S65" s="84">
        <f>M65/'[21]2014'!M65-1</f>
        <v>-0.551746953925603</v>
      </c>
      <c r="T65" s="84">
        <f>N65/'[21]2014'!N65-1</f>
        <v>0.229255821708442</v>
      </c>
      <c r="U65" s="84">
        <f>O65/'[21]2014'!O65-1</f>
        <v>-0.375642128548605</v>
      </c>
      <c r="V65" s="85">
        <f>P65/'[21]2014'!P65-1</f>
        <v>0.0766530468292417</v>
      </c>
      <c r="W65" s="85">
        <f>Q65/'[21]2014'!Q65-1</f>
        <v>0.0886307241869806</v>
      </c>
      <c r="X65" s="85">
        <f>R65/'[21]2014'!R65-1</f>
        <v>0.0779908995292782</v>
      </c>
      <c r="Y65" s="38"/>
      <c r="Z65" s="38"/>
      <c r="AA65" s="38"/>
      <c r="AB65" s="38"/>
    </row>
    <row r="66" s="2" customFormat="1" ht="15" customHeight="1" spans="1:28">
      <c r="A66" s="21">
        <v>42065</v>
      </c>
      <c r="B66" s="21" t="s">
        <v>39</v>
      </c>
      <c r="C66" s="22">
        <v>30919</v>
      </c>
      <c r="D66" s="8">
        <v>23529</v>
      </c>
      <c r="E66" s="8">
        <v>55376</v>
      </c>
      <c r="F66" s="23">
        <v>2889</v>
      </c>
      <c r="G66" s="24">
        <v>1632</v>
      </c>
      <c r="H66" s="25"/>
      <c r="I66" s="37"/>
      <c r="J66" s="9">
        <f t="shared" si="8"/>
        <v>31847</v>
      </c>
      <c r="K66" s="38">
        <f t="shared" si="9"/>
        <v>135</v>
      </c>
      <c r="L66" s="38">
        <v>793</v>
      </c>
      <c r="M66" s="78">
        <f t="shared" ref="M66:M95" si="10">M65+C66</f>
        <v>58695</v>
      </c>
      <c r="N66" s="79">
        <f t="shared" ref="N66:N95" si="11">D66+N65</f>
        <v>45647</v>
      </c>
      <c r="O66" s="79">
        <f t="shared" ref="O66:O95" si="12">O65+E66</f>
        <v>106180</v>
      </c>
      <c r="P66" s="80">
        <f t="shared" ref="P66:R95" si="13">P$63+M66</f>
        <v>3108086</v>
      </c>
      <c r="Q66" s="80">
        <f t="shared" si="13"/>
        <v>1210935</v>
      </c>
      <c r="R66" s="80">
        <f t="shared" si="13"/>
        <v>4381568</v>
      </c>
      <c r="S66" s="84">
        <f>M66/'[21]2014'!M66-1</f>
        <v>-0.513651240833575</v>
      </c>
      <c r="T66" s="84">
        <f>N66/'[21]2014'!N66-1</f>
        <v>0.279702831511074</v>
      </c>
      <c r="U66" s="84">
        <f>O66/'[21]2014'!O66-1</f>
        <v>-0.333203549381747</v>
      </c>
      <c r="V66" s="85">
        <f>P66/'[21]2014'!P66-1</f>
        <v>0.0655785815031922</v>
      </c>
      <c r="W66" s="85">
        <f>Q66/'[21]2014'!Q66-1</f>
        <v>0.0924968682631571</v>
      </c>
      <c r="X66" s="85">
        <f>R66/'[21]2014'!R66-1</f>
        <v>0.0710083528310945</v>
      </c>
      <c r="Y66" s="38"/>
      <c r="Z66" s="38"/>
      <c r="AA66" s="38"/>
      <c r="AB66" s="38"/>
    </row>
    <row r="67" s="2" customFormat="1" ht="15" customHeight="1" spans="1:28">
      <c r="A67" s="21">
        <v>42066</v>
      </c>
      <c r="B67" s="15" t="s">
        <v>34</v>
      </c>
      <c r="C67" s="16">
        <v>35200</v>
      </c>
      <c r="D67" s="17">
        <v>23296</v>
      </c>
      <c r="E67" s="17">
        <v>59338</v>
      </c>
      <c r="F67" s="18">
        <v>3100</v>
      </c>
      <c r="G67" s="19">
        <v>1750</v>
      </c>
      <c r="H67" s="20"/>
      <c r="I67" s="20"/>
      <c r="J67" s="33">
        <f t="shared" si="8"/>
        <v>36042</v>
      </c>
      <c r="K67" s="34">
        <f t="shared" si="9"/>
        <v>49</v>
      </c>
      <c r="L67" s="34">
        <v>793</v>
      </c>
      <c r="M67" s="81">
        <f t="shared" si="10"/>
        <v>93895</v>
      </c>
      <c r="N67" s="82">
        <f t="shared" si="11"/>
        <v>68943</v>
      </c>
      <c r="O67" s="82">
        <f t="shared" si="12"/>
        <v>165518</v>
      </c>
      <c r="P67" s="81">
        <f t="shared" si="13"/>
        <v>3143286</v>
      </c>
      <c r="Q67" s="81">
        <f t="shared" si="13"/>
        <v>1234231</v>
      </c>
      <c r="R67" s="81">
        <f t="shared" si="13"/>
        <v>4440906</v>
      </c>
      <c r="S67" s="86">
        <f>M67/'[21]2014'!M67-1</f>
        <v>-0.482024350013516</v>
      </c>
      <c r="T67" s="86">
        <f>N67/'[21]2014'!N67-1</f>
        <v>0.241589828554963</v>
      </c>
      <c r="U67" s="86">
        <f>O67/'[21]2014'!O67-1</f>
        <v>-0.313821165174926</v>
      </c>
      <c r="V67" s="86">
        <f>P67/'[21]2014'!P67-1</f>
        <v>0.0557171808635337</v>
      </c>
      <c r="W67" s="86">
        <f>Q67/'[21]2014'!Q67-1</f>
        <v>0.0939160315120027</v>
      </c>
      <c r="X67" s="86">
        <f>R67/'[21]2014'!R67-1</f>
        <v>0.0641881254124685</v>
      </c>
      <c r="Y67" s="34"/>
      <c r="Z67" s="34"/>
      <c r="AA67" s="34"/>
      <c r="AB67" s="34"/>
    </row>
    <row r="68" s="2" customFormat="1" ht="15" customHeight="1" spans="1:28">
      <c r="A68" s="21">
        <v>42067</v>
      </c>
      <c r="B68" s="21" t="s">
        <v>35</v>
      </c>
      <c r="C68" s="70">
        <v>40800</v>
      </c>
      <c r="D68" s="71">
        <v>24279</v>
      </c>
      <c r="E68" s="71">
        <v>66031</v>
      </c>
      <c r="F68" s="72">
        <v>3450</v>
      </c>
      <c r="G68" s="73">
        <v>1950</v>
      </c>
      <c r="H68" s="25"/>
      <c r="I68" s="25"/>
      <c r="J68" s="74">
        <f t="shared" si="8"/>
        <v>41752</v>
      </c>
      <c r="K68" s="75">
        <f t="shared" si="9"/>
        <v>159</v>
      </c>
      <c r="L68" s="75">
        <v>793</v>
      </c>
      <c r="M68" s="76">
        <f t="shared" si="10"/>
        <v>134695</v>
      </c>
      <c r="N68" s="77">
        <f t="shared" si="11"/>
        <v>93222</v>
      </c>
      <c r="O68" s="77">
        <f t="shared" si="12"/>
        <v>231549</v>
      </c>
      <c r="P68" s="76">
        <f t="shared" si="13"/>
        <v>3184086</v>
      </c>
      <c r="Q68" s="76">
        <f t="shared" si="13"/>
        <v>1258510</v>
      </c>
      <c r="R68" s="76">
        <f t="shared" si="13"/>
        <v>4506937</v>
      </c>
      <c r="S68" s="83">
        <f>M68/'[21]2014'!M68-1</f>
        <v>-0.450006737361323</v>
      </c>
      <c r="T68" s="83">
        <f>N68/'[21]2014'!N68-1</f>
        <v>0.234941115688794</v>
      </c>
      <c r="U68" s="83">
        <f>O68/'[21]2014'!O68-1</f>
        <v>-0.290003587559448</v>
      </c>
      <c r="V68" s="83">
        <f>P68/'[21]2014'!P68-1</f>
        <v>0.0470440220136374</v>
      </c>
      <c r="W68" s="83">
        <f>Q68/'[21]2014'!Q68-1</f>
        <v>0.0960458619916349</v>
      </c>
      <c r="X68" s="83">
        <f>R68/'[21]2014'!R68-1</f>
        <v>0.058474300814757</v>
      </c>
      <c r="Y68" s="75"/>
      <c r="Z68" s="75"/>
      <c r="AA68" s="89"/>
      <c r="AB68" s="75"/>
    </row>
    <row r="69" s="2" customFormat="1" ht="15" customHeight="1" spans="1:28">
      <c r="A69" s="21">
        <v>42068</v>
      </c>
      <c r="B69" s="21" t="s">
        <v>36</v>
      </c>
      <c r="C69" s="22">
        <v>45200</v>
      </c>
      <c r="D69" s="8">
        <v>24213</v>
      </c>
      <c r="E69" s="8">
        <v>70325</v>
      </c>
      <c r="F69" s="23">
        <v>3670</v>
      </c>
      <c r="G69" s="24">
        <v>2010</v>
      </c>
      <c r="H69" s="25">
        <v>1225</v>
      </c>
      <c r="I69" s="37">
        <v>639</v>
      </c>
      <c r="J69" s="9">
        <f t="shared" si="8"/>
        <v>46112</v>
      </c>
      <c r="K69" s="38">
        <f t="shared" si="9"/>
        <v>119</v>
      </c>
      <c r="L69" s="38">
        <v>793</v>
      </c>
      <c r="M69" s="78">
        <f t="shared" si="10"/>
        <v>179895</v>
      </c>
      <c r="N69" s="79">
        <f t="shared" si="11"/>
        <v>117435</v>
      </c>
      <c r="O69" s="79">
        <f t="shared" si="12"/>
        <v>301874</v>
      </c>
      <c r="P69" s="80">
        <f t="shared" si="13"/>
        <v>3229286</v>
      </c>
      <c r="Q69" s="80">
        <f t="shared" si="13"/>
        <v>1282723</v>
      </c>
      <c r="R69" s="80">
        <f t="shared" si="13"/>
        <v>4577262</v>
      </c>
      <c r="S69" s="84">
        <f>M69/'[21]2014'!M69-1</f>
        <v>-0.417483744786675</v>
      </c>
      <c r="T69" s="84">
        <f>N69/'[21]2014'!N69-1</f>
        <v>0.234741191685329</v>
      </c>
      <c r="U69" s="84">
        <f>O69/'[21]2014'!O69-1</f>
        <v>-0.267041715935385</v>
      </c>
      <c r="V69" s="85">
        <f>P69/'[21]2014'!P69-1</f>
        <v>0.040046119979581</v>
      </c>
      <c r="W69" s="85">
        <f>Q69/'[21]2014'!Q69-1</f>
        <v>0.0983632736923721</v>
      </c>
      <c r="X69" s="85">
        <f>R69/'[21]2014'!R69-1</f>
        <v>0.0537736843777381</v>
      </c>
      <c r="Y69" s="38">
        <v>15.79</v>
      </c>
      <c r="Z69" s="38">
        <f>P69/10000-Y69</f>
        <v>307.1386</v>
      </c>
      <c r="AA69" s="38">
        <v>3890.092</v>
      </c>
      <c r="AB69" s="38">
        <f>Z69*10000/AA69</f>
        <v>789.540710091175</v>
      </c>
    </row>
    <row r="70" s="2" customFormat="1" ht="15" customHeight="1" spans="1:28">
      <c r="A70" s="21">
        <v>42069</v>
      </c>
      <c r="B70" s="21" t="s">
        <v>37</v>
      </c>
      <c r="C70" s="22">
        <v>47200</v>
      </c>
      <c r="D70" s="8">
        <f>11790+11769</f>
        <v>23559</v>
      </c>
      <c r="E70" s="8">
        <v>71927</v>
      </c>
      <c r="F70" s="23">
        <v>3834</v>
      </c>
      <c r="G70" s="24">
        <v>2035</v>
      </c>
      <c r="H70" s="25">
        <v>1230</v>
      </c>
      <c r="I70" s="37">
        <v>639</v>
      </c>
      <c r="J70" s="9">
        <f t="shared" si="8"/>
        <v>48368</v>
      </c>
      <c r="K70" s="38">
        <f t="shared" si="9"/>
        <v>375</v>
      </c>
      <c r="L70" s="38">
        <v>793</v>
      </c>
      <c r="M70" s="78">
        <f t="shared" si="10"/>
        <v>227095</v>
      </c>
      <c r="N70" s="79">
        <f t="shared" si="11"/>
        <v>140994</v>
      </c>
      <c r="O70" s="79">
        <f t="shared" si="12"/>
        <v>373801</v>
      </c>
      <c r="P70" s="80">
        <f t="shared" si="13"/>
        <v>3276486</v>
      </c>
      <c r="Q70" s="80">
        <f t="shared" si="13"/>
        <v>1306282</v>
      </c>
      <c r="R70" s="80">
        <f t="shared" si="13"/>
        <v>4649189</v>
      </c>
      <c r="S70" s="84">
        <f>M70/'[21]2014'!M70-1</f>
        <v>-0.397194277068458</v>
      </c>
      <c r="T70" s="84">
        <f>N70/'[21]2014'!N70-1</f>
        <v>0.225853569472339</v>
      </c>
      <c r="U70" s="84">
        <f>O70/'[21]2014'!O70-1</f>
        <v>-0.254837661496261</v>
      </c>
      <c r="V70" s="85">
        <f>P70/'[21]2014'!P70-1</f>
        <v>0.0326630528820924</v>
      </c>
      <c r="W70" s="85">
        <f>Q70/'[21]2014'!Q70-1</f>
        <v>0.0997884669219096</v>
      </c>
      <c r="X70" s="85">
        <f>R70/'[21]2014'!R70-1</f>
        <v>0.0486578672307401</v>
      </c>
      <c r="Y70" s="38"/>
      <c r="Z70" s="38"/>
      <c r="AA70" s="38"/>
      <c r="AB70" s="38"/>
    </row>
    <row r="71" s="2" customFormat="1" ht="15" customHeight="1" spans="1:28">
      <c r="A71" s="21">
        <v>42070</v>
      </c>
      <c r="B71" s="21" t="s">
        <v>38</v>
      </c>
      <c r="C71" s="22">
        <v>51919</v>
      </c>
      <c r="D71" s="8">
        <f>6684+11739</f>
        <v>18423</v>
      </c>
      <c r="E71" s="8">
        <v>71525</v>
      </c>
      <c r="F71" s="23">
        <v>3700</v>
      </c>
      <c r="G71" s="24">
        <v>2156</v>
      </c>
      <c r="H71" s="25">
        <v>937</v>
      </c>
      <c r="I71" s="37">
        <v>463</v>
      </c>
      <c r="J71" s="9">
        <f t="shared" si="8"/>
        <v>53102</v>
      </c>
      <c r="K71" s="38">
        <f t="shared" si="9"/>
        <v>390</v>
      </c>
      <c r="L71" s="38">
        <v>793</v>
      </c>
      <c r="M71" s="78">
        <f t="shared" si="10"/>
        <v>279014</v>
      </c>
      <c r="N71" s="79">
        <f t="shared" si="11"/>
        <v>159417</v>
      </c>
      <c r="O71" s="79">
        <f t="shared" si="12"/>
        <v>445326</v>
      </c>
      <c r="P71" s="80">
        <f t="shared" si="13"/>
        <v>3328405</v>
      </c>
      <c r="Q71" s="80">
        <f t="shared" si="13"/>
        <v>1324705</v>
      </c>
      <c r="R71" s="80">
        <f t="shared" si="13"/>
        <v>4720714</v>
      </c>
      <c r="S71" s="84">
        <f>M71/'[21]2014'!M71-1</f>
        <v>-0.36888510892406</v>
      </c>
      <c r="T71" s="84">
        <f>N71/'[21]2014'!N71-1</f>
        <v>0.16949227146347</v>
      </c>
      <c r="U71" s="84">
        <f>O71/'[21]2014'!O71-1</f>
        <v>-0.246135250980153</v>
      </c>
      <c r="V71" s="85">
        <f>P71/'[21]2014'!P71-1</f>
        <v>0.027850811773636</v>
      </c>
      <c r="W71" s="85">
        <f>Q71/'[21]2014'!Q71-1</f>
        <v>0.0956545760795531</v>
      </c>
      <c r="X71" s="85">
        <f>R71/'[21]2014'!R71-1</f>
        <v>0.0438161808164548</v>
      </c>
      <c r="Y71" s="38"/>
      <c r="Z71" s="38"/>
      <c r="AA71" s="38"/>
      <c r="AB71" s="38"/>
    </row>
    <row r="72" s="2" customFormat="1" ht="15" customHeight="1" spans="1:28">
      <c r="A72" s="21">
        <v>42071</v>
      </c>
      <c r="B72" s="21" t="s">
        <v>1</v>
      </c>
      <c r="C72" s="22">
        <v>50928</v>
      </c>
      <c r="D72" s="8">
        <f>7195+11707</f>
        <v>18902</v>
      </c>
      <c r="E72" s="8">
        <v>70928</v>
      </c>
      <c r="F72" s="23">
        <v>3614</v>
      </c>
      <c r="G72" s="24">
        <v>2220</v>
      </c>
      <c r="H72" s="25">
        <v>943</v>
      </c>
      <c r="I72" s="37">
        <v>570</v>
      </c>
      <c r="J72" s="9">
        <f t="shared" si="8"/>
        <v>52026</v>
      </c>
      <c r="K72" s="38">
        <f t="shared" si="9"/>
        <v>305</v>
      </c>
      <c r="L72" s="38">
        <v>793</v>
      </c>
      <c r="M72" s="78">
        <f t="shared" si="10"/>
        <v>329942</v>
      </c>
      <c r="N72" s="79">
        <f t="shared" si="11"/>
        <v>178319</v>
      </c>
      <c r="O72" s="79">
        <f t="shared" si="12"/>
        <v>516254</v>
      </c>
      <c r="P72" s="80">
        <f t="shared" si="13"/>
        <v>3379333</v>
      </c>
      <c r="Q72" s="80">
        <f t="shared" si="13"/>
        <v>1343607</v>
      </c>
      <c r="R72" s="80">
        <f t="shared" si="13"/>
        <v>4791642</v>
      </c>
      <c r="S72" s="84">
        <f>M72/'[21]2014'!M72-1</f>
        <v>-0.350605027594297</v>
      </c>
      <c r="T72" s="84">
        <f>N72/'[21]2014'!N72-1</f>
        <v>0.134770683653534</v>
      </c>
      <c r="U72" s="84">
        <f>O72/'[21]2014'!O72-1</f>
        <v>-0.240308024198117</v>
      </c>
      <c r="V72" s="85">
        <f>P72/'[21]2014'!P72-1</f>
        <v>0.0227395642572159</v>
      </c>
      <c r="W72" s="85">
        <f>Q72/'[21]2014'!Q72-1</f>
        <v>0.0924686646640347</v>
      </c>
      <c r="X72" s="85">
        <f>R72/'[21]2014'!R72-1</f>
        <v>0.0390893323612467</v>
      </c>
      <c r="Y72" s="38"/>
      <c r="Z72" s="38"/>
      <c r="AA72" s="38"/>
      <c r="AB72" s="38"/>
    </row>
    <row r="73" s="2" customFormat="1" ht="15" customHeight="1" spans="1:28">
      <c r="A73" s="21">
        <v>42072</v>
      </c>
      <c r="B73" s="21" t="s">
        <v>39</v>
      </c>
      <c r="C73" s="22">
        <v>53130</v>
      </c>
      <c r="D73" s="8">
        <v>18087</v>
      </c>
      <c r="E73" s="8">
        <v>73112</v>
      </c>
      <c r="F73" s="23">
        <v>3872</v>
      </c>
      <c r="G73" s="24">
        <v>2119</v>
      </c>
      <c r="H73" s="25">
        <v>959</v>
      </c>
      <c r="I73" s="37">
        <v>568</v>
      </c>
      <c r="J73" s="9">
        <f t="shared" si="8"/>
        <v>55025</v>
      </c>
      <c r="K73" s="38">
        <f t="shared" si="9"/>
        <v>1102</v>
      </c>
      <c r="L73" s="38">
        <v>793</v>
      </c>
      <c r="M73" s="78">
        <f t="shared" si="10"/>
        <v>383072</v>
      </c>
      <c r="N73" s="79">
        <f t="shared" si="11"/>
        <v>196406</v>
      </c>
      <c r="O73" s="79">
        <f t="shared" si="12"/>
        <v>589366</v>
      </c>
      <c r="P73" s="80">
        <f t="shared" si="13"/>
        <v>3432463</v>
      </c>
      <c r="Q73" s="80">
        <f t="shared" si="13"/>
        <v>1361694</v>
      </c>
      <c r="R73" s="80">
        <f t="shared" si="13"/>
        <v>4864754</v>
      </c>
      <c r="S73" s="84">
        <f>M73/'[21]2014'!M73-1</f>
        <v>-0.32657100967235</v>
      </c>
      <c r="T73" s="84">
        <f>N73/'[21]2014'!N73-1</f>
        <v>0.104210940574577</v>
      </c>
      <c r="U73" s="84">
        <f>O73/'[21]2014'!O73-1</f>
        <v>-0.227392318310705</v>
      </c>
      <c r="V73" s="85">
        <f>P73/'[21]2014'!P73-1</f>
        <v>0.020060868497952</v>
      </c>
      <c r="W73" s="85">
        <f>Q73/'[21]2014'!Q73-1</f>
        <v>0.0888234186423351</v>
      </c>
      <c r="X73" s="85">
        <f>R73/'[21]2014'!R73-1</f>
        <v>0.0362322606810808</v>
      </c>
      <c r="Y73" s="38"/>
      <c r="Z73" s="38"/>
      <c r="AA73" s="38"/>
      <c r="AB73" s="38"/>
    </row>
    <row r="74" s="2" customFormat="1" ht="15" customHeight="1" spans="1:28">
      <c r="A74" s="21">
        <v>42073</v>
      </c>
      <c r="B74" s="15" t="s">
        <v>34</v>
      </c>
      <c r="C74" s="16">
        <v>56583</v>
      </c>
      <c r="D74" s="17">
        <v>19900</v>
      </c>
      <c r="E74" s="17">
        <v>78307</v>
      </c>
      <c r="F74" s="18">
        <v>4088</v>
      </c>
      <c r="G74" s="19">
        <v>2349</v>
      </c>
      <c r="H74" s="20"/>
      <c r="I74" s="20"/>
      <c r="J74" s="33">
        <f t="shared" si="8"/>
        <v>58407</v>
      </c>
      <c r="K74" s="34">
        <f t="shared" si="9"/>
        <v>1031</v>
      </c>
      <c r="L74" s="34">
        <v>793</v>
      </c>
      <c r="M74" s="81">
        <f t="shared" si="10"/>
        <v>439655</v>
      </c>
      <c r="N74" s="82">
        <f t="shared" si="11"/>
        <v>216306</v>
      </c>
      <c r="O74" s="82">
        <f t="shared" si="12"/>
        <v>667673</v>
      </c>
      <c r="P74" s="81">
        <f t="shared" si="13"/>
        <v>3489046</v>
      </c>
      <c r="Q74" s="81">
        <f t="shared" si="13"/>
        <v>1381594</v>
      </c>
      <c r="R74" s="81">
        <f t="shared" si="13"/>
        <v>4943061</v>
      </c>
      <c r="S74" s="86">
        <f>M74/'[21]2014'!M74-1</f>
        <v>-0.304527126534602</v>
      </c>
      <c r="T74" s="86">
        <f>N74/'[21]2014'!N74-1</f>
        <v>0.088124031631688</v>
      </c>
      <c r="U74" s="86">
        <f>O74/'[21]2014'!O74-1</f>
        <v>-0.213445593962712</v>
      </c>
      <c r="V74" s="86">
        <f>P74/'[21]2014'!P74-1</f>
        <v>0.0177225483973342</v>
      </c>
      <c r="W74" s="86">
        <f>Q74/'[21]2014'!Q74-1</f>
        <v>0.0865615674363571</v>
      </c>
      <c r="X74" s="86">
        <f>R74/'[21]2014'!R74-1</f>
        <v>0.0339645745475494</v>
      </c>
      <c r="Y74" s="34">
        <v>17.9873</v>
      </c>
      <c r="Z74" s="34">
        <f>P74/10000-Y74</f>
        <v>330.9173</v>
      </c>
      <c r="AA74" s="34">
        <v>3890.092</v>
      </c>
      <c r="AB74" s="34">
        <f>Z74*10000/AA74</f>
        <v>850.667027926332</v>
      </c>
    </row>
    <row r="75" s="2" customFormat="1" ht="15" customHeight="1" spans="1:28">
      <c r="A75" s="21">
        <v>42074</v>
      </c>
      <c r="B75" s="21" t="s">
        <v>35</v>
      </c>
      <c r="C75" s="70">
        <v>59872</v>
      </c>
      <c r="D75" s="71">
        <v>19934</v>
      </c>
      <c r="E75" s="71">
        <v>81226</v>
      </c>
      <c r="F75" s="72">
        <v>4237</v>
      </c>
      <c r="G75" s="73">
        <v>2511</v>
      </c>
      <c r="H75" s="25"/>
      <c r="I75" s="25"/>
      <c r="J75" s="74">
        <f t="shared" si="8"/>
        <v>61292</v>
      </c>
      <c r="K75" s="75">
        <f t="shared" si="9"/>
        <v>627</v>
      </c>
      <c r="L75" s="75">
        <v>793</v>
      </c>
      <c r="M75" s="76">
        <f t="shared" si="10"/>
        <v>499527</v>
      </c>
      <c r="N75" s="77">
        <f t="shared" si="11"/>
        <v>236240</v>
      </c>
      <c r="O75" s="77">
        <f t="shared" si="12"/>
        <v>748899</v>
      </c>
      <c r="P75" s="76">
        <f t="shared" si="13"/>
        <v>3548918</v>
      </c>
      <c r="Q75" s="76">
        <f t="shared" si="13"/>
        <v>1401528</v>
      </c>
      <c r="R75" s="76">
        <f t="shared" si="13"/>
        <v>5024287</v>
      </c>
      <c r="S75" s="83">
        <f>M75/'[21]2014'!M75-1</f>
        <v>-0.280821503642489</v>
      </c>
      <c r="T75" s="83">
        <f>N75/'[21]2014'!N75-1</f>
        <v>0.0727162097118415</v>
      </c>
      <c r="U75" s="83">
        <f>O75/'[21]2014'!O75-1</f>
        <v>-0.198825998767588</v>
      </c>
      <c r="V75" s="83">
        <f>P75/'[21]2014'!P75-1</f>
        <v>0.0166777389412613</v>
      </c>
      <c r="W75" s="83">
        <f>Q75/'[21]2014'!Q75-1</f>
        <v>0.0839631189207144</v>
      </c>
      <c r="X75" s="83">
        <f>R75/'[21]2014'!R75-1</f>
        <v>0.0324059128986038</v>
      </c>
      <c r="Y75" s="75"/>
      <c r="Z75" s="75"/>
      <c r="AA75" s="89"/>
      <c r="AB75" s="75"/>
    </row>
    <row r="76" s="2" customFormat="1" ht="15" customHeight="1" spans="1:28">
      <c r="A76" s="21">
        <v>42075</v>
      </c>
      <c r="B76" s="21" t="s">
        <v>36</v>
      </c>
      <c r="C76" s="22">
        <v>58700</v>
      </c>
      <c r="D76" s="8">
        <v>20540</v>
      </c>
      <c r="E76" s="8">
        <v>80387</v>
      </c>
      <c r="F76" s="23">
        <v>4153</v>
      </c>
      <c r="G76" s="24">
        <v>2586</v>
      </c>
      <c r="H76" s="25">
        <v>964</v>
      </c>
      <c r="I76" s="37">
        <v>639</v>
      </c>
      <c r="J76" s="9">
        <f t="shared" si="8"/>
        <v>59847</v>
      </c>
      <c r="K76" s="38">
        <f t="shared" si="9"/>
        <v>354</v>
      </c>
      <c r="L76" s="38">
        <v>793</v>
      </c>
      <c r="M76" s="78">
        <f t="shared" si="10"/>
        <v>558227</v>
      </c>
      <c r="N76" s="79">
        <f t="shared" si="11"/>
        <v>256780</v>
      </c>
      <c r="O76" s="79">
        <f t="shared" si="12"/>
        <v>829286</v>
      </c>
      <c r="P76" s="80">
        <f t="shared" si="13"/>
        <v>3607618</v>
      </c>
      <c r="Q76" s="80">
        <f t="shared" si="13"/>
        <v>1422068</v>
      </c>
      <c r="R76" s="80">
        <f t="shared" si="13"/>
        <v>5104674</v>
      </c>
      <c r="S76" s="84">
        <f>M76/'[21]2014'!M76-1</f>
        <v>-0.262372371618434</v>
      </c>
      <c r="T76" s="84">
        <f>N76/'[21]2014'!N76-1</f>
        <v>0.0679676257496735</v>
      </c>
      <c r="U76" s="84">
        <f>O76/'[21]2014'!O76-1</f>
        <v>-0.18695298797125</v>
      </c>
      <c r="V76" s="85">
        <f>P76/'[21]2014'!P76-1</f>
        <v>0.0153986537225281</v>
      </c>
      <c r="W76" s="85">
        <f>Q76/'[21]2014'!Q76-1</f>
        <v>0.0829205625891682</v>
      </c>
      <c r="X76" s="85">
        <f>R76/'[21]2014'!R76-1</f>
        <v>0.0308719936701831</v>
      </c>
      <c r="Y76" s="38">
        <v>18.69</v>
      </c>
      <c r="Z76" s="38">
        <f>P76/10000-Y76</f>
        <v>342.0718</v>
      </c>
      <c r="AA76" s="38">
        <v>3890.092</v>
      </c>
      <c r="AB76" s="38">
        <f>Z76*10000/AA76</f>
        <v>879.341156970067</v>
      </c>
    </row>
    <row r="77" s="2" customFormat="1" ht="15" customHeight="1" spans="1:28">
      <c r="A77" s="21">
        <v>42076</v>
      </c>
      <c r="B77" s="21" t="s">
        <v>37</v>
      </c>
      <c r="C77" s="22">
        <v>58135</v>
      </c>
      <c r="D77" s="8">
        <v>19776</v>
      </c>
      <c r="E77" s="8">
        <v>79853</v>
      </c>
      <c r="F77" s="23">
        <v>4092</v>
      </c>
      <c r="G77" s="24">
        <v>2559</v>
      </c>
      <c r="H77" s="25"/>
      <c r="I77" s="37"/>
      <c r="J77" s="9">
        <f t="shared" si="8"/>
        <v>60077</v>
      </c>
      <c r="K77" s="38">
        <f t="shared" si="9"/>
        <v>1149</v>
      </c>
      <c r="L77" s="38">
        <v>793</v>
      </c>
      <c r="M77" s="78">
        <f t="shared" si="10"/>
        <v>616362</v>
      </c>
      <c r="N77" s="79">
        <f t="shared" si="11"/>
        <v>276556</v>
      </c>
      <c r="O77" s="79">
        <f t="shared" si="12"/>
        <v>909139</v>
      </c>
      <c r="P77" s="80">
        <f t="shared" si="13"/>
        <v>3665753</v>
      </c>
      <c r="Q77" s="80">
        <f t="shared" si="13"/>
        <v>1441844</v>
      </c>
      <c r="R77" s="80">
        <f t="shared" si="13"/>
        <v>5184527</v>
      </c>
      <c r="S77" s="84">
        <f>M77/'[21]2014'!M77-1</f>
        <v>-0.246195277300812</v>
      </c>
      <c r="T77" s="84">
        <f>N77/'[21]2014'!N77-1</f>
        <v>0.0554887659960994</v>
      </c>
      <c r="U77" s="84">
        <f>O77/'[21]2014'!O77-1</f>
        <v>-0.177555678385686</v>
      </c>
      <c r="V77" s="85">
        <f>P77/'[21]2014'!P77-1</f>
        <v>0.014379367472755</v>
      </c>
      <c r="W77" s="85">
        <f>Q77/'[21]2014'!Q77-1</f>
        <v>0.0802291802068915</v>
      </c>
      <c r="X77" s="85">
        <f>R77/'[21]2014'!R77-1</f>
        <v>0.0292396232857677</v>
      </c>
      <c r="Y77" s="38"/>
      <c r="Z77" s="38"/>
      <c r="AA77" s="38"/>
      <c r="AB77" s="38"/>
    </row>
    <row r="78" s="2" customFormat="1" ht="15" customHeight="1" spans="1:28">
      <c r="A78" s="21">
        <v>42077</v>
      </c>
      <c r="B78" s="21" t="s">
        <v>38</v>
      </c>
      <c r="C78" s="22">
        <v>59120</v>
      </c>
      <c r="D78" s="8">
        <v>19869</v>
      </c>
      <c r="E78" s="8">
        <v>80938</v>
      </c>
      <c r="F78" s="23">
        <v>4151</v>
      </c>
      <c r="G78" s="24">
        <v>2604</v>
      </c>
      <c r="H78" s="25"/>
      <c r="I78" s="37"/>
      <c r="J78" s="9">
        <f t="shared" si="8"/>
        <v>61069</v>
      </c>
      <c r="K78" s="38">
        <f t="shared" si="9"/>
        <v>1156</v>
      </c>
      <c r="L78" s="38">
        <v>793</v>
      </c>
      <c r="M78" s="78">
        <f t="shared" si="10"/>
        <v>675482</v>
      </c>
      <c r="N78" s="79">
        <f t="shared" si="11"/>
        <v>296425</v>
      </c>
      <c r="O78" s="79">
        <f t="shared" si="12"/>
        <v>990077</v>
      </c>
      <c r="P78" s="80">
        <f t="shared" si="13"/>
        <v>3724873</v>
      </c>
      <c r="Q78" s="80">
        <f t="shared" si="13"/>
        <v>1461713</v>
      </c>
      <c r="R78" s="80">
        <f t="shared" si="13"/>
        <v>5265465</v>
      </c>
      <c r="S78" s="84">
        <f>M78/'[21]2014'!M78-1</f>
        <v>-0.231037540711699</v>
      </c>
      <c r="T78" s="84">
        <f>N78/'[21]2014'!N78-1</f>
        <v>0.0457273083259544</v>
      </c>
      <c r="U78" s="84">
        <f>O78/'[21]2014'!O78-1</f>
        <v>-0.168383387440206</v>
      </c>
      <c r="V78" s="85">
        <f>P78/'[21]2014'!P78-1</f>
        <v>0.0136939067979407</v>
      </c>
      <c r="W78" s="85">
        <f>Q78/'[21]2014'!Q78-1</f>
        <v>0.0777976903908595</v>
      </c>
      <c r="X78" s="85">
        <f>R78/'[21]2014'!R78-1</f>
        <v>0.0279345084915705</v>
      </c>
      <c r="Y78" s="38"/>
      <c r="Z78" s="38"/>
      <c r="AA78" s="38"/>
      <c r="AB78" s="38"/>
    </row>
    <row r="79" s="2" customFormat="1" ht="15" customHeight="1" spans="1:28">
      <c r="A79" s="21">
        <v>42078</v>
      </c>
      <c r="B79" s="21" t="s">
        <v>1</v>
      </c>
      <c r="C79" s="22">
        <v>56719</v>
      </c>
      <c r="D79" s="8">
        <v>19836</v>
      </c>
      <c r="E79" s="8">
        <v>77870</v>
      </c>
      <c r="F79" s="23">
        <v>3953</v>
      </c>
      <c r="G79" s="24">
        <v>2575</v>
      </c>
      <c r="H79" s="25"/>
      <c r="I79" s="37"/>
      <c r="J79" s="9">
        <f t="shared" si="8"/>
        <v>58034</v>
      </c>
      <c r="K79" s="38">
        <f t="shared" si="9"/>
        <v>522</v>
      </c>
      <c r="L79" s="38">
        <v>793</v>
      </c>
      <c r="M79" s="78">
        <f t="shared" si="10"/>
        <v>732201</v>
      </c>
      <c r="N79" s="79">
        <f t="shared" si="11"/>
        <v>316261</v>
      </c>
      <c r="O79" s="79">
        <f t="shared" si="12"/>
        <v>1067947</v>
      </c>
      <c r="P79" s="80">
        <f t="shared" si="13"/>
        <v>3781592</v>
      </c>
      <c r="Q79" s="80">
        <f t="shared" si="13"/>
        <v>1481549</v>
      </c>
      <c r="R79" s="80">
        <f t="shared" si="13"/>
        <v>5343335</v>
      </c>
      <c r="S79" s="84">
        <f>M79/'[21]2014'!M79-1</f>
        <v>-0.220019749814379</v>
      </c>
      <c r="T79" s="84">
        <f>N79/'[21]2014'!N79-1</f>
        <v>0.0359329295655619</v>
      </c>
      <c r="U79" s="84">
        <f>O79/'[21]2014'!O79-1</f>
        <v>-0.161565939673717</v>
      </c>
      <c r="V79" s="85">
        <f>P79/'[21]2014'!P79-1</f>
        <v>0.0125112989388636</v>
      </c>
      <c r="W79" s="85">
        <f>Q79/'[21]2014'!Q79-1</f>
        <v>0.0751198357947551</v>
      </c>
      <c r="X79" s="85">
        <f>R79/'[21]2014'!R79-1</f>
        <v>0.0264651184145288</v>
      </c>
      <c r="Y79" s="38"/>
      <c r="Z79" s="38"/>
      <c r="AA79" s="38"/>
      <c r="AB79" s="38"/>
    </row>
    <row r="80" s="2" customFormat="1" ht="15" customHeight="1" spans="1:28">
      <c r="A80" s="21">
        <v>42079</v>
      </c>
      <c r="B80" s="21" t="s">
        <v>39</v>
      </c>
      <c r="C80" s="22">
        <v>59419</v>
      </c>
      <c r="D80" s="8">
        <v>19565</v>
      </c>
      <c r="E80" s="8">
        <v>81041</v>
      </c>
      <c r="F80" s="23">
        <v>4221</v>
      </c>
      <c r="G80" s="24">
        <v>2512</v>
      </c>
      <c r="H80" s="25"/>
      <c r="I80" s="37"/>
      <c r="J80" s="9">
        <f t="shared" si="8"/>
        <v>61476</v>
      </c>
      <c r="K80" s="38">
        <f t="shared" si="9"/>
        <v>1264</v>
      </c>
      <c r="L80" s="38">
        <v>793</v>
      </c>
      <c r="M80" s="78">
        <f t="shared" si="10"/>
        <v>791620</v>
      </c>
      <c r="N80" s="79">
        <f t="shared" si="11"/>
        <v>335826</v>
      </c>
      <c r="O80" s="79">
        <f t="shared" si="12"/>
        <v>1148988</v>
      </c>
      <c r="P80" s="80">
        <f t="shared" si="13"/>
        <v>3841011</v>
      </c>
      <c r="Q80" s="80">
        <f t="shared" si="13"/>
        <v>1501114</v>
      </c>
      <c r="R80" s="80">
        <f t="shared" si="13"/>
        <v>5424376</v>
      </c>
      <c r="S80" s="84">
        <f>M80/'[21]2014'!M80-1</f>
        <v>-0.204549907806086</v>
      </c>
      <c r="T80" s="84">
        <f>N80/'[21]2014'!N80-1</f>
        <v>0.0289858624979318</v>
      </c>
      <c r="U80" s="84">
        <f>O80/'[21]2014'!O80-1</f>
        <v>-0.150606631399348</v>
      </c>
      <c r="V80" s="85">
        <f>P80/'[21]2014'!P80-1</f>
        <v>0.013110258048282</v>
      </c>
      <c r="W80" s="85">
        <f>Q80/'[21]2014'!Q80-1</f>
        <v>0.0729090315855154</v>
      </c>
      <c r="X80" s="85">
        <f>R80/'[21]2014'!R80-1</f>
        <v>0.0264603669757757</v>
      </c>
      <c r="Y80" s="38"/>
      <c r="Z80" s="38"/>
      <c r="AA80" s="38"/>
      <c r="AB80" s="38"/>
    </row>
    <row r="81" ht="15" customHeight="1" spans="1:28">
      <c r="A81" s="21">
        <v>42080</v>
      </c>
      <c r="B81" s="15" t="s">
        <v>34</v>
      </c>
      <c r="C81" s="16">
        <v>59023</v>
      </c>
      <c r="D81" s="17">
        <v>20085</v>
      </c>
      <c r="E81" s="17">
        <v>81182</v>
      </c>
      <c r="F81" s="18">
        <v>4152</v>
      </c>
      <c r="G81" s="19">
        <v>2643</v>
      </c>
      <c r="H81" s="20"/>
      <c r="I81" s="20"/>
      <c r="J81" s="33">
        <f t="shared" si="8"/>
        <v>61097</v>
      </c>
      <c r="K81" s="34">
        <f t="shared" si="9"/>
        <v>1281</v>
      </c>
      <c r="L81" s="34">
        <v>793</v>
      </c>
      <c r="M81" s="81">
        <f t="shared" si="10"/>
        <v>850643</v>
      </c>
      <c r="N81" s="82">
        <f t="shared" si="11"/>
        <v>355911</v>
      </c>
      <c r="O81" s="82">
        <f t="shared" si="12"/>
        <v>1230170</v>
      </c>
      <c r="P81" s="81">
        <f t="shared" si="13"/>
        <v>3900034</v>
      </c>
      <c r="Q81" s="81">
        <f t="shared" si="13"/>
        <v>1521199</v>
      </c>
      <c r="R81" s="81">
        <f t="shared" si="13"/>
        <v>5505558</v>
      </c>
      <c r="S81" s="86">
        <f>M81/'[21]2014'!M81-1</f>
        <v>-0.19282881833114</v>
      </c>
      <c r="T81" s="86">
        <f>N81/'[21]2014'!N81-1</f>
        <v>0.0251955847956586</v>
      </c>
      <c r="U81" s="86">
        <f>O81/'[21]2014'!O81-1</f>
        <v>-0.14303309037383</v>
      </c>
      <c r="V81" s="86">
        <f>P81/'[21]2014'!P81-1</f>
        <v>0.0130016327366027</v>
      </c>
      <c r="W81" s="86">
        <f>Q81/'[21]2014'!Q81-1</f>
        <v>0.0713389527253416</v>
      </c>
      <c r="X81" s="86">
        <f>R81/'[21]2014'!R81-1</f>
        <v>0.0257551158659757</v>
      </c>
      <c r="Y81" s="34"/>
      <c r="Z81" s="34"/>
      <c r="AA81" s="34"/>
      <c r="AB81" s="34"/>
    </row>
    <row r="82" ht="15" customHeight="1" spans="1:28">
      <c r="A82" s="21">
        <v>42081</v>
      </c>
      <c r="B82" s="21" t="s">
        <v>35</v>
      </c>
      <c r="C82" s="70">
        <v>59146</v>
      </c>
      <c r="D82" s="71">
        <v>20090</v>
      </c>
      <c r="E82" s="71">
        <v>81492</v>
      </c>
      <c r="F82" s="72">
        <v>4215</v>
      </c>
      <c r="G82" s="73">
        <v>2620</v>
      </c>
      <c r="H82" s="25">
        <v>986</v>
      </c>
      <c r="I82" s="25">
        <v>674</v>
      </c>
      <c r="J82" s="74">
        <f t="shared" si="8"/>
        <v>61402</v>
      </c>
      <c r="K82" s="75">
        <f t="shared" si="9"/>
        <v>1463</v>
      </c>
      <c r="L82" s="75">
        <v>793</v>
      </c>
      <c r="M82" s="76">
        <f t="shared" si="10"/>
        <v>909789</v>
      </c>
      <c r="N82" s="77">
        <f t="shared" si="11"/>
        <v>376001</v>
      </c>
      <c r="O82" s="77">
        <f t="shared" si="12"/>
        <v>1311662</v>
      </c>
      <c r="P82" s="76">
        <f t="shared" si="13"/>
        <v>3959180</v>
      </c>
      <c r="Q82" s="76">
        <f t="shared" si="13"/>
        <v>1541289</v>
      </c>
      <c r="R82" s="76">
        <f t="shared" si="13"/>
        <v>5587050</v>
      </c>
      <c r="S82" s="83">
        <f>M82/'[21]2014'!M82-1</f>
        <v>-0.184662909869121</v>
      </c>
      <c r="T82" s="83">
        <f>N82/'[21]2014'!N82-1</f>
        <v>0.0254703241677621</v>
      </c>
      <c r="U82" s="83">
        <f>O82/'[21]2014'!O82-1</f>
        <v>-0.136296231911542</v>
      </c>
      <c r="V82" s="83">
        <f>P82/'[21]2014'!P82-1</f>
        <v>0.0120693820113422</v>
      </c>
      <c r="W82" s="83">
        <f>Q82/'[21]2014'!Q82-1</f>
        <v>0.0707838842853197</v>
      </c>
      <c r="X82" s="83">
        <f>R82/'[21]2014'!R82-1</f>
        <v>0.0250570729864561</v>
      </c>
      <c r="Y82" s="75"/>
      <c r="Z82" s="75"/>
      <c r="AA82" s="89"/>
      <c r="AB82" s="75"/>
    </row>
    <row r="83" ht="15" customHeight="1" spans="1:28">
      <c r="A83" s="21">
        <v>42082</v>
      </c>
      <c r="B83" s="21" t="s">
        <v>36</v>
      </c>
      <c r="C83" s="22">
        <v>57700</v>
      </c>
      <c r="D83" s="8">
        <v>23445</v>
      </c>
      <c r="E83" s="8">
        <v>82096</v>
      </c>
      <c r="F83" s="23">
        <v>4175</v>
      </c>
      <c r="G83" s="24">
        <v>2655</v>
      </c>
      <c r="H83" s="25">
        <v>1101</v>
      </c>
      <c r="I83" s="37">
        <v>623</v>
      </c>
      <c r="J83" s="9">
        <f t="shared" si="8"/>
        <v>58651</v>
      </c>
      <c r="K83" s="38">
        <f t="shared" si="9"/>
        <v>158</v>
      </c>
      <c r="L83" s="38">
        <v>793</v>
      </c>
      <c r="M83" s="78">
        <f t="shared" si="10"/>
        <v>967489</v>
      </c>
      <c r="N83" s="79">
        <f t="shared" si="11"/>
        <v>399446</v>
      </c>
      <c r="O83" s="79">
        <f t="shared" si="12"/>
        <v>1393758</v>
      </c>
      <c r="P83" s="80">
        <f t="shared" si="13"/>
        <v>4016880</v>
      </c>
      <c r="Q83" s="80">
        <f t="shared" si="13"/>
        <v>1564734</v>
      </c>
      <c r="R83" s="80">
        <f t="shared" si="13"/>
        <v>5669146</v>
      </c>
      <c r="S83" s="84">
        <f>M83/'[21]2014'!M83-1</f>
        <v>-0.179669998897735</v>
      </c>
      <c r="T83" s="84">
        <f>N83/'[21]2014'!N83-1</f>
        <v>0.0327152578129848</v>
      </c>
      <c r="U83" s="84">
        <f>O83/'[21]2014'!O83-1</f>
        <v>-0.131209517712627</v>
      </c>
      <c r="V83" s="85">
        <f>P83/'[21]2014'!P83-1</f>
        <v>0.0104059578756039</v>
      </c>
      <c r="W83" s="85">
        <f>Q83/'[21]2014'!Q83-1</f>
        <v>0.0720789019771741</v>
      </c>
      <c r="X83" s="85">
        <f>R83/'[21]2014'!R83-1</f>
        <v>0.0240361410962269</v>
      </c>
      <c r="Y83" s="38">
        <v>21.14</v>
      </c>
      <c r="Z83" s="38">
        <f>P83/10000-Y83</f>
        <v>380.548</v>
      </c>
      <c r="AA83" s="38">
        <v>3890.092</v>
      </c>
      <c r="AB83" s="38">
        <f>Z83*10000/AA83</f>
        <v>978.249357598741</v>
      </c>
    </row>
    <row r="84" ht="15" customHeight="1" spans="1:28">
      <c r="A84" s="21">
        <v>42083</v>
      </c>
      <c r="B84" s="21" t="s">
        <v>37</v>
      </c>
      <c r="C84" s="22">
        <v>57722</v>
      </c>
      <c r="D84" s="8">
        <f>12243+11771</f>
        <v>24014</v>
      </c>
      <c r="E84" s="8">
        <v>84297</v>
      </c>
      <c r="F84" s="23">
        <v>4342</v>
      </c>
      <c r="G84" s="24">
        <v>2713</v>
      </c>
      <c r="H84" s="25"/>
      <c r="I84" s="37"/>
      <c r="J84" s="9">
        <f t="shared" si="8"/>
        <v>60283</v>
      </c>
      <c r="K84" s="38">
        <f t="shared" si="9"/>
        <v>1768</v>
      </c>
      <c r="L84" s="38">
        <v>793</v>
      </c>
      <c r="M84" s="78">
        <f t="shared" si="10"/>
        <v>1025211</v>
      </c>
      <c r="N84" s="79">
        <f t="shared" si="11"/>
        <v>423460</v>
      </c>
      <c r="O84" s="79">
        <f t="shared" si="12"/>
        <v>1478055</v>
      </c>
      <c r="P84" s="80">
        <f t="shared" si="13"/>
        <v>4074602</v>
      </c>
      <c r="Q84" s="80">
        <f t="shared" si="13"/>
        <v>1588748</v>
      </c>
      <c r="R84" s="80">
        <f t="shared" si="13"/>
        <v>5753443</v>
      </c>
      <c r="S84" s="84">
        <f>M84/'[21]2014'!M84-1</f>
        <v>-0.17401694004436</v>
      </c>
      <c r="T84" s="84">
        <f>N84/'[21]2014'!N84-1</f>
        <v>0.0357495768557201</v>
      </c>
      <c r="U84" s="84">
        <f>O84/'[21]2014'!O84-1</f>
        <v>-0.125497140517559</v>
      </c>
      <c r="V84" s="85">
        <f>P84/'[21]2014'!P84-1</f>
        <v>0.00923384362208424</v>
      </c>
      <c r="W84" s="85">
        <f>Q84/'[21]2014'!Q84-1</f>
        <v>0.0723303328294809</v>
      </c>
      <c r="X84" s="85">
        <f>R84/'[21]2014'!R84-1</f>
        <v>0.0233810239959302</v>
      </c>
      <c r="Y84" s="38">
        <v>22.5647</v>
      </c>
      <c r="Z84" s="38">
        <f>P84/10000-Y84</f>
        <v>384.8955</v>
      </c>
      <c r="AA84" s="38">
        <v>3890.092</v>
      </c>
      <c r="AB84" s="38">
        <f>Z84*10000/AA84</f>
        <v>989.425185831081</v>
      </c>
    </row>
    <row r="85" ht="15" customHeight="1" spans="1:28">
      <c r="A85" s="21">
        <v>42084</v>
      </c>
      <c r="B85" s="21" t="s">
        <v>38</v>
      </c>
      <c r="C85" s="22">
        <v>56097</v>
      </c>
      <c r="D85" s="8">
        <f>13068+11745</f>
        <v>24813</v>
      </c>
      <c r="E85" s="8">
        <v>83352</v>
      </c>
      <c r="F85" s="23">
        <v>4278</v>
      </c>
      <c r="G85" s="24">
        <v>2759</v>
      </c>
      <c r="H85" s="25"/>
      <c r="I85" s="37"/>
      <c r="J85" s="9">
        <f t="shared" si="8"/>
        <v>58539</v>
      </c>
      <c r="K85" s="38">
        <f t="shared" si="9"/>
        <v>1649</v>
      </c>
      <c r="L85" s="38">
        <v>793</v>
      </c>
      <c r="M85" s="78">
        <f t="shared" si="10"/>
        <v>1081308</v>
      </c>
      <c r="N85" s="79">
        <f t="shared" si="11"/>
        <v>448273</v>
      </c>
      <c r="O85" s="79">
        <f t="shared" si="12"/>
        <v>1561407</v>
      </c>
      <c r="P85" s="80">
        <f t="shared" si="13"/>
        <v>4130699</v>
      </c>
      <c r="Q85" s="80">
        <f t="shared" si="13"/>
        <v>1613561</v>
      </c>
      <c r="R85" s="80">
        <f t="shared" si="13"/>
        <v>5836795</v>
      </c>
      <c r="S85" s="84">
        <f>M85/'[21]2014'!M85-1</f>
        <v>-0.170433177517394</v>
      </c>
      <c r="T85" s="84">
        <f>N85/'[21]2014'!N85-1</f>
        <v>0.0406705451371316</v>
      </c>
      <c r="U85" s="84">
        <f>O85/'[21]2014'!O85-1</f>
        <v>-0.120943728602868</v>
      </c>
      <c r="V85" s="85">
        <f>P85/'[21]2014'!P85-1</f>
        <v>0.00759028603403955</v>
      </c>
      <c r="W85" s="85">
        <f>Q85/'[21]2014'!Q85-1</f>
        <v>0.0732071184829741</v>
      </c>
      <c r="X85" s="85">
        <f>R85/'[21]2014'!R85-1</f>
        <v>0.0225531967078132</v>
      </c>
      <c r="Y85" s="38"/>
      <c r="Z85" s="38"/>
      <c r="AA85" s="38"/>
      <c r="AB85" s="38"/>
    </row>
    <row r="86" ht="15" customHeight="1" spans="1:28">
      <c r="A86" s="21">
        <v>42085</v>
      </c>
      <c r="B86" s="21" t="s">
        <v>1</v>
      </c>
      <c r="C86" s="22">
        <v>52703</v>
      </c>
      <c r="D86" s="8">
        <f>13003+11704</f>
        <v>24707</v>
      </c>
      <c r="E86" s="8">
        <v>79426</v>
      </c>
      <c r="F86" s="23">
        <v>3999</v>
      </c>
      <c r="G86" s="24">
        <v>2742</v>
      </c>
      <c r="H86" s="25"/>
      <c r="I86" s="37"/>
      <c r="J86" s="9">
        <f t="shared" si="8"/>
        <v>54719</v>
      </c>
      <c r="K86" s="38">
        <f t="shared" si="9"/>
        <v>1223</v>
      </c>
      <c r="L86" s="38">
        <v>793</v>
      </c>
      <c r="M86" s="78">
        <f t="shared" si="10"/>
        <v>1134011</v>
      </c>
      <c r="N86" s="79">
        <f t="shared" si="11"/>
        <v>472980</v>
      </c>
      <c r="O86" s="79">
        <f t="shared" si="12"/>
        <v>1640833</v>
      </c>
      <c r="P86" s="80">
        <f t="shared" si="13"/>
        <v>4183402</v>
      </c>
      <c r="Q86" s="80">
        <f t="shared" si="13"/>
        <v>1638268</v>
      </c>
      <c r="R86" s="80">
        <f t="shared" si="13"/>
        <v>5916221</v>
      </c>
      <c r="S86" s="84">
        <f>M86/'[21]2014'!M86-1</f>
        <v>-0.167627482413182</v>
      </c>
      <c r="T86" s="84">
        <f>N86/'[21]2014'!N86-1</f>
        <v>0.0407333409612998</v>
      </c>
      <c r="U86" s="84">
        <f>O86/'[21]2014'!O86-1</f>
        <v>-0.118347439777163</v>
      </c>
      <c r="V86" s="85">
        <f>P86/'[21]2014'!P86-1</f>
        <v>0.00598700734999724</v>
      </c>
      <c r="W86" s="85">
        <f>Q86/'[21]2014'!Q86-1</f>
        <v>0.0727205879223434</v>
      </c>
      <c r="X86" s="85">
        <f>R86/'[21]2014'!R86-1</f>
        <v>0.0212853041049959</v>
      </c>
      <c r="Y86" s="38"/>
      <c r="Z86" s="38"/>
      <c r="AA86" s="38"/>
      <c r="AB86" s="38"/>
    </row>
    <row r="87" ht="15" customHeight="1" spans="1:28">
      <c r="A87" s="21">
        <v>42086</v>
      </c>
      <c r="B87" s="21" t="s">
        <v>39</v>
      </c>
      <c r="C87" s="22">
        <v>57748</v>
      </c>
      <c r="D87" s="8">
        <f>13042+11546</f>
        <v>24588</v>
      </c>
      <c r="E87" s="8">
        <v>84409</v>
      </c>
      <c r="F87" s="23">
        <v>4363</v>
      </c>
      <c r="G87" s="24">
        <v>2655</v>
      </c>
      <c r="H87" s="25"/>
      <c r="I87" s="37"/>
      <c r="J87" s="9">
        <f t="shared" si="8"/>
        <v>59821</v>
      </c>
      <c r="K87" s="38">
        <f t="shared" si="9"/>
        <v>1280</v>
      </c>
      <c r="L87" s="38">
        <v>793</v>
      </c>
      <c r="M87" s="78">
        <f t="shared" si="10"/>
        <v>1191759</v>
      </c>
      <c r="N87" s="79">
        <f t="shared" si="11"/>
        <v>497568</v>
      </c>
      <c r="O87" s="79">
        <f t="shared" si="12"/>
        <v>1725242</v>
      </c>
      <c r="P87" s="80">
        <f t="shared" si="13"/>
        <v>4241150</v>
      </c>
      <c r="Q87" s="80">
        <f t="shared" si="13"/>
        <v>1662856</v>
      </c>
      <c r="R87" s="80">
        <f t="shared" si="13"/>
        <v>6000630</v>
      </c>
      <c r="S87" s="84">
        <f>M87/'[21]2014'!M87-1</f>
        <v>-0.159951616961977</v>
      </c>
      <c r="T87" s="84">
        <f>N87/'[21]2014'!N87-1</f>
        <v>0.0424136276693141</v>
      </c>
      <c r="U87" s="84">
        <f>O87/'[21]2014'!O87-1</f>
        <v>-0.11164056200291</v>
      </c>
      <c r="V87" s="85">
        <f>P87/'[21]2014'!P87-1</f>
        <v>0.00625177944386457</v>
      </c>
      <c r="W87" s="85">
        <f>Q87/'[21]2014'!Q87-1</f>
        <v>0.0727663737646878</v>
      </c>
      <c r="X87" s="85">
        <f>R87/'[21]2014'!R87-1</f>
        <v>0.0215780600328608</v>
      </c>
      <c r="Y87" s="38"/>
      <c r="Z87" s="38"/>
      <c r="AA87" s="38"/>
      <c r="AB87" s="38"/>
    </row>
    <row r="88" ht="15" customHeight="1" spans="1:28">
      <c r="A88" s="21">
        <v>42087</v>
      </c>
      <c r="B88" s="15" t="s">
        <v>34</v>
      </c>
      <c r="C88" s="16">
        <v>59650</v>
      </c>
      <c r="D88" s="17">
        <f>13512+11698</f>
        <v>25210</v>
      </c>
      <c r="E88" s="17">
        <v>86671</v>
      </c>
      <c r="F88" s="18">
        <v>4396</v>
      </c>
      <c r="G88" s="19">
        <v>2831</v>
      </c>
      <c r="H88" s="20"/>
      <c r="I88" s="20"/>
      <c r="J88" s="33">
        <f t="shared" si="8"/>
        <v>61461</v>
      </c>
      <c r="K88" s="34">
        <f t="shared" si="9"/>
        <v>1018</v>
      </c>
      <c r="L88" s="34">
        <v>793</v>
      </c>
      <c r="M88" s="81">
        <f t="shared" si="10"/>
        <v>1251409</v>
      </c>
      <c r="N88" s="82">
        <f t="shared" si="11"/>
        <v>522778</v>
      </c>
      <c r="O88" s="82">
        <f t="shared" si="12"/>
        <v>1811913</v>
      </c>
      <c r="P88" s="81">
        <f t="shared" si="13"/>
        <v>4300800</v>
      </c>
      <c r="Q88" s="81">
        <f t="shared" si="13"/>
        <v>1688066</v>
      </c>
      <c r="R88" s="81">
        <f t="shared" si="13"/>
        <v>6087301</v>
      </c>
      <c r="S88" s="86">
        <f>M88/'[21]2014'!M88-1</f>
        <v>-0.152652765505077</v>
      </c>
      <c r="T88" s="86">
        <f>N88/'[21]2014'!N88-1</f>
        <v>0.0443612507291657</v>
      </c>
      <c r="U88" s="86">
        <f>O88/'[21]2014'!O88-1</f>
        <v>-0.105706429598393</v>
      </c>
      <c r="V88" s="86">
        <f>P88/'[21]2014'!P88-1</f>
        <v>0.00651162094053426</v>
      </c>
      <c r="W88" s="86">
        <f>Q88/'[21]2014'!Q88-1</f>
        <v>0.0729375124140945</v>
      </c>
      <c r="X88" s="86">
        <f>R88/'[21]2014'!R88-1</f>
        <v>0.0217171720562506</v>
      </c>
      <c r="Y88" s="34"/>
      <c r="Z88" s="34"/>
      <c r="AA88" s="34"/>
      <c r="AB88" s="34"/>
    </row>
    <row r="89" ht="15" customHeight="1" spans="1:28">
      <c r="A89" s="21">
        <v>42088</v>
      </c>
      <c r="B89" s="21" t="s">
        <v>35</v>
      </c>
      <c r="C89" s="70">
        <v>59601</v>
      </c>
      <c r="D89" s="71">
        <f>13723+11710</f>
        <v>25433</v>
      </c>
      <c r="E89" s="71">
        <v>87509</v>
      </c>
      <c r="F89" s="72">
        <v>4453</v>
      </c>
      <c r="G89" s="73">
        <v>2878</v>
      </c>
      <c r="H89" s="25"/>
      <c r="I89" s="25"/>
      <c r="J89" s="74">
        <f t="shared" si="8"/>
        <v>62076</v>
      </c>
      <c r="K89" s="75">
        <f t="shared" si="9"/>
        <v>1682</v>
      </c>
      <c r="L89" s="75">
        <v>793</v>
      </c>
      <c r="M89" s="76">
        <f t="shared" si="10"/>
        <v>1311010</v>
      </c>
      <c r="N89" s="77">
        <f t="shared" si="11"/>
        <v>548211</v>
      </c>
      <c r="O89" s="77">
        <f t="shared" si="12"/>
        <v>1899422</v>
      </c>
      <c r="P89" s="76">
        <f t="shared" si="13"/>
        <v>4360401</v>
      </c>
      <c r="Q89" s="76">
        <f t="shared" si="13"/>
        <v>1713499</v>
      </c>
      <c r="R89" s="76">
        <f t="shared" si="13"/>
        <v>6174810</v>
      </c>
      <c r="S89" s="83">
        <f>M89/'[21]2014'!M89-1</f>
        <v>-0.146477308904498</v>
      </c>
      <c r="T89" s="83">
        <f>N89/'[21]2014'!N89-1</f>
        <v>0.0448642199316907</v>
      </c>
      <c r="U89" s="83">
        <f>O89/'[21]2014'!O89-1</f>
        <v>-0.100283544294204</v>
      </c>
      <c r="V89" s="83">
        <f>P89/'[21]2014'!P89-1</f>
        <v>0.00652821251488889</v>
      </c>
      <c r="W89" s="83">
        <f>Q89/'[21]2014'!Q89-1</f>
        <v>0.0726715860806146</v>
      </c>
      <c r="X89" s="83">
        <f>R89/'[21]2014'!R89-1</f>
        <v>0.0218182702756908</v>
      </c>
      <c r="Y89" s="75"/>
      <c r="Z89" s="75"/>
      <c r="AA89" s="89"/>
      <c r="AB89" s="75"/>
    </row>
    <row r="90" ht="15" customHeight="1" spans="1:28">
      <c r="A90" s="21">
        <v>42089</v>
      </c>
      <c r="B90" s="21" t="s">
        <v>36</v>
      </c>
      <c r="C90" s="22">
        <v>61661</v>
      </c>
      <c r="D90" s="8">
        <v>26503</v>
      </c>
      <c r="E90" s="8">
        <v>90042</v>
      </c>
      <c r="F90" s="23">
        <v>4506</v>
      </c>
      <c r="G90" s="24">
        <v>2914</v>
      </c>
      <c r="H90" s="25"/>
      <c r="I90" s="37"/>
      <c r="J90" s="9">
        <f t="shared" si="8"/>
        <v>63539</v>
      </c>
      <c r="K90" s="38">
        <f t="shared" si="9"/>
        <v>1085</v>
      </c>
      <c r="L90" s="38">
        <v>793</v>
      </c>
      <c r="M90" s="78">
        <f t="shared" si="10"/>
        <v>1372671</v>
      </c>
      <c r="N90" s="79">
        <f t="shared" si="11"/>
        <v>574714</v>
      </c>
      <c r="O90" s="79">
        <f t="shared" si="12"/>
        <v>1989464</v>
      </c>
      <c r="P90" s="80">
        <f t="shared" si="13"/>
        <v>4422062</v>
      </c>
      <c r="Q90" s="80">
        <f t="shared" si="13"/>
        <v>1740002</v>
      </c>
      <c r="R90" s="80">
        <f t="shared" si="13"/>
        <v>6264852</v>
      </c>
      <c r="S90" s="84">
        <f>M90/'[21]2014'!M90-1</f>
        <v>-0.139828588723853</v>
      </c>
      <c r="T90" s="84">
        <f>N90/'[21]2014'!N90-1</f>
        <v>0.0488936421839525</v>
      </c>
      <c r="U90" s="84">
        <f>O90/'[21]2014'!O90-1</f>
        <v>-0.0940996795254171</v>
      </c>
      <c r="V90" s="85">
        <f>P90/'[21]2014'!P90-1</f>
        <v>0.00686030658033876</v>
      </c>
      <c r="W90" s="85">
        <f>Q90/'[21]2014'!Q90-1</f>
        <v>0.0736349195036974</v>
      </c>
      <c r="X90" s="85">
        <f>R90/'[21]2014'!R90-1</f>
        <v>0.0223410874800321</v>
      </c>
      <c r="Y90" s="38">
        <v>25.3</v>
      </c>
      <c r="Z90" s="38">
        <f>P90/10000-Y90</f>
        <v>416.9062</v>
      </c>
      <c r="AA90" s="38">
        <v>3890.092</v>
      </c>
      <c r="AB90" s="38">
        <f>Z90*10000/AA90</f>
        <v>1071.71295691721</v>
      </c>
    </row>
    <row r="91" ht="15" customHeight="1" spans="1:28">
      <c r="A91" s="21">
        <v>42090</v>
      </c>
      <c r="B91" s="21" t="s">
        <v>37</v>
      </c>
      <c r="C91" s="22">
        <v>61577</v>
      </c>
      <c r="D91" s="8">
        <f>14303+11709</f>
        <v>26012</v>
      </c>
      <c r="E91" s="8">
        <v>89507</v>
      </c>
      <c r="F91" s="23">
        <v>4589</v>
      </c>
      <c r="G91" s="24">
        <v>2923</v>
      </c>
      <c r="H91" s="25"/>
      <c r="I91" s="37"/>
      <c r="J91" s="9">
        <f t="shared" si="8"/>
        <v>63495</v>
      </c>
      <c r="K91" s="38">
        <f t="shared" si="9"/>
        <v>1125</v>
      </c>
      <c r="L91" s="38">
        <v>793</v>
      </c>
      <c r="M91" s="78">
        <f t="shared" si="10"/>
        <v>1434248</v>
      </c>
      <c r="N91" s="79">
        <f t="shared" si="11"/>
        <v>600726</v>
      </c>
      <c r="O91" s="79">
        <f t="shared" si="12"/>
        <v>2078971</v>
      </c>
      <c r="P91" s="80">
        <f t="shared" si="13"/>
        <v>4483639</v>
      </c>
      <c r="Q91" s="80">
        <f t="shared" si="13"/>
        <v>1766014</v>
      </c>
      <c r="R91" s="80">
        <f t="shared" si="13"/>
        <v>6354359</v>
      </c>
      <c r="S91" s="84">
        <f>M91/'[21]2014'!M91-1</f>
        <v>-0.133627792570542</v>
      </c>
      <c r="T91" s="84">
        <f>N91/'[21]2014'!N91-1</f>
        <v>0.0517224777348064</v>
      </c>
      <c r="U91" s="84">
        <f>O91/'[21]2014'!O91-1</f>
        <v>-0.0886366884303904</v>
      </c>
      <c r="V91" s="85">
        <f>P91/'[21]2014'!P91-1</f>
        <v>0.0072005813659628</v>
      </c>
      <c r="W91" s="85">
        <f>Q91/'[21]2014'!Q91-1</f>
        <v>0.0742677502937332</v>
      </c>
      <c r="X91" s="85">
        <f>R91/'[21]2014'!R91-1</f>
        <v>0.0227529557001092</v>
      </c>
      <c r="Y91" s="38"/>
      <c r="Z91" s="38"/>
      <c r="AA91" s="38"/>
      <c r="AB91" s="38"/>
    </row>
    <row r="92" ht="15" customHeight="1" spans="1:28">
      <c r="A92" s="21">
        <v>42091</v>
      </c>
      <c r="B92" s="21" t="s">
        <v>38</v>
      </c>
      <c r="C92" s="22">
        <v>57882</v>
      </c>
      <c r="D92" s="8">
        <f>13869+11751</f>
        <v>25620</v>
      </c>
      <c r="E92" s="8">
        <v>87291</v>
      </c>
      <c r="F92" s="23">
        <v>4414</v>
      </c>
      <c r="G92" s="24">
        <v>2929</v>
      </c>
      <c r="H92" s="25">
        <v>1302</v>
      </c>
      <c r="I92" s="37">
        <v>887</v>
      </c>
      <c r="J92" s="9">
        <f t="shared" si="8"/>
        <v>61671</v>
      </c>
      <c r="K92" s="38">
        <f t="shared" si="9"/>
        <v>2996</v>
      </c>
      <c r="L92" s="38">
        <v>793</v>
      </c>
      <c r="M92" s="78">
        <f t="shared" si="10"/>
        <v>1492130</v>
      </c>
      <c r="N92" s="79">
        <f t="shared" si="11"/>
        <v>626346</v>
      </c>
      <c r="O92" s="79">
        <f t="shared" si="12"/>
        <v>2166262</v>
      </c>
      <c r="P92" s="80">
        <f t="shared" si="13"/>
        <v>4541521</v>
      </c>
      <c r="Q92" s="80">
        <f t="shared" si="13"/>
        <v>1791634</v>
      </c>
      <c r="R92" s="80">
        <f t="shared" si="13"/>
        <v>6441650</v>
      </c>
      <c r="S92" s="84">
        <f>M92/'[21]2014'!M92-1</f>
        <v>-0.129251676861471</v>
      </c>
      <c r="T92" s="84">
        <f>N92/'[21]2014'!N92-1</f>
        <v>0.051413588308562</v>
      </c>
      <c r="U92" s="84">
        <f>O92/'[21]2014'!O92-1</f>
        <v>-0.0844127657829881</v>
      </c>
      <c r="V92" s="85">
        <f>P92/'[21]2014'!P92-1</f>
        <v>0.00704741449560609</v>
      </c>
      <c r="W92" s="85">
        <f>Q92/'[21]2014'!Q92-1</f>
        <v>0.0738259297429333</v>
      </c>
      <c r="X92" s="85">
        <f>R92/'[21]2014'!R92-1</f>
        <v>0.0228396855414819</v>
      </c>
      <c r="Y92" s="38"/>
      <c r="Z92" s="38"/>
      <c r="AA92" s="38"/>
      <c r="AB92" s="38"/>
    </row>
    <row r="93" ht="15" customHeight="1" spans="1:28">
      <c r="A93" s="21">
        <v>42092</v>
      </c>
      <c r="B93" s="21" t="s">
        <v>1</v>
      </c>
      <c r="C93" s="22">
        <v>53863</v>
      </c>
      <c r="D93" s="8">
        <f>15165+11687</f>
        <v>26852</v>
      </c>
      <c r="E93" s="8">
        <v>82420</v>
      </c>
      <c r="F93" s="23">
        <v>4097</v>
      </c>
      <c r="G93" s="24">
        <v>2876</v>
      </c>
      <c r="H93" s="25">
        <v>1287</v>
      </c>
      <c r="I93" s="37">
        <v>887</v>
      </c>
      <c r="J93" s="9">
        <f t="shared" si="8"/>
        <v>55568</v>
      </c>
      <c r="K93" s="38">
        <f t="shared" si="9"/>
        <v>912</v>
      </c>
      <c r="L93" s="38">
        <v>793</v>
      </c>
      <c r="M93" s="78">
        <f t="shared" si="10"/>
        <v>1545993</v>
      </c>
      <c r="N93" s="79">
        <f t="shared" si="11"/>
        <v>653198</v>
      </c>
      <c r="O93" s="79">
        <f t="shared" si="12"/>
        <v>2248682</v>
      </c>
      <c r="P93" s="80">
        <f t="shared" si="13"/>
        <v>4595384</v>
      </c>
      <c r="Q93" s="80">
        <f t="shared" si="13"/>
        <v>1818486</v>
      </c>
      <c r="R93" s="80">
        <f t="shared" si="13"/>
        <v>6524070</v>
      </c>
      <c r="S93" s="84">
        <f>M93/'[21]2014'!M93-1</f>
        <v>-0.125913667470272</v>
      </c>
      <c r="T93" s="84">
        <f>N93/'[21]2014'!N93-1</f>
        <v>0.0506913480160338</v>
      </c>
      <c r="U93" s="84">
        <f>O93/'[21]2014'!O93-1</f>
        <v>-0.0815610686929367</v>
      </c>
      <c r="V93" s="85">
        <f>P93/'[21]2014'!P93-1</f>
        <v>0.00669621586144631</v>
      </c>
      <c r="W93" s="85">
        <f>Q93/'[21]2014'!Q93-1</f>
        <v>0.0732174847566238</v>
      </c>
      <c r="X93" s="85">
        <f>R93/'[21]2014'!R93-1</f>
        <v>0.022548969053179</v>
      </c>
      <c r="Y93" s="38"/>
      <c r="Z93" s="38"/>
      <c r="AA93" s="38"/>
      <c r="AB93" s="38"/>
    </row>
    <row r="94" ht="15" customHeight="1" spans="1:28">
      <c r="A94" s="21">
        <v>42093</v>
      </c>
      <c r="B94" s="21" t="s">
        <v>39</v>
      </c>
      <c r="C94" s="22">
        <v>55355</v>
      </c>
      <c r="D94" s="8">
        <v>25909</v>
      </c>
      <c r="E94" s="8">
        <v>85355</v>
      </c>
      <c r="F94" s="23">
        <v>4430</v>
      </c>
      <c r="G94" s="24">
        <v>2717</v>
      </c>
      <c r="H94" s="25">
        <v>1333</v>
      </c>
      <c r="I94" s="37">
        <v>861</v>
      </c>
      <c r="J94" s="9">
        <f t="shared" si="8"/>
        <v>59446</v>
      </c>
      <c r="K94" s="38">
        <f t="shared" si="9"/>
        <v>3298</v>
      </c>
      <c r="L94" s="38">
        <v>793</v>
      </c>
      <c r="M94" s="78">
        <f t="shared" si="10"/>
        <v>1601348</v>
      </c>
      <c r="N94" s="79">
        <f t="shared" si="11"/>
        <v>679107</v>
      </c>
      <c r="O94" s="79">
        <f t="shared" si="12"/>
        <v>2334037</v>
      </c>
      <c r="P94" s="80">
        <f t="shared" si="13"/>
        <v>4650739</v>
      </c>
      <c r="Q94" s="80">
        <f t="shared" si="13"/>
        <v>1844395</v>
      </c>
      <c r="R94" s="80">
        <f t="shared" si="13"/>
        <v>6609425</v>
      </c>
      <c r="S94" s="84">
        <f>M94/'[21]2014'!M94-1</f>
        <v>-0.119888935544363</v>
      </c>
      <c r="T94" s="84">
        <f>N94/'[21]2014'!N94-1</f>
        <v>0.0470561389605404</v>
      </c>
      <c r="U94" s="84">
        <f>O94/'[21]2014'!O94-1</f>
        <v>-0.0764065582800383</v>
      </c>
      <c r="V94" s="85">
        <f>P94/'[21]2014'!P94-1</f>
        <v>0.00761200319351407</v>
      </c>
      <c r="W94" s="85">
        <f>Q94/'[21]2014'!Q94-1</f>
        <v>0.0714956915520144</v>
      </c>
      <c r="X94" s="85">
        <f>R94/'[21]2014'!R94-1</f>
        <v>0.0232963381847373</v>
      </c>
      <c r="Y94" s="38"/>
      <c r="Z94" s="38"/>
      <c r="AA94" s="38"/>
      <c r="AB94" s="38"/>
    </row>
    <row r="95" s="1" customFormat="1" ht="15" customHeight="1" spans="1:29">
      <c r="A95" s="26">
        <v>42094</v>
      </c>
      <c r="B95" s="15" t="s">
        <v>34</v>
      </c>
      <c r="C95" s="16">
        <v>56292</v>
      </c>
      <c r="D95" s="17">
        <f>16432+10818</f>
        <v>27250</v>
      </c>
      <c r="E95" s="17">
        <v>85628</v>
      </c>
      <c r="F95" s="18">
        <v>4309</v>
      </c>
      <c r="G95" s="19">
        <v>2808</v>
      </c>
      <c r="H95" s="20"/>
      <c r="I95" s="20"/>
      <c r="J95" s="33">
        <f t="shared" si="8"/>
        <v>58378</v>
      </c>
      <c r="K95" s="34">
        <f t="shared" si="9"/>
        <v>1293</v>
      </c>
      <c r="L95" s="34">
        <v>793</v>
      </c>
      <c r="M95" s="81">
        <f t="shared" si="10"/>
        <v>1657640</v>
      </c>
      <c r="N95" s="82">
        <f t="shared" si="11"/>
        <v>706357</v>
      </c>
      <c r="O95" s="82">
        <f t="shared" si="12"/>
        <v>2419665</v>
      </c>
      <c r="P95" s="81">
        <f t="shared" si="13"/>
        <v>4707031</v>
      </c>
      <c r="Q95" s="81">
        <f t="shared" si="13"/>
        <v>1871645</v>
      </c>
      <c r="R95" s="81">
        <f t="shared" si="13"/>
        <v>6695053</v>
      </c>
      <c r="S95" s="86">
        <f>M95/'[21]2014'!M95-1</f>
        <v>-0.114712735300363</v>
      </c>
      <c r="T95" s="86">
        <f>N95/'[21]2014'!N95-1</f>
        <v>0.0447111532071065</v>
      </c>
      <c r="U95" s="86">
        <f>O95/'[21]2014'!O95-1</f>
        <v>-0.0725525885275676</v>
      </c>
      <c r="V95" s="86">
        <f>P95/'[21]2014'!P95-1</f>
        <v>0.00824200387050578</v>
      </c>
      <c r="W95" s="86">
        <f>Q95/'[21]2014'!Q95-1</f>
        <v>0.0702042482244647</v>
      </c>
      <c r="X95" s="86">
        <f>R95/'[21]2014'!R95-1</f>
        <v>0.0235863056433929</v>
      </c>
      <c r="Y95" s="34">
        <v>28.24</v>
      </c>
      <c r="Z95" s="34">
        <f>P95/10000-Y95</f>
        <v>442.4631</v>
      </c>
      <c r="AA95" s="34">
        <v>3890.092</v>
      </c>
      <c r="AB95" s="34">
        <f>Z95*10000/AA95</f>
        <v>1137.41037487031</v>
      </c>
      <c r="AC95" s="90"/>
    </row>
    <row r="96" ht="15" customHeight="1" spans="1:28">
      <c r="A96" s="21">
        <v>42095</v>
      </c>
      <c r="B96" s="21" t="s">
        <v>35</v>
      </c>
      <c r="C96" s="70">
        <v>56649</v>
      </c>
      <c r="D96" s="71">
        <f>16391+10793</f>
        <v>27184</v>
      </c>
      <c r="E96" s="71">
        <v>85659</v>
      </c>
      <c r="F96" s="72">
        <v>4289</v>
      </c>
      <c r="G96" s="73">
        <v>2856</v>
      </c>
      <c r="H96" s="25">
        <v>1364</v>
      </c>
      <c r="I96" s="25">
        <v>957</v>
      </c>
      <c r="J96" s="74">
        <f t="shared" si="8"/>
        <v>58475</v>
      </c>
      <c r="K96" s="75">
        <f t="shared" si="9"/>
        <v>1033</v>
      </c>
      <c r="L96" s="75">
        <v>793</v>
      </c>
      <c r="M96" s="76">
        <f>C96</f>
        <v>56649</v>
      </c>
      <c r="N96" s="77">
        <f>D96</f>
        <v>27184</v>
      </c>
      <c r="O96" s="77">
        <f>E96</f>
        <v>85659</v>
      </c>
      <c r="P96" s="76">
        <f>M96+P$95</f>
        <v>4763680</v>
      </c>
      <c r="Q96" s="76">
        <f>N96+Q$95</f>
        <v>1898829</v>
      </c>
      <c r="R96" s="76">
        <f>O96+R$95</f>
        <v>6780712</v>
      </c>
      <c r="S96" s="83">
        <f>M96/'[21]2014'!M96-1</f>
        <v>-0.00666327657858279</v>
      </c>
      <c r="T96" s="83">
        <f>N96/'[21]2014'!N96-1</f>
        <v>0.174863860316363</v>
      </c>
      <c r="U96" s="83">
        <f>O96/'[21]2014'!O96-1</f>
        <v>0.0489328092281693</v>
      </c>
      <c r="V96" s="83">
        <f>P96/'[21]2014'!P96-1</f>
        <v>0.00806212480373625</v>
      </c>
      <c r="W96" s="83">
        <f>Q96/'[21]2014'!Q96-1</f>
        <v>0.0715708436730798</v>
      </c>
      <c r="X96" s="83">
        <f>R96/'[21]2014'!R96-1</f>
        <v>0.0238988597072383</v>
      </c>
      <c r="Y96" s="75"/>
      <c r="Z96" s="75"/>
      <c r="AA96" s="89"/>
      <c r="AB96" s="75"/>
    </row>
    <row r="97" s="2" customFormat="1" ht="15" customHeight="1" spans="1:28">
      <c r="A97" s="21">
        <v>42096</v>
      </c>
      <c r="B97" s="21" t="s">
        <v>36</v>
      </c>
      <c r="C97" s="22">
        <v>60823</v>
      </c>
      <c r="D97" s="8">
        <f>14646+10599</f>
        <v>25245</v>
      </c>
      <c r="E97" s="8">
        <v>87589</v>
      </c>
      <c r="F97" s="23">
        <v>4427</v>
      </c>
      <c r="G97" s="24">
        <v>2866</v>
      </c>
      <c r="H97" s="25">
        <v>1238</v>
      </c>
      <c r="I97" s="37">
        <v>891</v>
      </c>
      <c r="J97" s="9">
        <f t="shared" si="8"/>
        <v>62344</v>
      </c>
      <c r="K97" s="38">
        <f t="shared" si="9"/>
        <v>728</v>
      </c>
      <c r="L97" s="38">
        <v>793</v>
      </c>
      <c r="M97" s="78">
        <f t="shared" ref="M97:O112" si="14">M96+C97</f>
        <v>117472</v>
      </c>
      <c r="N97" s="79">
        <f t="shared" si="14"/>
        <v>52429</v>
      </c>
      <c r="O97" s="79">
        <f t="shared" si="14"/>
        <v>173248</v>
      </c>
      <c r="P97" s="80">
        <f t="shared" ref="P97:R125" si="15">M97+P$95</f>
        <v>4824503</v>
      </c>
      <c r="Q97" s="80">
        <f t="shared" si="15"/>
        <v>1924074</v>
      </c>
      <c r="R97" s="80">
        <f t="shared" si="15"/>
        <v>6868301</v>
      </c>
      <c r="S97" s="84">
        <f>M97/'[21]2014'!M97-1</f>
        <v>0.00765139818150629</v>
      </c>
      <c r="T97" s="84">
        <f>N97/'[21]2014'!N97-1</f>
        <v>0.162892314517023</v>
      </c>
      <c r="U97" s="84">
        <f>O97/'[21]2014'!O97-1</f>
        <v>0.0514152546487352</v>
      </c>
      <c r="V97" s="85">
        <f>P97/'[21]2014'!P97-1</f>
        <v>0.00822761496751534</v>
      </c>
      <c r="W97" s="85">
        <f>Q97/'[21]2014'!Q97-1</f>
        <v>0.0725336534905252</v>
      </c>
      <c r="X97" s="85">
        <f>R97/'[21]2014'!R97-1</f>
        <v>0.0242701479365435</v>
      </c>
      <c r="Y97" s="38">
        <f>Y95+0.52*2</f>
        <v>29.28</v>
      </c>
      <c r="Z97" s="38">
        <f>P97/10000-Y97</f>
        <v>453.1703</v>
      </c>
      <c r="AA97" s="38">
        <v>3890.092</v>
      </c>
      <c r="AB97" s="38">
        <f>Z97*10000/AA97</f>
        <v>1164.93465964301</v>
      </c>
    </row>
    <row r="98" s="2" customFormat="1" ht="15" customHeight="1" spans="1:28">
      <c r="A98" s="21">
        <v>42097</v>
      </c>
      <c r="B98" s="21" t="s">
        <v>37</v>
      </c>
      <c r="C98" s="22">
        <v>59702</v>
      </c>
      <c r="D98" s="8">
        <f>14840+10888</f>
        <v>25728</v>
      </c>
      <c r="E98" s="8">
        <v>87144</v>
      </c>
      <c r="F98" s="23">
        <v>4444</v>
      </c>
      <c r="G98" s="24">
        <v>2903</v>
      </c>
      <c r="H98" s="25">
        <v>1233</v>
      </c>
      <c r="I98" s="37">
        <v>900</v>
      </c>
      <c r="J98" s="9">
        <f t="shared" si="8"/>
        <v>61416</v>
      </c>
      <c r="K98" s="38">
        <f t="shared" si="9"/>
        <v>921</v>
      </c>
      <c r="L98" s="38">
        <v>793</v>
      </c>
      <c r="M98" s="78">
        <f t="shared" si="14"/>
        <v>177174</v>
      </c>
      <c r="N98" s="79">
        <f t="shared" si="14"/>
        <v>78157</v>
      </c>
      <c r="O98" s="79">
        <f t="shared" si="14"/>
        <v>260392</v>
      </c>
      <c r="P98" s="80">
        <f t="shared" si="15"/>
        <v>4884205</v>
      </c>
      <c r="Q98" s="80">
        <f t="shared" si="15"/>
        <v>1949802</v>
      </c>
      <c r="R98" s="80">
        <f t="shared" si="15"/>
        <v>6955445</v>
      </c>
      <c r="S98" s="84">
        <f>M98/'[21]2014'!M98-1</f>
        <v>0.00504867146195909</v>
      </c>
      <c r="T98" s="84">
        <f>N98/'[21]2014'!N98-1</f>
        <v>0.181851174184573</v>
      </c>
      <c r="U98" s="84">
        <f>O98/'[21]2014'!O98-1</f>
        <v>0.0520251297901138</v>
      </c>
      <c r="V98" s="85">
        <f>P98/'[21]2014'!P98-1</f>
        <v>0.00812581142955637</v>
      </c>
      <c r="W98" s="85">
        <f>Q98/'[21]2014'!Q98-1</f>
        <v>0.0742721989626325</v>
      </c>
      <c r="X98" s="85">
        <f>R98/'[21]2014'!R98-1</f>
        <v>0.0246232428113806</v>
      </c>
      <c r="Y98" s="38"/>
      <c r="Z98" s="38"/>
      <c r="AA98" s="38"/>
      <c r="AB98" s="38"/>
    </row>
    <row r="99" s="2" customFormat="1" ht="15" customHeight="1" spans="1:28">
      <c r="A99" s="21">
        <v>42098</v>
      </c>
      <c r="B99" s="21" t="s">
        <v>38</v>
      </c>
      <c r="C99" s="22">
        <v>56079</v>
      </c>
      <c r="D99" s="8">
        <f>12782+10931</f>
        <v>23713</v>
      </c>
      <c r="E99" s="8">
        <v>80973</v>
      </c>
      <c r="F99" s="23">
        <v>4042</v>
      </c>
      <c r="G99" s="24">
        <v>2828</v>
      </c>
      <c r="H99" s="25">
        <v>1130</v>
      </c>
      <c r="I99" s="37">
        <v>855</v>
      </c>
      <c r="J99" s="9">
        <f t="shared" si="8"/>
        <v>57260</v>
      </c>
      <c r="K99" s="38">
        <f t="shared" si="9"/>
        <v>388</v>
      </c>
      <c r="L99" s="38">
        <v>793</v>
      </c>
      <c r="M99" s="78">
        <f t="shared" si="14"/>
        <v>233253</v>
      </c>
      <c r="N99" s="79">
        <f t="shared" si="14"/>
        <v>101870</v>
      </c>
      <c r="O99" s="79">
        <f t="shared" si="14"/>
        <v>341365</v>
      </c>
      <c r="P99" s="80">
        <f t="shared" si="15"/>
        <v>4940284</v>
      </c>
      <c r="Q99" s="80">
        <f t="shared" si="15"/>
        <v>1973515</v>
      </c>
      <c r="R99" s="80">
        <f t="shared" si="15"/>
        <v>7036418</v>
      </c>
      <c r="S99" s="84">
        <f>M99/'[21]2014'!M99-1</f>
        <v>-0.00243774136847097</v>
      </c>
      <c r="T99" s="84">
        <f>N99/'[21]2014'!N99-1</f>
        <v>0.142937282620891</v>
      </c>
      <c r="U99" s="84">
        <f>O99/'[21]2014'!O99-1</f>
        <v>0.0355565397823105</v>
      </c>
      <c r="V99" s="85">
        <f>P99/'[21]2014'!P99-1</f>
        <v>0.00773262429860622</v>
      </c>
      <c r="W99" s="85">
        <f>Q99/'[21]2014'!Q99-1</f>
        <v>0.0737312915238004</v>
      </c>
      <c r="X99" s="85">
        <f>R99/'[21]2014'!R99-1</f>
        <v>0.0241606393046918</v>
      </c>
      <c r="Y99" s="38"/>
      <c r="Z99" s="38"/>
      <c r="AA99" s="38"/>
      <c r="AB99" s="38"/>
    </row>
    <row r="100" s="2" customFormat="1" ht="15" customHeight="1" spans="1:28">
      <c r="A100" s="21">
        <v>42099</v>
      </c>
      <c r="B100" s="21" t="s">
        <v>1</v>
      </c>
      <c r="C100" s="22">
        <v>42991</v>
      </c>
      <c r="D100" s="8">
        <v>22531</v>
      </c>
      <c r="E100" s="8">
        <v>67014</v>
      </c>
      <c r="F100" s="23">
        <v>2999</v>
      </c>
      <c r="G100" s="24">
        <v>2585</v>
      </c>
      <c r="H100" s="25">
        <v>1105</v>
      </c>
      <c r="I100" s="37">
        <v>810</v>
      </c>
      <c r="J100" s="9">
        <f t="shared" si="8"/>
        <v>44483</v>
      </c>
      <c r="K100" s="38">
        <f t="shared" si="9"/>
        <v>699</v>
      </c>
      <c r="L100" s="38">
        <v>793</v>
      </c>
      <c r="M100" s="78">
        <f t="shared" si="14"/>
        <v>276244</v>
      </c>
      <c r="N100" s="79">
        <f t="shared" si="14"/>
        <v>124401</v>
      </c>
      <c r="O100" s="79">
        <f t="shared" si="14"/>
        <v>408379</v>
      </c>
      <c r="P100" s="80">
        <f t="shared" si="15"/>
        <v>4983275</v>
      </c>
      <c r="Q100" s="80">
        <f t="shared" si="15"/>
        <v>1996046</v>
      </c>
      <c r="R100" s="80">
        <f t="shared" si="15"/>
        <v>7103432</v>
      </c>
      <c r="S100" s="84">
        <f>M100/'[21]2014'!M100-1</f>
        <v>-0.0180819035228965</v>
      </c>
      <c r="T100" s="84">
        <f>N100/'[21]2014'!N100-1</f>
        <v>0.174891153442951</v>
      </c>
      <c r="U100" s="84">
        <f>O100/'[21]2014'!O100-1</f>
        <v>0.0331019443755787</v>
      </c>
      <c r="V100" s="85">
        <f>P100/'[21]2014'!P100-1</f>
        <v>0.00674586142858069</v>
      </c>
      <c r="W100" s="85">
        <f>Q100/'[21]2014'!Q100-1</f>
        <v>0.0761805593109282</v>
      </c>
      <c r="X100" s="85">
        <f>R100/'[21]2014'!R100-1</f>
        <v>0.0241286116813952</v>
      </c>
      <c r="Y100" s="38"/>
      <c r="Z100" s="38"/>
      <c r="AA100" s="38"/>
      <c r="AB100" s="38"/>
    </row>
    <row r="101" s="2" customFormat="1" ht="15" customHeight="1" spans="1:28">
      <c r="A101" s="21">
        <v>42100</v>
      </c>
      <c r="B101" s="21" t="s">
        <v>39</v>
      </c>
      <c r="C101" s="22">
        <v>53829</v>
      </c>
      <c r="D101" s="8">
        <f>12371+10503</f>
        <v>22874</v>
      </c>
      <c r="E101" s="8">
        <v>78637</v>
      </c>
      <c r="F101" s="23">
        <v>4143</v>
      </c>
      <c r="G101" s="24">
        <v>2327</v>
      </c>
      <c r="H101" s="25">
        <v>1144</v>
      </c>
      <c r="I101" s="37">
        <v>808</v>
      </c>
      <c r="J101" s="9">
        <f t="shared" si="8"/>
        <v>55763</v>
      </c>
      <c r="K101" s="38">
        <f t="shared" si="9"/>
        <v>1141</v>
      </c>
      <c r="L101" s="38">
        <v>793</v>
      </c>
      <c r="M101" s="78">
        <f t="shared" si="14"/>
        <v>330073</v>
      </c>
      <c r="N101" s="79">
        <f t="shared" si="14"/>
        <v>147275</v>
      </c>
      <c r="O101" s="79">
        <f t="shared" si="14"/>
        <v>487016</v>
      </c>
      <c r="P101" s="80">
        <f t="shared" si="15"/>
        <v>5037104</v>
      </c>
      <c r="Q101" s="80">
        <f t="shared" si="15"/>
        <v>2018920</v>
      </c>
      <c r="R101" s="80">
        <f t="shared" si="15"/>
        <v>7182069</v>
      </c>
      <c r="S101" s="84">
        <f>M101/'[21]2014'!M101-1</f>
        <v>-0.014783927217589</v>
      </c>
      <c r="T101" s="84">
        <f>N101/'[21]2014'!N101-1</f>
        <v>0.180939780290273</v>
      </c>
      <c r="U101" s="84">
        <f>O101/'[21]2014'!O101-1</f>
        <v>0.037519918875851</v>
      </c>
      <c r="V101" s="85">
        <f>P101/'[21]2014'!P101-1</f>
        <v>0.00670025026906895</v>
      </c>
      <c r="W101" s="85">
        <f>Q101/'[21]2014'!Q101-1</f>
        <v>0.0775750835127094</v>
      </c>
      <c r="X101" s="85">
        <f>R101/'[21]2014'!R101-1</f>
        <v>0.0245193044971304</v>
      </c>
      <c r="Y101" s="38"/>
      <c r="Z101" s="38"/>
      <c r="AA101" s="38"/>
      <c r="AB101" s="38"/>
    </row>
    <row r="102" s="2" customFormat="1" ht="15" customHeight="1" spans="1:28">
      <c r="A102" s="21">
        <v>42101</v>
      </c>
      <c r="B102" s="15" t="s">
        <v>34</v>
      </c>
      <c r="C102" s="16">
        <v>60074</v>
      </c>
      <c r="D102" s="17">
        <f>14148+11007</f>
        <v>25155</v>
      </c>
      <c r="E102" s="17">
        <v>87185</v>
      </c>
      <c r="F102" s="18">
        <v>4514</v>
      </c>
      <c r="G102" s="19">
        <v>2747</v>
      </c>
      <c r="H102" s="20">
        <v>1138</v>
      </c>
      <c r="I102" s="20">
        <v>808</v>
      </c>
      <c r="J102" s="33">
        <f t="shared" si="8"/>
        <v>62030</v>
      </c>
      <c r="K102" s="34">
        <f t="shared" si="9"/>
        <v>1163</v>
      </c>
      <c r="L102" s="34">
        <v>793</v>
      </c>
      <c r="M102" s="81">
        <f t="shared" si="14"/>
        <v>390147</v>
      </c>
      <c r="N102" s="82">
        <f t="shared" si="14"/>
        <v>172430</v>
      </c>
      <c r="O102" s="82">
        <f t="shared" si="14"/>
        <v>574201</v>
      </c>
      <c r="P102" s="81">
        <f t="shared" si="15"/>
        <v>5097178</v>
      </c>
      <c r="Q102" s="81">
        <f t="shared" si="15"/>
        <v>2044075</v>
      </c>
      <c r="R102" s="81">
        <f t="shared" si="15"/>
        <v>7269254</v>
      </c>
      <c r="S102" s="86">
        <f>M102/'[21]2014'!M102-1</f>
        <v>-0.00429014771787617</v>
      </c>
      <c r="T102" s="86">
        <f>N102/'[21]2014'!N102-1</f>
        <v>0.16212299915754</v>
      </c>
      <c r="U102" s="86">
        <f>O102/'[21]2014'!O102-1</f>
        <v>0.0411981555121572</v>
      </c>
      <c r="V102" s="86">
        <f>P102/'[21]2014'!P102-1</f>
        <v>0.00727163264435537</v>
      </c>
      <c r="W102" s="86">
        <f>Q102/'[21]2014'!Q102-1</f>
        <v>0.0773928113865909</v>
      </c>
      <c r="X102" s="86">
        <f>R102/'[21]2014'!R102-1</f>
        <v>0.0249557702412639</v>
      </c>
      <c r="Y102" s="34"/>
      <c r="Z102" s="34"/>
      <c r="AA102" s="34"/>
      <c r="AB102" s="34"/>
    </row>
    <row r="103" s="2" customFormat="1" ht="15" customHeight="1" spans="1:28">
      <c r="A103" s="21">
        <v>42102</v>
      </c>
      <c r="B103" s="21" t="s">
        <v>35</v>
      </c>
      <c r="C103" s="70">
        <v>61079</v>
      </c>
      <c r="D103" s="71">
        <f>14942+10495</f>
        <v>25437</v>
      </c>
      <c r="E103" s="71">
        <v>88087</v>
      </c>
      <c r="F103" s="72">
        <v>4496</v>
      </c>
      <c r="G103" s="73">
        <v>2861</v>
      </c>
      <c r="H103" s="25">
        <v>1217</v>
      </c>
      <c r="I103" s="25">
        <v>874</v>
      </c>
      <c r="J103" s="74">
        <f t="shared" si="8"/>
        <v>62650</v>
      </c>
      <c r="K103" s="75">
        <f t="shared" si="9"/>
        <v>778</v>
      </c>
      <c r="L103" s="75">
        <v>793</v>
      </c>
      <c r="M103" s="76">
        <f t="shared" si="14"/>
        <v>451226</v>
      </c>
      <c r="N103" s="77">
        <f t="shared" si="14"/>
        <v>197867</v>
      </c>
      <c r="O103" s="77">
        <f t="shared" si="14"/>
        <v>662288</v>
      </c>
      <c r="P103" s="76">
        <f t="shared" si="15"/>
        <v>5158257</v>
      </c>
      <c r="Q103" s="76">
        <f t="shared" si="15"/>
        <v>2069512</v>
      </c>
      <c r="R103" s="76">
        <f t="shared" si="15"/>
        <v>7357341</v>
      </c>
      <c r="S103" s="83">
        <f>M103/'[21]2014'!M103-1</f>
        <v>-0.00180514200007964</v>
      </c>
      <c r="T103" s="83">
        <f>N103/'[21]2014'!N103-1</f>
        <v>0.157455396314712</v>
      </c>
      <c r="U103" s="83">
        <f>O103/'[21]2014'!O103-1</f>
        <v>0.0406215874362661</v>
      </c>
      <c r="V103" s="83">
        <f>P103/'[21]2014'!P103-1</f>
        <v>0.00735504989003455</v>
      </c>
      <c r="W103" s="83">
        <f>Q103/'[21]2014'!Q103-1</f>
        <v>0.0779735215401509</v>
      </c>
      <c r="X103" s="83">
        <f>R103/'[21]2014'!R103-1</f>
        <v>0.0250968984466113</v>
      </c>
      <c r="Y103" s="75"/>
      <c r="Z103" s="75"/>
      <c r="AA103" s="89"/>
      <c r="AB103" s="75"/>
    </row>
    <row r="104" s="2" customFormat="1" ht="15" customHeight="1" spans="1:28">
      <c r="A104" s="21">
        <v>42103</v>
      </c>
      <c r="B104" s="21" t="s">
        <v>36</v>
      </c>
      <c r="C104" s="22">
        <v>61879</v>
      </c>
      <c r="D104" s="8">
        <v>26429</v>
      </c>
      <c r="E104" s="8">
        <v>89673</v>
      </c>
      <c r="F104" s="23">
        <v>4511</v>
      </c>
      <c r="G104" s="24">
        <v>2931</v>
      </c>
      <c r="H104" s="25">
        <v>1240</v>
      </c>
      <c r="I104" s="37">
        <v>916</v>
      </c>
      <c r="J104" s="9">
        <f t="shared" si="8"/>
        <v>63244</v>
      </c>
      <c r="K104" s="38">
        <f t="shared" si="9"/>
        <v>572</v>
      </c>
      <c r="L104" s="38">
        <v>793</v>
      </c>
      <c r="M104" s="78">
        <f t="shared" si="14"/>
        <v>513105</v>
      </c>
      <c r="N104" s="79">
        <f t="shared" si="14"/>
        <v>224296</v>
      </c>
      <c r="O104" s="79">
        <f t="shared" si="14"/>
        <v>751961</v>
      </c>
      <c r="P104" s="80">
        <f t="shared" si="15"/>
        <v>5220136</v>
      </c>
      <c r="Q104" s="80">
        <f t="shared" si="15"/>
        <v>2095941</v>
      </c>
      <c r="R104" s="80">
        <f t="shared" si="15"/>
        <v>7447014</v>
      </c>
      <c r="S104" s="84">
        <f>M104/'[21]2014'!M104-1</f>
        <v>0.000842642386082337</v>
      </c>
      <c r="T104" s="84">
        <f>N104/'[21]2014'!N104-1</f>
        <v>0.15190172454524</v>
      </c>
      <c r="U104" s="84">
        <f>O104/'[21]2014'!O104-1</f>
        <v>0.0411208690487235</v>
      </c>
      <c r="V104" s="85">
        <f>P104/'[21]2014'!P104-1</f>
        <v>0.00750985031868256</v>
      </c>
      <c r="W104" s="85">
        <f>Q104/'[21]2014'!Q104-1</f>
        <v>0.0783891068109135</v>
      </c>
      <c r="X104" s="85">
        <f>R104/'[21]2014'!R104-1</f>
        <v>0.0253300010212252</v>
      </c>
      <c r="Y104" s="38">
        <f>Y97+0.53*7</f>
        <v>32.99</v>
      </c>
      <c r="Z104" s="38">
        <f>P104/10000-Y104</f>
        <v>489.0236</v>
      </c>
      <c r="AA104" s="38">
        <v>3890.092</v>
      </c>
      <c r="AB104" s="38">
        <f>Z104*10000/AA104</f>
        <v>1257.10034621289</v>
      </c>
    </row>
    <row r="105" s="2" customFormat="1" ht="15" customHeight="1" spans="1:28">
      <c r="A105" s="21">
        <v>42104</v>
      </c>
      <c r="B105" s="21" t="s">
        <v>37</v>
      </c>
      <c r="C105" s="22">
        <v>61874</v>
      </c>
      <c r="D105" s="8">
        <f>15227+10788</f>
        <v>26015</v>
      </c>
      <c r="E105" s="8">
        <v>89546</v>
      </c>
      <c r="F105" s="23">
        <v>4519</v>
      </c>
      <c r="G105" s="24">
        <v>2980</v>
      </c>
      <c r="H105" s="25"/>
      <c r="I105" s="37"/>
      <c r="J105" s="9">
        <f t="shared" si="8"/>
        <v>63531</v>
      </c>
      <c r="K105" s="38">
        <f t="shared" si="9"/>
        <v>864</v>
      </c>
      <c r="L105" s="38">
        <v>793</v>
      </c>
      <c r="M105" s="78">
        <f t="shared" si="14"/>
        <v>574979</v>
      </c>
      <c r="N105" s="79">
        <f t="shared" si="14"/>
        <v>250311</v>
      </c>
      <c r="O105" s="79">
        <f t="shared" si="14"/>
        <v>841507</v>
      </c>
      <c r="P105" s="80">
        <f t="shared" si="15"/>
        <v>5282010</v>
      </c>
      <c r="Q105" s="80">
        <f t="shared" si="15"/>
        <v>2121956</v>
      </c>
      <c r="R105" s="80">
        <f t="shared" si="15"/>
        <v>7536560</v>
      </c>
      <c r="S105" s="84">
        <f>M105/'[21]2014'!M105-1</f>
        <v>0.00267855741547107</v>
      </c>
      <c r="T105" s="84">
        <f>N105/'[21]2014'!N105-1</f>
        <v>0.148937635119318</v>
      </c>
      <c r="U105" s="84">
        <f>O105/'[21]2014'!O105-1</f>
        <v>0.041256426596054</v>
      </c>
      <c r="V105" s="85">
        <f>P105/'[21]2014'!P105-1</f>
        <v>0.00763339608723124</v>
      </c>
      <c r="W105" s="85">
        <f>Q105/'[21]2014'!Q105-1</f>
        <v>0.0789258780348152</v>
      </c>
      <c r="X105" s="85">
        <f>R105/'[21]2014'!R105-1</f>
        <v>0.0255294924530367</v>
      </c>
      <c r="Y105" s="38">
        <v>31.602</v>
      </c>
      <c r="Z105" s="38">
        <f>P105/10000-Y105</f>
        <v>496.599</v>
      </c>
      <c r="AA105" s="38">
        <v>3890.092</v>
      </c>
      <c r="AB105" s="38">
        <f>Z105*10000/AA105</f>
        <v>1276.57392164504</v>
      </c>
    </row>
    <row r="106" s="2" customFormat="1" ht="15" customHeight="1" spans="1:28">
      <c r="A106" s="21">
        <v>42105</v>
      </c>
      <c r="B106" s="21" t="s">
        <v>38</v>
      </c>
      <c r="C106" s="22">
        <v>60262</v>
      </c>
      <c r="D106" s="8">
        <v>25955</v>
      </c>
      <c r="E106" s="8">
        <v>88081</v>
      </c>
      <c r="F106" s="23">
        <v>4449</v>
      </c>
      <c r="G106" s="24">
        <v>2965</v>
      </c>
      <c r="H106" s="25">
        <v>1304</v>
      </c>
      <c r="I106" s="37">
        <v>899</v>
      </c>
      <c r="J106" s="9">
        <f t="shared" si="8"/>
        <v>62126</v>
      </c>
      <c r="K106" s="38">
        <f t="shared" si="9"/>
        <v>1071</v>
      </c>
      <c r="L106" s="38">
        <v>793</v>
      </c>
      <c r="M106" s="78">
        <f t="shared" si="14"/>
        <v>635241</v>
      </c>
      <c r="N106" s="79">
        <f t="shared" si="14"/>
        <v>276266</v>
      </c>
      <c r="O106" s="79">
        <f t="shared" si="14"/>
        <v>929588</v>
      </c>
      <c r="P106" s="80">
        <f t="shared" si="15"/>
        <v>5342272</v>
      </c>
      <c r="Q106" s="80">
        <f t="shared" si="15"/>
        <v>2147911</v>
      </c>
      <c r="R106" s="80">
        <f t="shared" si="15"/>
        <v>7624641</v>
      </c>
      <c r="S106" s="84">
        <f>M106/'[21]2014'!M106-1</f>
        <v>0.00346260715995128</v>
      </c>
      <c r="T106" s="84">
        <f>N106/'[21]2014'!N106-1</f>
        <v>0.139447982314317</v>
      </c>
      <c r="U106" s="84">
        <f>O106/'[21]2014'!O106-1</f>
        <v>0.0399599941378435</v>
      </c>
      <c r="V106" s="85">
        <f>P106/'[21]2014'!P106-1</f>
        <v>0.00767130987282738</v>
      </c>
      <c r="W106" s="85">
        <f>Q106/'[21]2014'!Q106-1</f>
        <v>0.0786351044689835</v>
      </c>
      <c r="X106" s="85">
        <f>R106/'[21]2014'!R106-1</f>
        <v>0.0255549167030229</v>
      </c>
      <c r="Y106" s="38"/>
      <c r="Z106" s="38"/>
      <c r="AA106" s="38"/>
      <c r="AB106" s="38"/>
    </row>
    <row r="107" s="2" customFormat="1" ht="15" customHeight="1" spans="1:28">
      <c r="A107" s="21">
        <v>42106</v>
      </c>
      <c r="B107" s="21" t="s">
        <v>1</v>
      </c>
      <c r="C107" s="22">
        <v>56280</v>
      </c>
      <c r="D107" s="8">
        <f>15818+10862</f>
        <v>26680</v>
      </c>
      <c r="E107" s="8">
        <v>83915</v>
      </c>
      <c r="F107" s="23">
        <v>4167</v>
      </c>
      <c r="G107" s="24">
        <v>2926</v>
      </c>
      <c r="H107" s="25">
        <v>1296</v>
      </c>
      <c r="I107" s="37">
        <v>901</v>
      </c>
      <c r="J107" s="9">
        <f t="shared" si="8"/>
        <v>57235</v>
      </c>
      <c r="K107" s="38">
        <f t="shared" si="9"/>
        <v>162</v>
      </c>
      <c r="L107" s="38">
        <v>793</v>
      </c>
      <c r="M107" s="78">
        <f t="shared" si="14"/>
        <v>691521</v>
      </c>
      <c r="N107" s="79">
        <f t="shared" si="14"/>
        <v>302946</v>
      </c>
      <c r="O107" s="79">
        <f t="shared" si="14"/>
        <v>1013503</v>
      </c>
      <c r="P107" s="80">
        <f t="shared" si="15"/>
        <v>5398552</v>
      </c>
      <c r="Q107" s="80">
        <f t="shared" si="15"/>
        <v>2174591</v>
      </c>
      <c r="R107" s="80">
        <f t="shared" si="15"/>
        <v>7708556</v>
      </c>
      <c r="S107" s="84">
        <f>M107/'[21]2014'!M107-1</f>
        <v>-0.00227385200051367</v>
      </c>
      <c r="T107" s="84">
        <f>N107/'[21]2014'!N107-1</f>
        <v>0.137252988167458</v>
      </c>
      <c r="U107" s="84">
        <f>O107/'[21]2014'!O107-1</f>
        <v>0.0349492176889505</v>
      </c>
      <c r="V107" s="85">
        <f>P107/'[21]2014'!P107-1</f>
        <v>0.0068826259795034</v>
      </c>
      <c r="W107" s="85">
        <f>Q107/'[21]2014'!Q107-1</f>
        <v>0.0790670204819637</v>
      </c>
      <c r="X107" s="85">
        <f>R107/'[21]2014'!R107-1</f>
        <v>0.025066008266085</v>
      </c>
      <c r="Y107" s="38"/>
      <c r="Z107" s="38"/>
      <c r="AA107" s="38"/>
      <c r="AB107" s="38"/>
    </row>
    <row r="108" s="2" customFormat="1" ht="15" customHeight="1" spans="1:28">
      <c r="A108" s="21">
        <v>42107</v>
      </c>
      <c r="B108" s="21" t="s">
        <v>39</v>
      </c>
      <c r="C108" s="22">
        <v>59834</v>
      </c>
      <c r="D108" s="8">
        <f>15650+10703</f>
        <v>26353</v>
      </c>
      <c r="E108" s="8">
        <v>87218</v>
      </c>
      <c r="F108" s="23">
        <v>4439</v>
      </c>
      <c r="G108" s="24">
        <v>2800</v>
      </c>
      <c r="H108" s="25">
        <v>1305</v>
      </c>
      <c r="I108" s="37">
        <v>858</v>
      </c>
      <c r="J108" s="9">
        <f t="shared" si="8"/>
        <v>60865</v>
      </c>
      <c r="K108" s="38">
        <f t="shared" si="9"/>
        <v>238</v>
      </c>
      <c r="L108" s="38">
        <v>793</v>
      </c>
      <c r="M108" s="78">
        <f t="shared" si="14"/>
        <v>751355</v>
      </c>
      <c r="N108" s="79">
        <f t="shared" si="14"/>
        <v>329299</v>
      </c>
      <c r="O108" s="79">
        <f t="shared" si="14"/>
        <v>1100721</v>
      </c>
      <c r="P108" s="80">
        <f t="shared" si="15"/>
        <v>5458386</v>
      </c>
      <c r="Q108" s="80">
        <f t="shared" si="15"/>
        <v>2200944</v>
      </c>
      <c r="R108" s="80">
        <f t="shared" si="15"/>
        <v>7795774</v>
      </c>
      <c r="S108" s="84">
        <f>M108/'[21]2014'!M108-1</f>
        <v>-0.000222215716905172</v>
      </c>
      <c r="T108" s="84">
        <f>N108/'[21]2014'!N108-1</f>
        <v>0.139955689410461</v>
      </c>
      <c r="U108" s="84">
        <f>O108/'[21]2014'!O108-1</f>
        <v>0.0371255013808289</v>
      </c>
      <c r="V108" s="85">
        <f>P108/'[21]2014'!P108-1</f>
        <v>0.00706839510998125</v>
      </c>
      <c r="W108" s="85">
        <f>Q108/'[21]2014'!Q108-1</f>
        <v>0.0800922258322725</v>
      </c>
      <c r="X108" s="85">
        <f>R108/'[21]2014'!R108-1</f>
        <v>0.0254764948369866</v>
      </c>
      <c r="Y108" s="38"/>
      <c r="Z108" s="38"/>
      <c r="AA108" s="38"/>
      <c r="AB108" s="38"/>
    </row>
    <row r="109" s="2" customFormat="1" ht="15" customHeight="1" spans="1:28">
      <c r="A109" s="21">
        <v>42108</v>
      </c>
      <c r="B109" s="15" t="s">
        <v>34</v>
      </c>
      <c r="C109" s="16">
        <v>60489</v>
      </c>
      <c r="D109" s="17">
        <f>16136+10866</f>
        <v>27002</v>
      </c>
      <c r="E109" s="17">
        <v>88872</v>
      </c>
      <c r="F109" s="18">
        <v>4532</v>
      </c>
      <c r="G109" s="19">
        <v>2958</v>
      </c>
      <c r="H109" s="20">
        <v>1320</v>
      </c>
      <c r="I109" s="20">
        <v>886</v>
      </c>
      <c r="J109" s="33">
        <f t="shared" si="8"/>
        <v>61870</v>
      </c>
      <c r="K109" s="34">
        <f t="shared" si="9"/>
        <v>588</v>
      </c>
      <c r="L109" s="34">
        <v>793</v>
      </c>
      <c r="M109" s="81">
        <f t="shared" si="14"/>
        <v>811844</v>
      </c>
      <c r="N109" s="82">
        <f t="shared" si="14"/>
        <v>356301</v>
      </c>
      <c r="O109" s="82">
        <f t="shared" si="14"/>
        <v>1189593</v>
      </c>
      <c r="P109" s="81">
        <f t="shared" si="15"/>
        <v>5518875</v>
      </c>
      <c r="Q109" s="81">
        <f t="shared" si="15"/>
        <v>2227946</v>
      </c>
      <c r="R109" s="81">
        <f t="shared" si="15"/>
        <v>7884646</v>
      </c>
      <c r="S109" s="86">
        <f>M109/'[21]2014'!M109-1</f>
        <v>0.00122834365997071</v>
      </c>
      <c r="T109" s="86">
        <f>N109/'[21]2014'!N109-1</f>
        <v>0.140199686389964</v>
      </c>
      <c r="U109" s="86">
        <f>O109/'[21]2014'!O109-1</f>
        <v>0.0378345980635582</v>
      </c>
      <c r="V109" s="86">
        <f>P109/'[21]2014'!P109-1</f>
        <v>0.00720411440172875</v>
      </c>
      <c r="W109" s="86">
        <f>Q109/'[21]2014'!Q109-1</f>
        <v>0.0808151581305345</v>
      </c>
      <c r="X109" s="86">
        <f>R109/'[21]2014'!R109-1</f>
        <v>0.0257108991311124</v>
      </c>
      <c r="Y109" s="34"/>
      <c r="Z109" s="34"/>
      <c r="AA109" s="34"/>
      <c r="AB109" s="34"/>
    </row>
    <row r="110" s="2" customFormat="1" ht="15" customHeight="1" spans="1:28">
      <c r="A110" s="21">
        <v>42109</v>
      </c>
      <c r="B110" s="21" t="s">
        <v>35</v>
      </c>
      <c r="C110" s="70">
        <v>60576</v>
      </c>
      <c r="D110" s="71">
        <v>26715</v>
      </c>
      <c r="E110" s="71">
        <v>88355</v>
      </c>
      <c r="F110" s="72">
        <v>4460</v>
      </c>
      <c r="G110" s="73">
        <v>2969</v>
      </c>
      <c r="H110" s="25">
        <v>1299</v>
      </c>
      <c r="I110" s="25">
        <v>828</v>
      </c>
      <c r="J110" s="74">
        <f t="shared" si="8"/>
        <v>61640</v>
      </c>
      <c r="K110" s="75">
        <f t="shared" si="9"/>
        <v>271</v>
      </c>
      <c r="L110" s="75">
        <v>793</v>
      </c>
      <c r="M110" s="76">
        <f t="shared" si="14"/>
        <v>872420</v>
      </c>
      <c r="N110" s="77">
        <f t="shared" si="14"/>
        <v>383016</v>
      </c>
      <c r="O110" s="77">
        <f t="shared" si="14"/>
        <v>1277948</v>
      </c>
      <c r="P110" s="76">
        <f t="shared" si="15"/>
        <v>5579451</v>
      </c>
      <c r="Q110" s="76">
        <f t="shared" si="15"/>
        <v>2254661</v>
      </c>
      <c r="R110" s="76">
        <f t="shared" si="15"/>
        <v>7973001</v>
      </c>
      <c r="S110" s="83">
        <f>M110/'[21]2014'!M110-1</f>
        <v>-0.000233777663690149</v>
      </c>
      <c r="T110" s="83">
        <f>N110/'[21]2014'!N110-1</f>
        <v>0.142867373245488</v>
      </c>
      <c r="U110" s="83">
        <f>O110/'[21]2014'!O110-1</f>
        <v>0.0372971384693805</v>
      </c>
      <c r="V110" s="83">
        <f>P110/'[21]2014'!P110-1</f>
        <v>0.00690723858643483</v>
      </c>
      <c r="W110" s="83">
        <f>Q110/'[21]2014'!Q110-1</f>
        <v>0.081889465519509</v>
      </c>
      <c r="X110" s="83">
        <f>R110/'[21]2014'!R110-1</f>
        <v>0.0257594949808782</v>
      </c>
      <c r="Y110" s="75"/>
      <c r="Z110" s="75"/>
      <c r="AA110" s="89"/>
      <c r="AB110" s="75"/>
    </row>
    <row r="111" s="2" customFormat="1" ht="15" customHeight="1" spans="1:28">
      <c r="A111" s="21">
        <v>42110</v>
      </c>
      <c r="B111" s="21" t="s">
        <v>36</v>
      </c>
      <c r="C111" s="22">
        <v>60430</v>
      </c>
      <c r="D111" s="8">
        <v>26025</v>
      </c>
      <c r="E111" s="8">
        <v>87319</v>
      </c>
      <c r="F111" s="23">
        <v>4453</v>
      </c>
      <c r="G111" s="24">
        <v>2929</v>
      </c>
      <c r="H111" s="25">
        <v>1287</v>
      </c>
      <c r="I111" s="37">
        <v>859</v>
      </c>
      <c r="J111" s="9">
        <f t="shared" si="8"/>
        <v>61294</v>
      </c>
      <c r="K111" s="38">
        <f t="shared" si="9"/>
        <v>71</v>
      </c>
      <c r="L111" s="38">
        <v>793</v>
      </c>
      <c r="M111" s="78">
        <f t="shared" si="14"/>
        <v>932850</v>
      </c>
      <c r="N111" s="79">
        <f t="shared" si="14"/>
        <v>409041</v>
      </c>
      <c r="O111" s="79">
        <f t="shared" si="14"/>
        <v>1365267</v>
      </c>
      <c r="P111" s="80">
        <f t="shared" si="15"/>
        <v>5639881</v>
      </c>
      <c r="Q111" s="80">
        <f t="shared" si="15"/>
        <v>2280686</v>
      </c>
      <c r="R111" s="80">
        <f t="shared" si="15"/>
        <v>8060320</v>
      </c>
      <c r="S111" s="84">
        <f>M111/'[21]2014'!M111-1</f>
        <v>-0.000928546872339231</v>
      </c>
      <c r="T111" s="84">
        <f>N111/'[21]2014'!N111-1</f>
        <v>0.143754718563879</v>
      </c>
      <c r="U111" s="84">
        <f>O111/'[21]2014'!O111-1</f>
        <v>0.0362314055608559</v>
      </c>
      <c r="V111" s="85">
        <f>P111/'[21]2014'!P111-1</f>
        <v>0.00671356995362982</v>
      </c>
      <c r="W111" s="85">
        <f>Q111/'[21]2014'!Q111-1</f>
        <v>0.0826912602917895</v>
      </c>
      <c r="X111" s="85">
        <f>R111/'[21]2014'!R111-1</f>
        <v>0.025706393636874</v>
      </c>
      <c r="Y111" s="38">
        <f>Y105+0.4*6</f>
        <v>34.002</v>
      </c>
      <c r="Z111" s="38">
        <f>P111/10000-Y111</f>
        <v>529.9861</v>
      </c>
      <c r="AA111" s="38">
        <v>3890.092</v>
      </c>
      <c r="AB111" s="38">
        <f>Z111*10000/AA111</f>
        <v>1362.39991239282</v>
      </c>
    </row>
    <row r="112" s="2" customFormat="1" ht="15" customHeight="1" spans="1:28">
      <c r="A112" s="21">
        <v>42111</v>
      </c>
      <c r="B112" s="21" t="s">
        <v>37</v>
      </c>
      <c r="C112" s="22">
        <v>60453</v>
      </c>
      <c r="D112" s="8">
        <f>15865+10694</f>
        <v>26559</v>
      </c>
      <c r="E112" s="8">
        <v>88015</v>
      </c>
      <c r="F112" s="23">
        <v>4423</v>
      </c>
      <c r="G112" s="24">
        <v>2958</v>
      </c>
      <c r="H112" s="25">
        <v>1316</v>
      </c>
      <c r="I112" s="37">
        <v>861</v>
      </c>
      <c r="J112" s="9">
        <f t="shared" si="8"/>
        <v>61456</v>
      </c>
      <c r="K112" s="38">
        <f t="shared" si="9"/>
        <v>210</v>
      </c>
      <c r="L112" s="38">
        <v>793</v>
      </c>
      <c r="M112" s="78">
        <f t="shared" si="14"/>
        <v>993303</v>
      </c>
      <c r="N112" s="79">
        <f t="shared" si="14"/>
        <v>435600</v>
      </c>
      <c r="O112" s="79">
        <f t="shared" si="14"/>
        <v>1453282</v>
      </c>
      <c r="P112" s="80">
        <f t="shared" si="15"/>
        <v>5700334</v>
      </c>
      <c r="Q112" s="80">
        <f t="shared" si="15"/>
        <v>2307245</v>
      </c>
      <c r="R112" s="80">
        <f t="shared" si="15"/>
        <v>8148335</v>
      </c>
      <c r="S112" s="84">
        <f>M112/'[21]2014'!M112-1</f>
        <v>-0.00321423052144187</v>
      </c>
      <c r="T112" s="84">
        <f>N112/'[21]2014'!N112-1</f>
        <v>0.147804915324355</v>
      </c>
      <c r="U112" s="84">
        <f>O112/'[21]2014'!O112-1</f>
        <v>0.0350841830938666</v>
      </c>
      <c r="V112" s="85">
        <f>P112/'[21]2014'!P112-1</f>
        <v>0.00622680742286463</v>
      </c>
      <c r="W112" s="85">
        <f>Q112/'[21]2014'!Q112-1</f>
        <v>0.0840410997296011</v>
      </c>
      <c r="X112" s="85">
        <f>R112/'[21]2014'!R112-1</f>
        <v>0.0256182357071764</v>
      </c>
      <c r="Y112" s="38"/>
      <c r="Z112" s="38"/>
      <c r="AA112" s="38"/>
      <c r="AB112" s="38"/>
    </row>
    <row r="113" ht="15" customHeight="1" spans="1:28">
      <c r="A113" s="21">
        <v>42112</v>
      </c>
      <c r="B113" s="21" t="s">
        <v>38</v>
      </c>
      <c r="C113" s="22">
        <v>58670</v>
      </c>
      <c r="D113" s="8">
        <f>16548+10888</f>
        <v>27436</v>
      </c>
      <c r="E113" s="8">
        <v>87031</v>
      </c>
      <c r="F113" s="23">
        <v>4439</v>
      </c>
      <c r="G113" s="24">
        <v>2929</v>
      </c>
      <c r="H113" s="25">
        <v>1356</v>
      </c>
      <c r="I113" s="37">
        <v>875</v>
      </c>
      <c r="J113" s="9">
        <f t="shared" si="8"/>
        <v>59595</v>
      </c>
      <c r="K113" s="38">
        <f t="shared" si="9"/>
        <v>132</v>
      </c>
      <c r="L113" s="38">
        <v>793</v>
      </c>
      <c r="M113" s="78">
        <f t="shared" ref="M113:O125" si="16">M112+C113</f>
        <v>1051973</v>
      </c>
      <c r="N113" s="79">
        <f t="shared" si="16"/>
        <v>463036</v>
      </c>
      <c r="O113" s="79">
        <f t="shared" si="16"/>
        <v>1540313</v>
      </c>
      <c r="P113" s="80">
        <f t="shared" si="15"/>
        <v>5759004</v>
      </c>
      <c r="Q113" s="80">
        <f t="shared" si="15"/>
        <v>2334681</v>
      </c>
      <c r="R113" s="80">
        <f t="shared" si="15"/>
        <v>8235366</v>
      </c>
      <c r="S113" s="84">
        <f>M113/'[21]2014'!M113-1</f>
        <v>-0.00646757100586404</v>
      </c>
      <c r="T113" s="84">
        <f>N113/'[21]2014'!N113-1</f>
        <v>0.150374277345351</v>
      </c>
      <c r="U113" s="84">
        <f>O113/'[21]2014'!O113-1</f>
        <v>0.033093869699679</v>
      </c>
      <c r="V113" s="85">
        <f>P113/'[21]2014'!P113-1</f>
        <v>0.00552264113888978</v>
      </c>
      <c r="W113" s="85">
        <f>Q113/'[21]2014'!Q113-1</f>
        <v>0.0852035587826787</v>
      </c>
      <c r="X113" s="85">
        <f>R113/'[21]2014'!R113-1</f>
        <v>0.0253512385958929</v>
      </c>
      <c r="Y113" s="38"/>
      <c r="Z113" s="38"/>
      <c r="AA113" s="38"/>
      <c r="AB113" s="38"/>
    </row>
    <row r="114" ht="15" customHeight="1" spans="1:28">
      <c r="A114" s="21">
        <v>42113</v>
      </c>
      <c r="B114" s="21" t="s">
        <v>1</v>
      </c>
      <c r="C114" s="22">
        <v>54282</v>
      </c>
      <c r="D114" s="8">
        <f>17050+10882</f>
        <v>27932</v>
      </c>
      <c r="E114" s="8">
        <v>83093</v>
      </c>
      <c r="F114" s="23">
        <v>4115</v>
      </c>
      <c r="G114" s="24">
        <v>2906</v>
      </c>
      <c r="H114" s="25">
        <v>1380</v>
      </c>
      <c r="I114" s="37">
        <v>938</v>
      </c>
      <c r="J114" s="9">
        <f t="shared" si="8"/>
        <v>55161</v>
      </c>
      <c r="K114" s="38">
        <f t="shared" si="9"/>
        <v>86</v>
      </c>
      <c r="L114" s="38">
        <v>793</v>
      </c>
      <c r="M114" s="78">
        <f t="shared" si="16"/>
        <v>1106255</v>
      </c>
      <c r="N114" s="79">
        <f t="shared" si="16"/>
        <v>490968</v>
      </c>
      <c r="O114" s="79">
        <f t="shared" si="16"/>
        <v>1623406</v>
      </c>
      <c r="P114" s="80">
        <f t="shared" si="15"/>
        <v>5813286</v>
      </c>
      <c r="Q114" s="80">
        <f t="shared" si="15"/>
        <v>2362613</v>
      </c>
      <c r="R114" s="80">
        <f t="shared" si="15"/>
        <v>8318459</v>
      </c>
      <c r="S114" s="84">
        <f>M114/'[21]2014'!M114-1</f>
        <v>-0.0131868857255508</v>
      </c>
      <c r="T114" s="84">
        <f>N114/'[21]2014'!N114-1</f>
        <v>0.15563213196249</v>
      </c>
      <c r="U114" s="84">
        <f>O114/'[21]2014'!O114-1</f>
        <v>0.029409787790436</v>
      </c>
      <c r="V114" s="85">
        <f>P114/'[21]2014'!P114-1</f>
        <v>0.00409272968355245</v>
      </c>
      <c r="W114" s="85">
        <f>Q114/'[21]2014'!Q114-1</f>
        <v>0.0869009466787989</v>
      </c>
      <c r="X114" s="85">
        <f>R114/'[21]2014'!R114-1</f>
        <v>0.0247176190272569</v>
      </c>
      <c r="Y114" s="38"/>
      <c r="Z114" s="38"/>
      <c r="AA114" s="38"/>
      <c r="AB114" s="38"/>
    </row>
    <row r="115" ht="15" customHeight="1" spans="1:28">
      <c r="A115" s="21">
        <v>42114</v>
      </c>
      <c r="B115" s="21" t="s">
        <v>39</v>
      </c>
      <c r="C115" s="22">
        <v>58846</v>
      </c>
      <c r="D115" s="8">
        <f>16244+10198</f>
        <v>26442</v>
      </c>
      <c r="E115" s="8">
        <v>86293</v>
      </c>
      <c r="F115" s="23">
        <v>4474</v>
      </c>
      <c r="G115" s="24">
        <v>2761</v>
      </c>
      <c r="H115" s="25">
        <v>1336</v>
      </c>
      <c r="I115" s="37">
        <v>842</v>
      </c>
      <c r="J115" s="9">
        <f t="shared" si="8"/>
        <v>59851</v>
      </c>
      <c r="K115" s="38">
        <f t="shared" si="9"/>
        <v>212</v>
      </c>
      <c r="L115" s="38">
        <v>793</v>
      </c>
      <c r="M115" s="78">
        <f t="shared" si="16"/>
        <v>1165101</v>
      </c>
      <c r="N115" s="79">
        <f t="shared" si="16"/>
        <v>517410</v>
      </c>
      <c r="O115" s="79">
        <f t="shared" si="16"/>
        <v>1709699</v>
      </c>
      <c r="P115" s="80">
        <f t="shared" si="15"/>
        <v>5872132</v>
      </c>
      <c r="Q115" s="80">
        <f t="shared" si="15"/>
        <v>2389055</v>
      </c>
      <c r="R115" s="80">
        <f t="shared" si="15"/>
        <v>8404752</v>
      </c>
      <c r="S115" s="84">
        <f>M115/'[21]2014'!M115-1</f>
        <v>-0.0135283075899242</v>
      </c>
      <c r="T115" s="84">
        <f>N115/'[21]2014'!N115-1</f>
        <v>0.16281317140263</v>
      </c>
      <c r="U115" s="84">
        <f>O115/'[21]2014'!O115-1</f>
        <v>0.0310173772089366</v>
      </c>
      <c r="V115" s="85">
        <f>P115/'[21]2014'!P115-1</f>
        <v>0.00384643527741235</v>
      </c>
      <c r="W115" s="85">
        <f>Q115/'[21]2014'!Q115-1</f>
        <v>0.0889876618122516</v>
      </c>
      <c r="X115" s="85">
        <f>R115/'[21]2014'!R115-1</f>
        <v>0.0250892465006556</v>
      </c>
      <c r="Y115" s="38">
        <v>34.8764</v>
      </c>
      <c r="Z115" s="38">
        <f>P115/10000-Y115</f>
        <v>552.3368</v>
      </c>
      <c r="AA115" s="38">
        <v>3890.092</v>
      </c>
      <c r="AB115" s="38">
        <f>Z115*10000/AA115</f>
        <v>1419.85536588852</v>
      </c>
    </row>
    <row r="116" ht="15" customHeight="1" spans="1:28">
      <c r="A116" s="21">
        <v>42115</v>
      </c>
      <c r="B116" s="15" t="s">
        <v>34</v>
      </c>
      <c r="C116" s="16">
        <v>61547</v>
      </c>
      <c r="D116" s="17">
        <f>14896+9995</f>
        <v>24891</v>
      </c>
      <c r="E116" s="17">
        <v>87292</v>
      </c>
      <c r="F116" s="18">
        <v>4385</v>
      </c>
      <c r="G116" s="19">
        <v>2911</v>
      </c>
      <c r="H116" s="20">
        <v>1208</v>
      </c>
      <c r="I116" s="20">
        <v>808</v>
      </c>
      <c r="J116" s="33">
        <f t="shared" si="8"/>
        <v>62401</v>
      </c>
      <c r="K116" s="34">
        <f t="shared" si="9"/>
        <v>61</v>
      </c>
      <c r="L116" s="34">
        <v>793</v>
      </c>
      <c r="M116" s="81">
        <f t="shared" si="16"/>
        <v>1226648</v>
      </c>
      <c r="N116" s="82">
        <f t="shared" si="16"/>
        <v>542301</v>
      </c>
      <c r="O116" s="82">
        <f t="shared" si="16"/>
        <v>1796991</v>
      </c>
      <c r="P116" s="81">
        <f t="shared" si="15"/>
        <v>5933679</v>
      </c>
      <c r="Q116" s="81">
        <f t="shared" si="15"/>
        <v>2413946</v>
      </c>
      <c r="R116" s="81">
        <f t="shared" si="15"/>
        <v>8492044</v>
      </c>
      <c r="S116" s="86">
        <f>M116/'[21]2014'!M116-1</f>
        <v>-0.012359118130625</v>
      </c>
      <c r="T116" s="86">
        <f>N116/'[21]2014'!N116-1</f>
        <v>0.16045142611364</v>
      </c>
      <c r="U116" s="86">
        <f>O116/'[21]2014'!O116-1</f>
        <v>0.030408971770552</v>
      </c>
      <c r="V116" s="86">
        <f>P116/'[21]2014'!P116-1</f>
        <v>0.00391304142371829</v>
      </c>
      <c r="W116" s="86">
        <f>Q116/'[21]2014'!Q116-1</f>
        <v>0.0892343382173546</v>
      </c>
      <c r="X116" s="86">
        <f>R116/'[21]2014'!R116-1</f>
        <v>0.02502249449215</v>
      </c>
      <c r="Y116" s="34"/>
      <c r="Z116" s="34"/>
      <c r="AA116" s="34"/>
      <c r="AB116" s="34"/>
    </row>
    <row r="117" ht="15" customHeight="1" spans="1:28">
      <c r="A117" s="21">
        <v>42116</v>
      </c>
      <c r="B117" s="21" t="s">
        <v>35</v>
      </c>
      <c r="C117" s="70">
        <v>61082</v>
      </c>
      <c r="D117" s="71">
        <v>25646</v>
      </c>
      <c r="E117" s="71">
        <v>88109</v>
      </c>
      <c r="F117" s="72">
        <v>4437</v>
      </c>
      <c r="G117" s="73">
        <v>2957</v>
      </c>
      <c r="H117" s="25">
        <v>1257</v>
      </c>
      <c r="I117" s="25">
        <v>822</v>
      </c>
      <c r="J117" s="74">
        <f t="shared" si="8"/>
        <v>62463</v>
      </c>
      <c r="K117" s="75">
        <f t="shared" si="9"/>
        <v>588</v>
      </c>
      <c r="L117" s="75">
        <v>793</v>
      </c>
      <c r="M117" s="76">
        <f t="shared" si="16"/>
        <v>1287730</v>
      </c>
      <c r="N117" s="77">
        <f t="shared" si="16"/>
        <v>567947</v>
      </c>
      <c r="O117" s="77">
        <f t="shared" si="16"/>
        <v>1885100</v>
      </c>
      <c r="P117" s="76">
        <f t="shared" si="15"/>
        <v>5994761</v>
      </c>
      <c r="Q117" s="76">
        <f t="shared" si="15"/>
        <v>2439592</v>
      </c>
      <c r="R117" s="76">
        <f t="shared" si="15"/>
        <v>8580153</v>
      </c>
      <c r="S117" s="83">
        <f>M117/'[21]2014'!M117-1</f>
        <v>-0.0121247223895024</v>
      </c>
      <c r="T117" s="83">
        <f>N117/'[21]2014'!N117-1</f>
        <v>0.159574837327911</v>
      </c>
      <c r="U117" s="83">
        <f>O117/'[21]2014'!O117-1</f>
        <v>0.0305389624198504</v>
      </c>
      <c r="V117" s="83">
        <f>P117/'[21]2014'!P117-1</f>
        <v>0.00379653328504248</v>
      </c>
      <c r="W117" s="83">
        <f>Q117/'[21]2014'!Q117-1</f>
        <v>0.0897573772050115</v>
      </c>
      <c r="X117" s="83">
        <f>R117/'[21]2014'!R117-1</f>
        <v>0.0251057836540922</v>
      </c>
      <c r="Y117" s="75"/>
      <c r="Z117" s="75"/>
      <c r="AA117" s="89"/>
      <c r="AB117" s="75"/>
    </row>
    <row r="118" ht="15" customHeight="1" spans="1:28">
      <c r="A118" s="21">
        <v>42117</v>
      </c>
      <c r="B118" s="21" t="s">
        <v>36</v>
      </c>
      <c r="C118" s="22">
        <v>62639</v>
      </c>
      <c r="D118" s="8">
        <f>13819+9945</f>
        <v>23764</v>
      </c>
      <c r="E118" s="8">
        <v>87965</v>
      </c>
      <c r="F118" s="23">
        <v>4440</v>
      </c>
      <c r="G118" s="24">
        <v>2973</v>
      </c>
      <c r="H118" s="25"/>
      <c r="I118" s="37"/>
      <c r="J118" s="9">
        <f t="shared" si="8"/>
        <v>64201</v>
      </c>
      <c r="K118" s="38">
        <f t="shared" si="9"/>
        <v>769</v>
      </c>
      <c r="L118" s="38">
        <v>793</v>
      </c>
      <c r="M118" s="78">
        <f t="shared" si="16"/>
        <v>1350369</v>
      </c>
      <c r="N118" s="79">
        <f t="shared" si="16"/>
        <v>591711</v>
      </c>
      <c r="O118" s="79">
        <f t="shared" si="16"/>
        <v>1973065</v>
      </c>
      <c r="P118" s="80">
        <f t="shared" si="15"/>
        <v>6057400</v>
      </c>
      <c r="Q118" s="80">
        <f t="shared" si="15"/>
        <v>2463356</v>
      </c>
      <c r="R118" s="80">
        <f t="shared" si="15"/>
        <v>8668118</v>
      </c>
      <c r="S118" s="84">
        <f>M118/'[21]2014'!M118-1</f>
        <v>-0.0109070799701155</v>
      </c>
      <c r="T118" s="84">
        <f>N118/'[21]2014'!N118-1</f>
        <v>0.156340505364366</v>
      </c>
      <c r="U118" s="84">
        <f>O118/'[21]2014'!O118-1</f>
        <v>0.030774366588338</v>
      </c>
      <c r="V118" s="85">
        <f>P118/'[21]2014'!P118-1</f>
        <v>0.0039091749941722</v>
      </c>
      <c r="W118" s="85">
        <f>Q118/'[21]2014'!Q118-1</f>
        <v>0.0897022711589885</v>
      </c>
      <c r="X118" s="85">
        <f>R118/'[21]2014'!R118-1</f>
        <v>0.0252136486353673</v>
      </c>
      <c r="Y118" s="38">
        <f>Y115+0.33*3</f>
        <v>35.8664</v>
      </c>
      <c r="Z118" s="38">
        <f>P118/10000-Y118</f>
        <v>569.8736</v>
      </c>
      <c r="AA118" s="38">
        <v>3890.092</v>
      </c>
      <c r="AB118" s="38">
        <f>Z118*10000/AA118</f>
        <v>1464.93604778499</v>
      </c>
    </row>
    <row r="119" ht="15" customHeight="1" spans="1:28">
      <c r="A119" s="21">
        <v>42118</v>
      </c>
      <c r="B119" s="21" t="s">
        <v>37</v>
      </c>
      <c r="C119" s="22">
        <v>62088</v>
      </c>
      <c r="D119" s="8">
        <f>14956+10205</f>
        <v>25161</v>
      </c>
      <c r="E119" s="8">
        <v>88606</v>
      </c>
      <c r="F119" s="23">
        <v>4500</v>
      </c>
      <c r="G119" s="24">
        <v>2945</v>
      </c>
      <c r="H119" s="25">
        <v>1236</v>
      </c>
      <c r="I119" s="37">
        <v>791</v>
      </c>
      <c r="J119" s="9">
        <f t="shared" si="8"/>
        <v>63445</v>
      </c>
      <c r="K119" s="38">
        <f t="shared" si="9"/>
        <v>564</v>
      </c>
      <c r="L119" s="38">
        <v>793</v>
      </c>
      <c r="M119" s="78">
        <f t="shared" si="16"/>
        <v>1412457</v>
      </c>
      <c r="N119" s="79">
        <f t="shared" si="16"/>
        <v>616872</v>
      </c>
      <c r="O119" s="79">
        <f t="shared" si="16"/>
        <v>2061671</v>
      </c>
      <c r="P119" s="80">
        <f t="shared" si="15"/>
        <v>6119488</v>
      </c>
      <c r="Q119" s="80">
        <f t="shared" si="15"/>
        <v>2488517</v>
      </c>
      <c r="R119" s="80">
        <f t="shared" si="15"/>
        <v>8756724</v>
      </c>
      <c r="S119" s="84">
        <f>M119/'[21]2014'!M119-1</f>
        <v>-0.0098256328721259</v>
      </c>
      <c r="T119" s="84">
        <f>N119/'[21]2014'!N119-1</f>
        <v>0.155463648726104</v>
      </c>
      <c r="U119" s="84">
        <f>O119/'[21]2014'!O119-1</f>
        <v>0.0311835244394982</v>
      </c>
      <c r="V119" s="85">
        <f>P119/'[21]2014'!P119-1</f>
        <v>0.00401347441718869</v>
      </c>
      <c r="W119" s="85">
        <f>Q119/'[21]2014'!Q119-1</f>
        <v>0.0901442130252965</v>
      </c>
      <c r="X119" s="85">
        <f>R119/'[21]2014'!R119-1</f>
        <v>0.0253648914084332</v>
      </c>
      <c r="Y119" s="38"/>
      <c r="Z119" s="38"/>
      <c r="AA119" s="38"/>
      <c r="AB119" s="38"/>
    </row>
    <row r="120" ht="15" customHeight="1" spans="1:28">
      <c r="A120" s="21">
        <v>42119</v>
      </c>
      <c r="B120" s="21" t="s">
        <v>38</v>
      </c>
      <c r="C120" s="22">
        <v>60614</v>
      </c>
      <c r="D120" s="8">
        <f>15709+10008</f>
        <v>25717</v>
      </c>
      <c r="E120" s="8">
        <v>87475</v>
      </c>
      <c r="F120" s="23">
        <v>4419</v>
      </c>
      <c r="G120" s="24">
        <v>2980</v>
      </c>
      <c r="H120" s="25"/>
      <c r="I120" s="37"/>
      <c r="J120" s="9">
        <f t="shared" si="8"/>
        <v>61758</v>
      </c>
      <c r="K120" s="38">
        <f t="shared" si="9"/>
        <v>351</v>
      </c>
      <c r="L120" s="38">
        <v>793</v>
      </c>
      <c r="M120" s="78">
        <f t="shared" si="16"/>
        <v>1473071</v>
      </c>
      <c r="N120" s="79">
        <f t="shared" si="16"/>
        <v>642589</v>
      </c>
      <c r="O120" s="79">
        <f t="shared" si="16"/>
        <v>2149146</v>
      </c>
      <c r="P120" s="80">
        <f t="shared" si="15"/>
        <v>6180102</v>
      </c>
      <c r="Q120" s="80">
        <f t="shared" si="15"/>
        <v>2514234</v>
      </c>
      <c r="R120" s="80">
        <f t="shared" si="15"/>
        <v>8844199</v>
      </c>
      <c r="S120" s="84">
        <f>M120/'[21]2014'!M120-1</f>
        <v>-0.00983729312108705</v>
      </c>
      <c r="T120" s="84">
        <f>N120/'[21]2014'!N120-1</f>
        <v>0.15681544463267</v>
      </c>
      <c r="U120" s="84">
        <f>O120/'[21]2014'!O120-1</f>
        <v>0.0312966967157182</v>
      </c>
      <c r="V120" s="85">
        <f>P120/'[21]2014'!P120-1</f>
        <v>0.00387300646233246</v>
      </c>
      <c r="W120" s="85">
        <f>Q120/'[21]2014'!Q120-1</f>
        <v>0.0910825495505647</v>
      </c>
      <c r="X120" s="85">
        <f>R120/'[21]2014'!R120-1</f>
        <v>0.0254493122348878</v>
      </c>
      <c r="Y120" s="38"/>
      <c r="Z120" s="38"/>
      <c r="AA120" s="38"/>
      <c r="AB120" s="38"/>
    </row>
    <row r="121" ht="15" customHeight="1" spans="1:28">
      <c r="A121" s="21">
        <v>42120</v>
      </c>
      <c r="B121" s="21" t="s">
        <v>1</v>
      </c>
      <c r="C121" s="22">
        <v>56379</v>
      </c>
      <c r="D121" s="8">
        <f>15443+10210</f>
        <v>25653</v>
      </c>
      <c r="E121" s="8">
        <v>83551</v>
      </c>
      <c r="F121" s="23">
        <v>4176</v>
      </c>
      <c r="G121" s="24">
        <v>2947</v>
      </c>
      <c r="H121" s="25"/>
      <c r="I121" s="37"/>
      <c r="J121" s="9">
        <f t="shared" si="8"/>
        <v>57898</v>
      </c>
      <c r="K121" s="38">
        <f t="shared" si="9"/>
        <v>726</v>
      </c>
      <c r="L121" s="38">
        <v>793</v>
      </c>
      <c r="M121" s="78">
        <f t="shared" si="16"/>
        <v>1529450</v>
      </c>
      <c r="N121" s="79">
        <f t="shared" si="16"/>
        <v>668242</v>
      </c>
      <c r="O121" s="79">
        <f t="shared" si="16"/>
        <v>2232697</v>
      </c>
      <c r="P121" s="80">
        <f t="shared" si="15"/>
        <v>6236481</v>
      </c>
      <c r="Q121" s="80">
        <f t="shared" si="15"/>
        <v>2539887</v>
      </c>
      <c r="R121" s="80">
        <f t="shared" si="15"/>
        <v>8927750</v>
      </c>
      <c r="S121" s="84">
        <f>M121/'[21]2014'!M121-1</f>
        <v>-0.0119959690443276</v>
      </c>
      <c r="T121" s="84">
        <f>N121/'[21]2014'!N121-1</f>
        <v>0.158244127679636</v>
      </c>
      <c r="U121" s="84">
        <f>O121/'[21]2014'!O121-1</f>
        <v>0.0303312920806471</v>
      </c>
      <c r="V121" s="85">
        <f>P121/'[21]2014'!P121-1</f>
        <v>0.00320244461644115</v>
      </c>
      <c r="W121" s="85">
        <f>Q121/'[21]2014'!Q121-1</f>
        <v>0.0920435455828721</v>
      </c>
      <c r="X121" s="85">
        <f>R121/'[21]2014'!R121-1</f>
        <v>0.0252648314383885</v>
      </c>
      <c r="Y121" s="38"/>
      <c r="Z121" s="38"/>
      <c r="AA121" s="38"/>
      <c r="AB121" s="38"/>
    </row>
    <row r="122" ht="15" customHeight="1" spans="1:28">
      <c r="A122" s="21">
        <v>42121</v>
      </c>
      <c r="B122" s="21" t="s">
        <v>39</v>
      </c>
      <c r="C122" s="22">
        <v>58909</v>
      </c>
      <c r="D122" s="8">
        <f>17016+9947</f>
        <v>26963</v>
      </c>
      <c r="E122" s="8">
        <v>87527</v>
      </c>
      <c r="F122" s="23">
        <v>4460</v>
      </c>
      <c r="G122" s="24">
        <v>2825</v>
      </c>
      <c r="H122" s="25">
        <v>1356</v>
      </c>
      <c r="I122" s="37">
        <v>841</v>
      </c>
      <c r="J122" s="9">
        <f t="shared" si="8"/>
        <v>60564</v>
      </c>
      <c r="K122" s="38">
        <f t="shared" si="9"/>
        <v>862</v>
      </c>
      <c r="L122" s="38">
        <v>793</v>
      </c>
      <c r="M122" s="78">
        <f t="shared" si="16"/>
        <v>1588359</v>
      </c>
      <c r="N122" s="79">
        <f t="shared" si="16"/>
        <v>695205</v>
      </c>
      <c r="O122" s="79">
        <f t="shared" si="16"/>
        <v>2320224</v>
      </c>
      <c r="P122" s="80">
        <f t="shared" si="15"/>
        <v>6295390</v>
      </c>
      <c r="Q122" s="80">
        <f t="shared" si="15"/>
        <v>2566850</v>
      </c>
      <c r="R122" s="80">
        <f t="shared" si="15"/>
        <v>9015277</v>
      </c>
      <c r="S122" s="84">
        <f>M122/'[21]2014'!M122-1</f>
        <v>-0.0123595044508393</v>
      </c>
      <c r="T122" s="84">
        <f>N122/'[21]2014'!N122-1</f>
        <v>0.166758693145678</v>
      </c>
      <c r="U122" s="84">
        <f>O122/'[21]2014'!O122-1</f>
        <v>0.0325465524507484</v>
      </c>
      <c r="V122" s="85">
        <f>P122/'[21]2014'!P122-1</f>
        <v>0.00296349465970636</v>
      </c>
      <c r="W122" s="85">
        <f>Q122/'[21]2014'!Q122-1</f>
        <v>0.0947408807596299</v>
      </c>
      <c r="X122" s="85">
        <f>R122/'[21]2014'!R122-1</f>
        <v>0.0258774722130706</v>
      </c>
      <c r="Y122" s="38"/>
      <c r="Z122" s="38"/>
      <c r="AA122" s="38"/>
      <c r="AB122" s="38"/>
    </row>
    <row r="123" ht="15" customHeight="1" spans="1:28">
      <c r="A123" s="21">
        <v>42122</v>
      </c>
      <c r="B123" s="15" t="s">
        <v>34</v>
      </c>
      <c r="C123" s="16">
        <v>60189</v>
      </c>
      <c r="D123" s="17">
        <v>27689</v>
      </c>
      <c r="E123" s="17">
        <v>89344</v>
      </c>
      <c r="F123" s="18">
        <v>4506</v>
      </c>
      <c r="G123" s="19">
        <v>2973</v>
      </c>
      <c r="H123" s="20">
        <v>1402</v>
      </c>
      <c r="I123" s="20">
        <v>840</v>
      </c>
      <c r="J123" s="33">
        <f t="shared" si="8"/>
        <v>61655</v>
      </c>
      <c r="K123" s="34">
        <f t="shared" si="9"/>
        <v>673</v>
      </c>
      <c r="L123" s="34">
        <v>793</v>
      </c>
      <c r="M123" s="81">
        <f t="shared" si="16"/>
        <v>1648548</v>
      </c>
      <c r="N123" s="82">
        <f t="shared" si="16"/>
        <v>722894</v>
      </c>
      <c r="O123" s="82">
        <f t="shared" si="16"/>
        <v>2409568</v>
      </c>
      <c r="P123" s="81">
        <f t="shared" si="15"/>
        <v>6355579</v>
      </c>
      <c r="Q123" s="81">
        <f t="shared" si="15"/>
        <v>2594539</v>
      </c>
      <c r="R123" s="81">
        <f t="shared" si="15"/>
        <v>9104621</v>
      </c>
      <c r="S123" s="86">
        <f>M123/'[21]2014'!M123-1</f>
        <v>-0.0114911927239235</v>
      </c>
      <c r="T123" s="86">
        <f>N123/'[21]2014'!N123-1</f>
        <v>0.171648116903219</v>
      </c>
      <c r="U123" s="86">
        <f>O123/'[21]2014'!O123-1</f>
        <v>0.0343562274686697</v>
      </c>
      <c r="V123" s="86">
        <f>P123/'[21]2014'!P123-1</f>
        <v>0.00304820437609332</v>
      </c>
      <c r="W123" s="86">
        <f>Q123/'[21]2014'!Q123-1</f>
        <v>0.0966596827254202</v>
      </c>
      <c r="X123" s="86">
        <f>R123/'[21]2014'!R123-1</f>
        <v>0.0264147171986973</v>
      </c>
      <c r="Y123" s="34"/>
      <c r="Z123" s="34"/>
      <c r="AA123" s="34"/>
      <c r="AB123" s="34"/>
    </row>
    <row r="124" ht="15" customHeight="1" spans="1:28">
      <c r="A124" s="21">
        <v>42123</v>
      </c>
      <c r="B124" s="21" t="s">
        <v>35</v>
      </c>
      <c r="C124" s="70">
        <v>59723</v>
      </c>
      <c r="D124" s="71">
        <f>17514+9835</f>
        <v>27349</v>
      </c>
      <c r="E124" s="71">
        <v>88722</v>
      </c>
      <c r="F124" s="72">
        <v>4494</v>
      </c>
      <c r="G124" s="73">
        <v>2991</v>
      </c>
      <c r="H124" s="25">
        <v>1370</v>
      </c>
      <c r="I124" s="25">
        <v>849</v>
      </c>
      <c r="J124" s="74">
        <f t="shared" si="8"/>
        <v>61373</v>
      </c>
      <c r="K124" s="75">
        <f t="shared" si="9"/>
        <v>857</v>
      </c>
      <c r="L124" s="75">
        <v>793</v>
      </c>
      <c r="M124" s="76">
        <f t="shared" si="16"/>
        <v>1708271</v>
      </c>
      <c r="N124" s="77">
        <f t="shared" si="16"/>
        <v>750243</v>
      </c>
      <c r="O124" s="77">
        <f t="shared" si="16"/>
        <v>2498290</v>
      </c>
      <c r="P124" s="76">
        <f t="shared" si="15"/>
        <v>6415302</v>
      </c>
      <c r="Q124" s="76">
        <f t="shared" si="15"/>
        <v>2621888</v>
      </c>
      <c r="R124" s="76">
        <f t="shared" si="15"/>
        <v>9193343</v>
      </c>
      <c r="S124" s="83">
        <f>M124/'[21]2014'!M124-1</f>
        <v>-0.0109679455076525</v>
      </c>
      <c r="T124" s="83">
        <f>N124/'[21]2014'!N124-1</f>
        <v>0.173470329419383</v>
      </c>
      <c r="U124" s="83">
        <f>O124/'[21]2014'!O124-1</f>
        <v>0.0354035408514191</v>
      </c>
      <c r="V124" s="83">
        <f>P124/'[21]2014'!P124-1</f>
        <v>0.00305424316555514</v>
      </c>
      <c r="W124" s="83">
        <f>Q124/'[21]2014'!Q124-1</f>
        <v>0.0978492164886577</v>
      </c>
      <c r="X124" s="83">
        <f>R124/'[21]2014'!R124-1</f>
        <v>0.0267708635919559</v>
      </c>
      <c r="Y124" s="75">
        <f>Y118+0.33*6</f>
        <v>37.8464</v>
      </c>
      <c r="Z124" s="75">
        <f>P124/10000-Y124</f>
        <v>603.6838</v>
      </c>
      <c r="AA124" s="89">
        <v>3890.092</v>
      </c>
      <c r="AB124" s="75">
        <f>Z124*10000/AA124</f>
        <v>1551.84967347816</v>
      </c>
    </row>
    <row r="125" ht="15" customHeight="1" spans="1:32">
      <c r="A125" s="26">
        <v>42124</v>
      </c>
      <c r="B125" s="26" t="s">
        <v>36</v>
      </c>
      <c r="C125" s="27">
        <v>58098</v>
      </c>
      <c r="D125" s="28">
        <v>26363</v>
      </c>
      <c r="E125" s="28">
        <v>85715</v>
      </c>
      <c r="F125" s="29">
        <v>4399</v>
      </c>
      <c r="G125" s="30">
        <v>2960</v>
      </c>
      <c r="H125" s="31">
        <v>1324</v>
      </c>
      <c r="I125" s="31">
        <v>872</v>
      </c>
      <c r="J125" s="43">
        <f t="shared" si="8"/>
        <v>59352</v>
      </c>
      <c r="K125" s="44">
        <f t="shared" si="9"/>
        <v>463</v>
      </c>
      <c r="L125" s="44">
        <v>791</v>
      </c>
      <c r="M125" s="91">
        <f t="shared" si="16"/>
        <v>1766369</v>
      </c>
      <c r="N125" s="92">
        <f t="shared" si="16"/>
        <v>776606</v>
      </c>
      <c r="O125" s="92">
        <f t="shared" si="16"/>
        <v>2584005</v>
      </c>
      <c r="P125" s="91">
        <f t="shared" si="15"/>
        <v>6473400</v>
      </c>
      <c r="Q125" s="91">
        <f t="shared" si="15"/>
        <v>2648251</v>
      </c>
      <c r="R125" s="91">
        <f t="shared" si="15"/>
        <v>9279058</v>
      </c>
      <c r="S125" s="93">
        <f>M125/'[21]2014'!M125-1</f>
        <v>-0.0105556031689216</v>
      </c>
      <c r="T125" s="93">
        <f>N125/'[21]2014'!N125-1</f>
        <v>0.177735719723509</v>
      </c>
      <c r="U125" s="93">
        <f>O125/'[21]2014'!O125-1</f>
        <v>0.0363437510277189</v>
      </c>
      <c r="V125" s="93">
        <f>P125/'[21]2014'!P125-1</f>
        <v>0.00304229045486415</v>
      </c>
      <c r="W125" s="93">
        <f>Q125/'[21]2014'!Q125-1</f>
        <v>0.0996472949849416</v>
      </c>
      <c r="X125" s="93">
        <f>R125/'[21]2014'!R125-1</f>
        <v>0.0271072986330816</v>
      </c>
      <c r="Y125" s="44">
        <v>38.752</v>
      </c>
      <c r="Z125" s="44">
        <f>P125/10000-Y125</f>
        <v>608.588</v>
      </c>
      <c r="AA125" s="44">
        <v>3891.092</v>
      </c>
      <c r="AB125" s="44">
        <f>Z125*10000/AA125</f>
        <v>1564.05451220377</v>
      </c>
      <c r="AC125" s="67">
        <v>6.54</v>
      </c>
      <c r="AD125" s="2">
        <v>9.2</v>
      </c>
      <c r="AF125" s="2">
        <v>663.08</v>
      </c>
    </row>
    <row r="126" ht="15" customHeight="1" spans="1:28">
      <c r="A126" s="21">
        <v>42125</v>
      </c>
      <c r="B126" s="21" t="s">
        <v>37</v>
      </c>
      <c r="C126" s="22">
        <v>41720</v>
      </c>
      <c r="D126" s="8">
        <f>9748+9046</f>
        <v>18794</v>
      </c>
      <c r="E126" s="8">
        <v>61565</v>
      </c>
      <c r="F126" s="23">
        <v>3033</v>
      </c>
      <c r="G126" s="24">
        <v>2280</v>
      </c>
      <c r="H126" s="25">
        <v>948</v>
      </c>
      <c r="I126" s="37">
        <v>640</v>
      </c>
      <c r="J126" s="9">
        <f t="shared" si="8"/>
        <v>42771</v>
      </c>
      <c r="K126" s="38">
        <f t="shared" si="9"/>
        <v>258</v>
      </c>
      <c r="L126" s="38">
        <v>793</v>
      </c>
      <c r="M126" s="78">
        <f>C126</f>
        <v>41720</v>
      </c>
      <c r="N126" s="79">
        <f>D126</f>
        <v>18794</v>
      </c>
      <c r="O126" s="79">
        <f>E126</f>
        <v>61565</v>
      </c>
      <c r="P126" s="80">
        <f>M126+P$125</f>
        <v>6515120</v>
      </c>
      <c r="Q126" s="80">
        <f>N126+Q$125</f>
        <v>2667045</v>
      </c>
      <c r="R126" s="80">
        <f>O126+R$125</f>
        <v>9340623</v>
      </c>
      <c r="S126" s="84">
        <f>M126/'[21]2014'!M126-1</f>
        <v>0.0263980121534184</v>
      </c>
      <c r="T126" s="84">
        <f>N126/'[21]2014'!N126-1</f>
        <v>0.245130515436597</v>
      </c>
      <c r="U126" s="84">
        <f>O126/'[21]2014'!O126-1</f>
        <v>0.0859173810279747</v>
      </c>
      <c r="V126" s="85">
        <f>P126/'[21]2014'!P126-1</f>
        <v>0.00318846841636766</v>
      </c>
      <c r="W126" s="85">
        <f>Q126/'[21]2014'!Q126-1</f>
        <v>0.100553440706528</v>
      </c>
      <c r="X126" s="85">
        <f>R126/'[21]2014'!R126-1</f>
        <v>0.0274740602763821</v>
      </c>
      <c r="Y126" s="38"/>
      <c r="Z126" s="38"/>
      <c r="AA126" s="38"/>
      <c r="AB126" s="38"/>
    </row>
    <row r="127" ht="15" customHeight="1" spans="1:28">
      <c r="A127" s="21">
        <v>42126</v>
      </c>
      <c r="B127" s="21" t="s">
        <v>38</v>
      </c>
      <c r="C127" s="22">
        <v>43229</v>
      </c>
      <c r="D127" s="8">
        <f>12166+9152</f>
        <v>21318</v>
      </c>
      <c r="E127" s="8">
        <v>65685</v>
      </c>
      <c r="F127" s="23">
        <v>3236</v>
      </c>
      <c r="G127" s="24">
        <v>2072</v>
      </c>
      <c r="H127" s="25">
        <v>1128</v>
      </c>
      <c r="I127" s="37">
        <v>602</v>
      </c>
      <c r="J127" s="9">
        <f t="shared" si="8"/>
        <v>44367</v>
      </c>
      <c r="K127" s="38">
        <f t="shared" si="9"/>
        <v>345</v>
      </c>
      <c r="L127" s="38">
        <v>793</v>
      </c>
      <c r="M127" s="78">
        <f>M126+C127</f>
        <v>84949</v>
      </c>
      <c r="N127" s="79">
        <f>N126+D127</f>
        <v>40112</v>
      </c>
      <c r="O127" s="79">
        <f>O126+E127</f>
        <v>127250</v>
      </c>
      <c r="P127" s="80">
        <f t="shared" ref="P127:R156" si="17">M127+P$125</f>
        <v>6558349</v>
      </c>
      <c r="Q127" s="80">
        <f t="shared" si="17"/>
        <v>2688363</v>
      </c>
      <c r="R127" s="80">
        <f t="shared" si="17"/>
        <v>9406308</v>
      </c>
      <c r="S127" s="84">
        <f>M127/'[21]2014'!M127-1</f>
        <v>-0.0217306186374315</v>
      </c>
      <c r="T127" s="84">
        <f>N127/'[21]2014'!N127-1</f>
        <v>0.314371846123599</v>
      </c>
      <c r="U127" s="84">
        <f>O127/'[21]2014'!O127-1</f>
        <v>0.0641678583674119</v>
      </c>
      <c r="V127" s="85">
        <f>P127/'[21]2014'!P127-1</f>
        <v>0.0027133940612929</v>
      </c>
      <c r="W127" s="85">
        <f>Q127/'[21]2014'!Q127-1</f>
        <v>0.10233426717032</v>
      </c>
      <c r="X127" s="85">
        <f>R127/'[21]2014'!R127-1</f>
        <v>0.0275914274177647</v>
      </c>
      <c r="Y127" s="38"/>
      <c r="Z127" s="38"/>
      <c r="AA127" s="38"/>
      <c r="AB127" s="38"/>
    </row>
    <row r="128" ht="15" customHeight="1" spans="1:28">
      <c r="A128" s="21">
        <v>42127</v>
      </c>
      <c r="B128" s="21" t="s">
        <v>1</v>
      </c>
      <c r="C128" s="22">
        <v>53923</v>
      </c>
      <c r="D128" s="8">
        <f>12494+9659</f>
        <v>22153</v>
      </c>
      <c r="E128" s="8">
        <v>77120</v>
      </c>
      <c r="F128" s="23">
        <v>3927</v>
      </c>
      <c r="G128" s="24">
        <v>2394</v>
      </c>
      <c r="H128" s="25">
        <v>1160</v>
      </c>
      <c r="I128" s="37">
        <v>617</v>
      </c>
      <c r="J128" s="9">
        <f t="shared" si="8"/>
        <v>54967</v>
      </c>
      <c r="K128" s="38">
        <f t="shared" si="9"/>
        <v>251</v>
      </c>
      <c r="L128" s="38">
        <v>793</v>
      </c>
      <c r="M128" s="78">
        <f t="shared" ref="M128:O143" si="18">M127+C128</f>
        <v>138872</v>
      </c>
      <c r="N128" s="79">
        <f t="shared" si="18"/>
        <v>62265</v>
      </c>
      <c r="O128" s="79">
        <f t="shared" si="18"/>
        <v>204370</v>
      </c>
      <c r="P128" s="80">
        <f t="shared" si="17"/>
        <v>6612272</v>
      </c>
      <c r="Q128" s="80">
        <f t="shared" si="17"/>
        <v>2710516</v>
      </c>
      <c r="R128" s="80">
        <f t="shared" si="17"/>
        <v>9483428</v>
      </c>
      <c r="S128" s="84">
        <f>M128/'[21]2014'!M128-1</f>
        <v>-0.0265662895515274</v>
      </c>
      <c r="T128" s="84">
        <f>N128/'[21]2014'!N128-1</f>
        <v>0.314384024318163</v>
      </c>
      <c r="U128" s="84">
        <f>O128/'[21]2014'!O128-1</f>
        <v>0.0516322246006915</v>
      </c>
      <c r="V128" s="85">
        <f>P128/'[21]2014'!P128-1</f>
        <v>0.0024019409523528</v>
      </c>
      <c r="W128" s="85">
        <f>Q128/'[21]2014'!Q128-1</f>
        <v>0.103789794380303</v>
      </c>
      <c r="X128" s="85">
        <f>R128/'[21]2014'!R128-1</f>
        <v>0.0276237503746761</v>
      </c>
      <c r="Y128" s="38"/>
      <c r="Z128" s="38"/>
      <c r="AA128" s="38"/>
      <c r="AB128" s="38"/>
    </row>
    <row r="129" ht="15" customHeight="1" spans="1:28">
      <c r="A129" s="21">
        <v>42128</v>
      </c>
      <c r="B129" s="21" t="s">
        <v>39</v>
      </c>
      <c r="C129" s="22">
        <v>61148</v>
      </c>
      <c r="D129" s="8">
        <f>13747+9740</f>
        <v>23487</v>
      </c>
      <c r="E129" s="8">
        <v>85693</v>
      </c>
      <c r="F129" s="23">
        <v>4385</v>
      </c>
      <c r="G129" s="24">
        <v>2786</v>
      </c>
      <c r="H129" s="25">
        <v>1227</v>
      </c>
      <c r="I129" s="37">
        <v>659</v>
      </c>
      <c r="J129" s="9">
        <f t="shared" ref="J129:J192" si="19">E129-D129</f>
        <v>62206</v>
      </c>
      <c r="K129" s="38">
        <f t="shared" ref="K129:K188" si="20">J129-C129-L129</f>
        <v>265</v>
      </c>
      <c r="L129" s="38">
        <v>793</v>
      </c>
      <c r="M129" s="78">
        <f t="shared" si="18"/>
        <v>200020</v>
      </c>
      <c r="N129" s="79">
        <f t="shared" si="18"/>
        <v>85752</v>
      </c>
      <c r="O129" s="79">
        <f t="shared" si="18"/>
        <v>290063</v>
      </c>
      <c r="P129" s="80">
        <f t="shared" si="17"/>
        <v>6673420</v>
      </c>
      <c r="Q129" s="80">
        <f t="shared" si="17"/>
        <v>2734003</v>
      </c>
      <c r="R129" s="80">
        <f t="shared" si="17"/>
        <v>9569121</v>
      </c>
      <c r="S129" s="84">
        <f>M129/'[21]2014'!M129-1</f>
        <v>-0.0178343448628052</v>
      </c>
      <c r="T129" s="84">
        <f>N129/'[21]2014'!N129-1</f>
        <v>0.321986865229859</v>
      </c>
      <c r="U129" s="84">
        <f>O129/'[21]2014'!O129-1</f>
        <v>0.0554807580344667</v>
      </c>
      <c r="V129" s="85">
        <f>P129/'[21]2014'!P129-1</f>
        <v>0.00240366919319834</v>
      </c>
      <c r="W129" s="85">
        <f>Q129/'[21]2014'!Q129-1</f>
        <v>0.105478862875121</v>
      </c>
      <c r="X129" s="85">
        <f>R129/'[21]2014'!R129-1</f>
        <v>0.027944928406652</v>
      </c>
      <c r="Y129" s="38"/>
      <c r="Z129" s="38"/>
      <c r="AA129" s="38"/>
      <c r="AB129" s="38"/>
    </row>
    <row r="130" ht="15" customHeight="1" spans="1:28">
      <c r="A130" s="21">
        <v>42129</v>
      </c>
      <c r="B130" s="15" t="s">
        <v>34</v>
      </c>
      <c r="C130" s="16">
        <v>61422</v>
      </c>
      <c r="D130" s="17">
        <f>13978+10174</f>
        <v>24152</v>
      </c>
      <c r="E130" s="17">
        <v>87229</v>
      </c>
      <c r="F130" s="18">
        <v>4415</v>
      </c>
      <c r="G130" s="19">
        <v>2931</v>
      </c>
      <c r="H130" s="20">
        <v>1262</v>
      </c>
      <c r="I130" s="20">
        <v>729</v>
      </c>
      <c r="J130" s="33">
        <f t="shared" si="19"/>
        <v>63077</v>
      </c>
      <c r="K130" s="34">
        <f t="shared" si="20"/>
        <v>862</v>
      </c>
      <c r="L130" s="34">
        <v>793</v>
      </c>
      <c r="M130" s="81">
        <f t="shared" si="18"/>
        <v>261442</v>
      </c>
      <c r="N130" s="82">
        <f t="shared" si="18"/>
        <v>109904</v>
      </c>
      <c r="O130" s="82">
        <f t="shared" si="18"/>
        <v>377292</v>
      </c>
      <c r="P130" s="81">
        <f t="shared" si="17"/>
        <v>6734842</v>
      </c>
      <c r="Q130" s="81">
        <f t="shared" si="17"/>
        <v>2758155</v>
      </c>
      <c r="R130" s="81">
        <f t="shared" si="17"/>
        <v>9656350</v>
      </c>
      <c r="S130" s="86">
        <f>M130/'[21]2014'!M130-1</f>
        <v>-0.0134710881016709</v>
      </c>
      <c r="T130" s="86">
        <f>N130/'[21]2014'!N130-1</f>
        <v>0.314562526164703</v>
      </c>
      <c r="U130" s="86">
        <f>O130/'[21]2014'!O130-1</f>
        <v>0.0571423768135433</v>
      </c>
      <c r="V130" s="86">
        <f>P130/'[21]2014'!P130-1</f>
        <v>0.00239094528051353</v>
      </c>
      <c r="W130" s="86">
        <f>Q130/'[21]2014'!Q130-1</f>
        <v>0.106857915722282</v>
      </c>
      <c r="X130" s="86">
        <f>R130/'[21]2014'!R130-1</f>
        <v>0.0282487517367787</v>
      </c>
      <c r="Y130" s="34"/>
      <c r="Z130" s="34"/>
      <c r="AA130" s="34"/>
      <c r="AB130" s="34"/>
    </row>
    <row r="131" ht="15" customHeight="1" spans="1:28">
      <c r="A131" s="21">
        <v>42130</v>
      </c>
      <c r="B131" s="21" t="s">
        <v>35</v>
      </c>
      <c r="C131" s="70">
        <v>61450</v>
      </c>
      <c r="D131" s="71">
        <f>15513+10295</f>
        <v>25808</v>
      </c>
      <c r="E131" s="71">
        <v>88139</v>
      </c>
      <c r="F131" s="72">
        <v>4443</v>
      </c>
      <c r="G131" s="73">
        <v>2964</v>
      </c>
      <c r="H131" s="25">
        <v>1344</v>
      </c>
      <c r="I131" s="25">
        <v>733</v>
      </c>
      <c r="J131" s="74">
        <f t="shared" si="19"/>
        <v>62331</v>
      </c>
      <c r="K131" s="75">
        <f t="shared" si="20"/>
        <v>88</v>
      </c>
      <c r="L131" s="75">
        <v>793</v>
      </c>
      <c r="M131" s="76">
        <f t="shared" si="18"/>
        <v>322892</v>
      </c>
      <c r="N131" s="77">
        <f t="shared" si="18"/>
        <v>135712</v>
      </c>
      <c r="O131" s="77">
        <f t="shared" si="18"/>
        <v>465431</v>
      </c>
      <c r="P131" s="76">
        <f t="shared" si="17"/>
        <v>6796292</v>
      </c>
      <c r="Q131" s="76">
        <f t="shared" si="17"/>
        <v>2783963</v>
      </c>
      <c r="R131" s="76">
        <f t="shared" si="17"/>
        <v>9744489</v>
      </c>
      <c r="S131" s="83">
        <f>M131/'[21]2014'!M131-1</f>
        <v>-0.014145485077475</v>
      </c>
      <c r="T131" s="83">
        <f>N131/'[21]2014'!N131-1</f>
        <v>0.339426180160085</v>
      </c>
      <c r="U131" s="83">
        <f>O131/'[21]2014'!O131-1</f>
        <v>0.0584111246290464</v>
      </c>
      <c r="V131" s="83">
        <f>P131/'[21]2014'!P131-1</f>
        <v>0.00221214964949823</v>
      </c>
      <c r="W131" s="83">
        <f>Q131/'[21]2014'!Q131-1</f>
        <v>0.109327998499837</v>
      </c>
      <c r="X131" s="83">
        <f>R131/'[21]2014'!R131-1</f>
        <v>0.0285603100377816</v>
      </c>
      <c r="Y131" s="75"/>
      <c r="Z131" s="75"/>
      <c r="AA131" s="89"/>
      <c r="AB131" s="75"/>
    </row>
    <row r="132" ht="15" customHeight="1" spans="1:28">
      <c r="A132" s="21">
        <v>42131</v>
      </c>
      <c r="B132" s="21" t="s">
        <v>36</v>
      </c>
      <c r="C132" s="22">
        <v>60775</v>
      </c>
      <c r="D132" s="8">
        <f>15634+11050</f>
        <v>26684</v>
      </c>
      <c r="E132" s="8">
        <v>89103</v>
      </c>
      <c r="F132" s="23">
        <v>4482</v>
      </c>
      <c r="G132" s="24">
        <v>2986</v>
      </c>
      <c r="H132" s="25">
        <v>1370</v>
      </c>
      <c r="I132" s="37">
        <v>829</v>
      </c>
      <c r="J132" s="9">
        <f t="shared" si="19"/>
        <v>62419</v>
      </c>
      <c r="K132" s="38">
        <f t="shared" si="20"/>
        <v>851</v>
      </c>
      <c r="L132" s="38">
        <v>793</v>
      </c>
      <c r="M132" s="78">
        <f t="shared" si="18"/>
        <v>383667</v>
      </c>
      <c r="N132" s="79">
        <f t="shared" si="18"/>
        <v>162396</v>
      </c>
      <c r="O132" s="79">
        <f t="shared" si="18"/>
        <v>554534</v>
      </c>
      <c r="P132" s="80">
        <f t="shared" si="17"/>
        <v>6857067</v>
      </c>
      <c r="Q132" s="80">
        <f t="shared" si="17"/>
        <v>2810647</v>
      </c>
      <c r="R132" s="80">
        <f t="shared" si="17"/>
        <v>9833592</v>
      </c>
      <c r="S132" s="84">
        <f>M132/'[21]2014'!M132-1</f>
        <v>-0.0154331363345916</v>
      </c>
      <c r="T132" s="84">
        <f>N132/'[21]2014'!N132-1</f>
        <v>0.350654967355595</v>
      </c>
      <c r="U132" s="84">
        <f>O132/'[21]2014'!O132-1</f>
        <v>0.0606331275952359</v>
      </c>
      <c r="V132" s="85">
        <f>P132/'[21]2014'!P132-1</f>
        <v>0.00199025877715719</v>
      </c>
      <c r="W132" s="85">
        <f>Q132/'[21]2014'!Q132-1</f>
        <v>0.111583150554273</v>
      </c>
      <c r="X132" s="85">
        <f>R132/'[21]2014'!R132-1</f>
        <v>0.0289413900084512</v>
      </c>
      <c r="Y132" s="38">
        <f>Y125+0.4*7</f>
        <v>41.552</v>
      </c>
      <c r="Z132" s="38">
        <f>P132/10000-Y132</f>
        <v>644.1547</v>
      </c>
      <c r="AA132" s="38">
        <v>3890.092</v>
      </c>
      <c r="AB132" s="38">
        <f>Z132*10000/AA132</f>
        <v>1655.88551633226</v>
      </c>
    </row>
    <row r="133" ht="15" customHeight="1" spans="1:28">
      <c r="A133" s="21">
        <v>42132</v>
      </c>
      <c r="B133" s="21" t="s">
        <v>37</v>
      </c>
      <c r="C133" s="22">
        <v>60501</v>
      </c>
      <c r="D133" s="8">
        <f>15620+10879</f>
        <v>26499</v>
      </c>
      <c r="E133" s="8">
        <v>88360</v>
      </c>
      <c r="F133" s="23">
        <v>4494</v>
      </c>
      <c r="G133" s="24">
        <v>3008</v>
      </c>
      <c r="H133" s="25">
        <v>1371</v>
      </c>
      <c r="I133" s="37">
        <v>782</v>
      </c>
      <c r="J133" s="9">
        <f t="shared" si="19"/>
        <v>61861</v>
      </c>
      <c r="K133" s="38">
        <f t="shared" si="20"/>
        <v>567</v>
      </c>
      <c r="L133" s="38">
        <v>793</v>
      </c>
      <c r="M133" s="78">
        <f t="shared" si="18"/>
        <v>444168</v>
      </c>
      <c r="N133" s="79">
        <f t="shared" si="18"/>
        <v>188895</v>
      </c>
      <c r="O133" s="79">
        <f t="shared" si="18"/>
        <v>642894</v>
      </c>
      <c r="P133" s="80">
        <f t="shared" si="17"/>
        <v>6917568</v>
      </c>
      <c r="Q133" s="80">
        <f t="shared" si="17"/>
        <v>2837146</v>
      </c>
      <c r="R133" s="80">
        <f t="shared" si="17"/>
        <v>9921952</v>
      </c>
      <c r="S133" s="84">
        <f>M133/'[21]2014'!M133-1</f>
        <v>-0.0194988532034146</v>
      </c>
      <c r="T133" s="84">
        <f>N133/'[21]2014'!N133-1</f>
        <v>0.358937281477964</v>
      </c>
      <c r="U133" s="84">
        <f>O133/'[21]2014'!O133-1</f>
        <v>0.059419678463374</v>
      </c>
      <c r="V133" s="85">
        <f>P133/'[21]2014'!P133-1</f>
        <v>0.00156386198632275</v>
      </c>
      <c r="W133" s="85">
        <f>Q133/'[21]2014'!Q133-1</f>
        <v>0.113796464308076</v>
      </c>
      <c r="X133" s="85">
        <f>R133/'[21]2014'!R133-1</f>
        <v>0.0291411448039753</v>
      </c>
      <c r="Y133" s="38"/>
      <c r="Z133" s="38"/>
      <c r="AA133" s="38"/>
      <c r="AB133" s="38"/>
    </row>
    <row r="134" ht="15" customHeight="1" spans="1:28">
      <c r="A134" s="21">
        <v>42133</v>
      </c>
      <c r="B134" s="21" t="s">
        <v>38</v>
      </c>
      <c r="C134" s="22">
        <v>60553</v>
      </c>
      <c r="D134" s="8">
        <f>14735+10873</f>
        <v>25608</v>
      </c>
      <c r="E134" s="8">
        <v>87069</v>
      </c>
      <c r="F134" s="23">
        <v>4387</v>
      </c>
      <c r="G134" s="24">
        <v>2950</v>
      </c>
      <c r="H134" s="25">
        <v>1277</v>
      </c>
      <c r="I134" s="37">
        <v>810</v>
      </c>
      <c r="J134" s="9">
        <f t="shared" si="19"/>
        <v>61461</v>
      </c>
      <c r="K134" s="38">
        <f t="shared" si="20"/>
        <v>115</v>
      </c>
      <c r="L134" s="38">
        <v>793</v>
      </c>
      <c r="M134" s="78">
        <f t="shared" si="18"/>
        <v>504721</v>
      </c>
      <c r="N134" s="79">
        <f t="shared" si="18"/>
        <v>214503</v>
      </c>
      <c r="O134" s="79">
        <f t="shared" si="18"/>
        <v>729963</v>
      </c>
      <c r="P134" s="80">
        <f t="shared" si="17"/>
        <v>6978121</v>
      </c>
      <c r="Q134" s="80">
        <f t="shared" si="17"/>
        <v>2862754</v>
      </c>
      <c r="R134" s="80">
        <f t="shared" si="17"/>
        <v>10009021</v>
      </c>
      <c r="S134" s="84">
        <f>M134/'[21]2014'!M134-1</f>
        <v>-0.0230418582143721</v>
      </c>
      <c r="T134" s="84">
        <f>N134/'[21]2014'!N134-1</f>
        <v>0.359515524879737</v>
      </c>
      <c r="U134" s="84">
        <f>O134/'[21]2014'!O134-1</f>
        <v>0.0561601856621159</v>
      </c>
      <c r="V134" s="85">
        <f>P134/'[21]2014'!P134-1</f>
        <v>0.00110900955987581</v>
      </c>
      <c r="W134" s="85">
        <f>Q134/'[21]2014'!Q134-1</f>
        <v>0.115625828485711</v>
      </c>
      <c r="X134" s="85">
        <f>R134/'[21]2014'!R134-1</f>
        <v>0.0291719974627533</v>
      </c>
      <c r="Y134" s="38"/>
      <c r="Z134" s="38"/>
      <c r="AA134" s="38"/>
      <c r="AB134" s="38"/>
    </row>
    <row r="135" ht="15" customHeight="1" spans="1:32">
      <c r="A135" s="21">
        <v>42134</v>
      </c>
      <c r="B135" s="21" t="s">
        <v>1</v>
      </c>
      <c r="C135" s="22">
        <v>57047</v>
      </c>
      <c r="D135" s="8">
        <f>13896+10941</f>
        <v>24837</v>
      </c>
      <c r="E135" s="8">
        <v>82868</v>
      </c>
      <c r="F135" s="23">
        <v>4094</v>
      </c>
      <c r="G135" s="24">
        <v>2947</v>
      </c>
      <c r="H135" s="25">
        <v>1242</v>
      </c>
      <c r="I135" s="37">
        <v>789</v>
      </c>
      <c r="J135" s="9">
        <f t="shared" si="19"/>
        <v>58031</v>
      </c>
      <c r="K135" s="38">
        <f t="shared" si="20"/>
        <v>191</v>
      </c>
      <c r="L135" s="38">
        <v>793</v>
      </c>
      <c r="M135" s="78">
        <f t="shared" si="18"/>
        <v>561768</v>
      </c>
      <c r="N135" s="79">
        <f t="shared" si="18"/>
        <v>239340</v>
      </c>
      <c r="O135" s="79">
        <f t="shared" si="18"/>
        <v>812831</v>
      </c>
      <c r="P135" s="80">
        <f t="shared" si="17"/>
        <v>7035168</v>
      </c>
      <c r="Q135" s="80">
        <f t="shared" si="17"/>
        <v>2887591</v>
      </c>
      <c r="R135" s="80">
        <f t="shared" si="17"/>
        <v>10091889</v>
      </c>
      <c r="S135" s="84">
        <f>M135/'[21]2014'!M135-1</f>
        <v>-0.0285284428419497</v>
      </c>
      <c r="T135" s="84">
        <f>N135/'[21]2014'!N135-1</f>
        <v>0.345899712645294</v>
      </c>
      <c r="U135" s="84">
        <f>O135/'[21]2014'!O135-1</f>
        <v>0.04943979507784</v>
      </c>
      <c r="V135" s="85">
        <f>P135/'[21]2014'!P135-1</f>
        <v>0.000446134282202637</v>
      </c>
      <c r="W135" s="85">
        <f>Q135/'[21]2014'!Q135-1</f>
        <v>0.116580431994545</v>
      </c>
      <c r="X135" s="85">
        <f>R135/'[21]2014'!R135-1</f>
        <v>0.0288707698163464</v>
      </c>
      <c r="Y135" s="54">
        <v>41.1494</v>
      </c>
      <c r="Z135" s="38">
        <f>P135/10000-Y135</f>
        <v>662.3674</v>
      </c>
      <c r="AA135" s="38">
        <v>3890.092</v>
      </c>
      <c r="AB135" s="38">
        <f>Z135*10000/AA135</f>
        <v>1702.70368927007</v>
      </c>
      <c r="AC135" s="94">
        <v>6.892736</v>
      </c>
      <c r="AD135" s="95">
        <v>9.9899</v>
      </c>
      <c r="AE135" s="95"/>
      <c r="AF135" s="95">
        <v>720.3999</v>
      </c>
    </row>
    <row r="136" ht="15" customHeight="1" spans="1:28">
      <c r="A136" s="21">
        <v>42135</v>
      </c>
      <c r="B136" s="21" t="s">
        <v>39</v>
      </c>
      <c r="C136" s="22">
        <v>59281</v>
      </c>
      <c r="D136" s="8">
        <f>14481+10833</f>
        <v>25314</v>
      </c>
      <c r="E136" s="8">
        <v>85512</v>
      </c>
      <c r="F136" s="23">
        <v>4383</v>
      </c>
      <c r="G136" s="24">
        <v>4383</v>
      </c>
      <c r="H136" s="25">
        <v>1328</v>
      </c>
      <c r="I136" s="37">
        <v>721</v>
      </c>
      <c r="J136" s="9">
        <f t="shared" si="19"/>
        <v>60198</v>
      </c>
      <c r="K136" s="38">
        <f t="shared" si="20"/>
        <v>124</v>
      </c>
      <c r="L136" s="38">
        <v>793</v>
      </c>
      <c r="M136" s="78">
        <f t="shared" si="18"/>
        <v>621049</v>
      </c>
      <c r="N136" s="79">
        <f t="shared" si="18"/>
        <v>264654</v>
      </c>
      <c r="O136" s="79">
        <f t="shared" si="18"/>
        <v>898343</v>
      </c>
      <c r="P136" s="80">
        <f t="shared" si="17"/>
        <v>7094449</v>
      </c>
      <c r="Q136" s="80">
        <f t="shared" si="17"/>
        <v>2912905</v>
      </c>
      <c r="R136" s="80">
        <f t="shared" si="17"/>
        <v>10177401</v>
      </c>
      <c r="S136" s="84">
        <f>M136/'[21]2014'!M136-1</f>
        <v>-0.026474359577263</v>
      </c>
      <c r="T136" s="84">
        <f>N136/'[21]2014'!N136-1</f>
        <v>0.347889196168009</v>
      </c>
      <c r="U136" s="84">
        <f>O136/'[21]2014'!O136-1</f>
        <v>0.0518758511028186</v>
      </c>
      <c r="V136" s="85">
        <f>P136/'[21]2014'!P136-1</f>
        <v>0.000387104437668873</v>
      </c>
      <c r="W136" s="85">
        <f>Q136/'[21]2014'!Q136-1</f>
        <v>0.118360792808133</v>
      </c>
      <c r="X136" s="85">
        <f>R136/'[21]2014'!R136-1</f>
        <v>0.0292465452850696</v>
      </c>
      <c r="Y136" s="38"/>
      <c r="Z136" s="38"/>
      <c r="AA136" s="38"/>
      <c r="AB136" s="38"/>
    </row>
    <row r="137" ht="15" customHeight="1" spans="1:32">
      <c r="A137" s="21">
        <v>42136</v>
      </c>
      <c r="B137" s="15" t="s">
        <v>34</v>
      </c>
      <c r="C137" s="16">
        <v>59853</v>
      </c>
      <c r="D137" s="17">
        <f>13272+11022</f>
        <v>24294</v>
      </c>
      <c r="E137" s="17">
        <v>85305</v>
      </c>
      <c r="F137" s="18">
        <v>4302</v>
      </c>
      <c r="G137" s="19">
        <v>2868</v>
      </c>
      <c r="H137" s="20">
        <v>1266</v>
      </c>
      <c r="I137" s="20">
        <v>781</v>
      </c>
      <c r="J137" s="33">
        <f t="shared" si="19"/>
        <v>61011</v>
      </c>
      <c r="K137" s="34">
        <f t="shared" si="20"/>
        <v>365</v>
      </c>
      <c r="L137" s="34">
        <v>793</v>
      </c>
      <c r="M137" s="81">
        <f t="shared" si="18"/>
        <v>680902</v>
      </c>
      <c r="N137" s="82">
        <f t="shared" si="18"/>
        <v>288948</v>
      </c>
      <c r="O137" s="82">
        <f t="shared" si="18"/>
        <v>983648</v>
      </c>
      <c r="P137" s="81">
        <f t="shared" si="17"/>
        <v>7154302</v>
      </c>
      <c r="Q137" s="81">
        <f t="shared" si="17"/>
        <v>2937199</v>
      </c>
      <c r="R137" s="81">
        <f t="shared" si="17"/>
        <v>10262706</v>
      </c>
      <c r="S137" s="86">
        <f>M137/'[21]2014'!M137-1</f>
        <v>-0.0238356022984023</v>
      </c>
      <c r="T137" s="86">
        <f>N137/'[21]2014'!N137-1</f>
        <v>0.335990382837063</v>
      </c>
      <c r="U137" s="86">
        <f>O137/'[21]2014'!O137-1</f>
        <v>0.051894943964411</v>
      </c>
      <c r="V137" s="86">
        <f>P137/'[21]2014'!P137-1</f>
        <v>0.000420655352269206</v>
      </c>
      <c r="W137" s="86">
        <f>Q137/'[21]2014'!Q137-1</f>
        <v>0.119123480488926</v>
      </c>
      <c r="X137" s="86">
        <f>R137/'[21]2014'!R137-1</f>
        <v>0.0294323821476101</v>
      </c>
      <c r="Y137" s="34"/>
      <c r="Z137" s="34"/>
      <c r="AA137" s="34"/>
      <c r="AB137" s="34"/>
      <c r="AC137" s="67">
        <f>AC135+SUM(K136:K137)/10000</f>
        <v>6.941636</v>
      </c>
      <c r="AD137" s="96">
        <f>AD135+SUM(L136:L137)/10000</f>
        <v>10.1485</v>
      </c>
      <c r="AF137" s="96">
        <f>AF135+SUM(J136:J137)/10000</f>
        <v>732.5208</v>
      </c>
    </row>
    <row r="138" ht="15" customHeight="1" spans="1:28">
      <c r="A138" s="21">
        <v>42137</v>
      </c>
      <c r="B138" s="21" t="s">
        <v>35</v>
      </c>
      <c r="C138" s="70">
        <v>60255</v>
      </c>
      <c r="D138" s="71">
        <f>13169+10907</f>
        <v>24076</v>
      </c>
      <c r="E138" s="71">
        <v>86416</v>
      </c>
      <c r="F138" s="72">
        <v>4339</v>
      </c>
      <c r="G138" s="73">
        <v>2925</v>
      </c>
      <c r="H138" s="25">
        <v>1306</v>
      </c>
      <c r="I138" s="25">
        <v>748</v>
      </c>
      <c r="J138" s="74">
        <f t="shared" si="19"/>
        <v>62340</v>
      </c>
      <c r="K138" s="75">
        <f t="shared" si="20"/>
        <v>1292</v>
      </c>
      <c r="L138" s="75">
        <v>793</v>
      </c>
      <c r="M138" s="76">
        <f t="shared" si="18"/>
        <v>741157</v>
      </c>
      <c r="N138" s="77">
        <f t="shared" si="18"/>
        <v>313024</v>
      </c>
      <c r="O138" s="77">
        <f t="shared" si="18"/>
        <v>1070064</v>
      </c>
      <c r="P138" s="76">
        <f t="shared" si="17"/>
        <v>7214557</v>
      </c>
      <c r="Q138" s="76">
        <f t="shared" si="17"/>
        <v>2961275</v>
      </c>
      <c r="R138" s="76">
        <f t="shared" si="17"/>
        <v>10349122</v>
      </c>
      <c r="S138" s="83">
        <f>M138/'[21]2014'!M138-1</f>
        <v>-0.0209635851825628</v>
      </c>
      <c r="T138" s="83">
        <f>N138/'[21]2014'!N138-1</f>
        <v>0.324122994403577</v>
      </c>
      <c r="U138" s="83">
        <f>O138/'[21]2014'!O138-1</f>
        <v>0.0516764882789311</v>
      </c>
      <c r="V138" s="83">
        <f>P138/'[21]2014'!P138-1</f>
        <v>0.000522027205616116</v>
      </c>
      <c r="W138" s="83">
        <f>Q138/'[21]2014'!Q138-1</f>
        <v>0.119712633023479</v>
      </c>
      <c r="X138" s="83">
        <f>R138/'[21]2014'!R138-1</f>
        <v>0.0295943288181451</v>
      </c>
      <c r="Y138" s="75"/>
      <c r="Z138" s="75"/>
      <c r="AA138" s="89"/>
      <c r="AB138" s="75"/>
    </row>
    <row r="139" ht="15" customHeight="1" spans="1:28">
      <c r="A139" s="21">
        <v>42138</v>
      </c>
      <c r="B139" s="21" t="s">
        <v>36</v>
      </c>
      <c r="C139" s="22">
        <v>57177</v>
      </c>
      <c r="D139" s="8">
        <f>15508+11245</f>
        <v>26753</v>
      </c>
      <c r="E139" s="8">
        <v>86334</v>
      </c>
      <c r="F139" s="23">
        <v>4374</v>
      </c>
      <c r="G139" s="24">
        <v>2941</v>
      </c>
      <c r="H139" s="25">
        <v>1448</v>
      </c>
      <c r="I139" s="37">
        <v>851</v>
      </c>
      <c r="J139" s="9">
        <f t="shared" si="19"/>
        <v>59581</v>
      </c>
      <c r="K139" s="38">
        <f t="shared" si="20"/>
        <v>1611</v>
      </c>
      <c r="L139" s="38">
        <v>793</v>
      </c>
      <c r="M139" s="78">
        <f t="shared" si="18"/>
        <v>798334</v>
      </c>
      <c r="N139" s="79">
        <f t="shared" si="18"/>
        <v>339777</v>
      </c>
      <c r="O139" s="79">
        <f t="shared" si="18"/>
        <v>1156398</v>
      </c>
      <c r="P139" s="80">
        <f t="shared" si="17"/>
        <v>7271734</v>
      </c>
      <c r="Q139" s="80">
        <f t="shared" si="17"/>
        <v>2988028</v>
      </c>
      <c r="R139" s="80">
        <f t="shared" si="17"/>
        <v>10435456</v>
      </c>
      <c r="S139" s="84">
        <f>M139/'[21]2014'!M139-1</f>
        <v>-0.0216279280670407</v>
      </c>
      <c r="T139" s="84">
        <f>N139/'[21]2014'!N139-1</f>
        <v>0.32670974795494</v>
      </c>
      <c r="U139" s="84">
        <f>O139/'[21]2014'!O139-1</f>
        <v>0.0522983349197308</v>
      </c>
      <c r="V139" s="85">
        <f>P139/'[21]2014'!P139-1</f>
        <v>0.000273218557622634</v>
      </c>
      <c r="W139" s="85">
        <f>Q139/'[21]2014'!Q139-1</f>
        <v>0.121472962114499</v>
      </c>
      <c r="X139" s="85">
        <f>R139/'[21]2014'!R139-1</f>
        <v>0.0298392470161841</v>
      </c>
      <c r="Y139" s="97">
        <v>42.35</v>
      </c>
      <c r="Z139" s="38">
        <f>P139/10000-Y139</f>
        <v>684.8234</v>
      </c>
      <c r="AA139" s="38">
        <v>3890.092</v>
      </c>
      <c r="AB139" s="38">
        <f>Z139*10000/AA139</f>
        <v>1760.42983045131</v>
      </c>
    </row>
    <row r="140" ht="15" customHeight="1" spans="1:28">
      <c r="A140" s="21">
        <v>42139</v>
      </c>
      <c r="B140" s="21" t="s">
        <v>37</v>
      </c>
      <c r="C140" s="22">
        <v>57895</v>
      </c>
      <c r="D140" s="8">
        <v>25867</v>
      </c>
      <c r="E140" s="8">
        <v>86184</v>
      </c>
      <c r="F140" s="23">
        <v>4354</v>
      </c>
      <c r="G140" s="24">
        <v>2880</v>
      </c>
      <c r="H140" s="25">
        <v>1377</v>
      </c>
      <c r="I140" s="37">
        <v>807</v>
      </c>
      <c r="J140" s="9">
        <f t="shared" si="19"/>
        <v>60317</v>
      </c>
      <c r="K140" s="38">
        <f t="shared" si="20"/>
        <v>1629</v>
      </c>
      <c r="L140" s="38">
        <v>793</v>
      </c>
      <c r="M140" s="78">
        <f t="shared" si="18"/>
        <v>856229</v>
      </c>
      <c r="N140" s="79">
        <f t="shared" si="18"/>
        <v>365644</v>
      </c>
      <c r="O140" s="79">
        <f t="shared" si="18"/>
        <v>1242582</v>
      </c>
      <c r="P140" s="80">
        <f t="shared" si="17"/>
        <v>7329629</v>
      </c>
      <c r="Q140" s="80">
        <f t="shared" si="17"/>
        <v>3013895</v>
      </c>
      <c r="R140" s="80">
        <f t="shared" si="17"/>
        <v>10521640</v>
      </c>
      <c r="S140" s="84">
        <f>M140/'[21]2014'!M140-1</f>
        <v>-0.021432440895927</v>
      </c>
      <c r="T140" s="84">
        <f>N140/'[21]2014'!N140-1</f>
        <v>0.324293294217779</v>
      </c>
      <c r="U140" s="84">
        <f>O140/'[21]2014'!O140-1</f>
        <v>0.0526555667191335</v>
      </c>
      <c r="V140" s="85">
        <f>P140/'[21]2014'!P140-1</f>
        <v>0.000120242915659929</v>
      </c>
      <c r="W140" s="85">
        <f>Q140/'[21]2014'!Q140-1</f>
        <v>0.122753534608258</v>
      </c>
      <c r="X140" s="85">
        <f>R140/'[21]2014'!R140-1</f>
        <v>0.0300597258500823</v>
      </c>
      <c r="Y140" s="97"/>
      <c r="Z140" s="38"/>
      <c r="AA140" s="38"/>
      <c r="AB140" s="38"/>
    </row>
    <row r="141" ht="15" customHeight="1" spans="1:28">
      <c r="A141" s="21">
        <v>42140</v>
      </c>
      <c r="B141" s="21" t="s">
        <v>38</v>
      </c>
      <c r="C141" s="22">
        <v>52688</v>
      </c>
      <c r="D141" s="8">
        <v>26506</v>
      </c>
      <c r="E141" s="8">
        <v>81826</v>
      </c>
      <c r="F141" s="23">
        <v>4167</v>
      </c>
      <c r="G141" s="24">
        <v>2822</v>
      </c>
      <c r="H141" s="25"/>
      <c r="I141" s="37"/>
      <c r="J141" s="9">
        <f t="shared" si="19"/>
        <v>55320</v>
      </c>
      <c r="K141" s="38">
        <f t="shared" si="20"/>
        <v>1839</v>
      </c>
      <c r="L141" s="38">
        <v>793</v>
      </c>
      <c r="M141" s="78">
        <f t="shared" si="18"/>
        <v>908917</v>
      </c>
      <c r="N141" s="79">
        <f t="shared" si="18"/>
        <v>392150</v>
      </c>
      <c r="O141" s="79">
        <f t="shared" si="18"/>
        <v>1324408</v>
      </c>
      <c r="P141" s="80">
        <f t="shared" si="17"/>
        <v>7382317</v>
      </c>
      <c r="Q141" s="80">
        <f t="shared" si="17"/>
        <v>3040401</v>
      </c>
      <c r="R141" s="80">
        <f t="shared" si="17"/>
        <v>10603466</v>
      </c>
      <c r="S141" s="84">
        <f>M141/'[21]2014'!M141-1</f>
        <v>-0.0257978147582064</v>
      </c>
      <c r="T141" s="84">
        <f>N141/'[21]2014'!N141-1</f>
        <v>0.32401698955372</v>
      </c>
      <c r="U141" s="84">
        <f>O141/'[21]2014'!O141-1</f>
        <v>0.0502789043033895</v>
      </c>
      <c r="V141" s="85">
        <f>P141/'[21]2014'!P141-1</f>
        <v>-0.000600368083033542</v>
      </c>
      <c r="W141" s="85">
        <f>Q141/'[21]2014'!Q141-1</f>
        <v>0.124219440729484</v>
      </c>
      <c r="X141" s="85">
        <f>R141/'[21]2014'!R141-1</f>
        <v>0.0299454768904031</v>
      </c>
      <c r="Y141" s="97"/>
      <c r="Z141" s="38"/>
      <c r="AA141" s="38"/>
      <c r="AB141" s="38"/>
    </row>
    <row r="142" ht="15" customHeight="1" spans="1:28">
      <c r="A142" s="21">
        <v>42141</v>
      </c>
      <c r="B142" s="21" t="s">
        <v>1</v>
      </c>
      <c r="C142" s="22">
        <v>48055</v>
      </c>
      <c r="D142" s="8">
        <v>25497</v>
      </c>
      <c r="E142" s="8">
        <v>76758</v>
      </c>
      <c r="F142" s="23">
        <v>3785</v>
      </c>
      <c r="G142" s="24">
        <v>2715</v>
      </c>
      <c r="H142" s="25"/>
      <c r="I142" s="37"/>
      <c r="J142" s="9">
        <f t="shared" si="19"/>
        <v>51261</v>
      </c>
      <c r="K142" s="38">
        <f t="shared" si="20"/>
        <v>2413</v>
      </c>
      <c r="L142" s="38">
        <v>793</v>
      </c>
      <c r="M142" s="78">
        <f t="shared" si="18"/>
        <v>956972</v>
      </c>
      <c r="N142" s="79">
        <f t="shared" si="18"/>
        <v>417647</v>
      </c>
      <c r="O142" s="79">
        <f t="shared" si="18"/>
        <v>1401166</v>
      </c>
      <c r="P142" s="80">
        <f t="shared" si="17"/>
        <v>7430372</v>
      </c>
      <c r="Q142" s="80">
        <f t="shared" si="17"/>
        <v>3065898</v>
      </c>
      <c r="R142" s="80">
        <f t="shared" si="17"/>
        <v>10680224</v>
      </c>
      <c r="S142" s="84">
        <f>M142/'[21]2014'!M142-1</f>
        <v>-0.0323499820519432</v>
      </c>
      <c r="T142" s="84">
        <f>N142/'[21]2014'!N142-1</f>
        <v>0.321454448807313</v>
      </c>
      <c r="U142" s="84">
        <f>O142/'[21]2014'!O142-1</f>
        <v>0.0460639135774357</v>
      </c>
      <c r="V142" s="85">
        <f>P142/'[21]2014'!P142-1</f>
        <v>-0.00166051552607749</v>
      </c>
      <c r="W142" s="85">
        <f>Q142/'[21]2014'!Q142-1</f>
        <v>0.125379318855638</v>
      </c>
      <c r="X142" s="85">
        <f>R142/'[21]2014'!R142-1</f>
        <v>0.0295550164904841</v>
      </c>
      <c r="Y142" s="97"/>
      <c r="Z142" s="38"/>
      <c r="AA142" s="38"/>
      <c r="AB142" s="38"/>
    </row>
    <row r="143" ht="15" customHeight="1" spans="1:28">
      <c r="A143" s="21">
        <v>42142</v>
      </c>
      <c r="B143" s="21" t="s">
        <v>39</v>
      </c>
      <c r="C143" s="22">
        <v>53500</v>
      </c>
      <c r="D143" s="8">
        <v>26225</v>
      </c>
      <c r="E143" s="8">
        <v>82663</v>
      </c>
      <c r="F143" s="23">
        <v>4246</v>
      </c>
      <c r="G143" s="24">
        <v>2642</v>
      </c>
      <c r="H143" s="25"/>
      <c r="I143" s="37"/>
      <c r="J143" s="9">
        <f t="shared" si="19"/>
        <v>56438</v>
      </c>
      <c r="K143" s="38">
        <f t="shared" si="20"/>
        <v>2145</v>
      </c>
      <c r="L143" s="38">
        <v>793</v>
      </c>
      <c r="M143" s="78">
        <f t="shared" si="18"/>
        <v>1010472</v>
      </c>
      <c r="N143" s="79">
        <f t="shared" si="18"/>
        <v>443872</v>
      </c>
      <c r="O143" s="79">
        <f t="shared" si="18"/>
        <v>1483829</v>
      </c>
      <c r="P143" s="80">
        <f t="shared" si="17"/>
        <v>7483872</v>
      </c>
      <c r="Q143" s="80">
        <f t="shared" si="17"/>
        <v>3092123</v>
      </c>
      <c r="R143" s="80">
        <f t="shared" si="17"/>
        <v>10762887</v>
      </c>
      <c r="S143" s="84">
        <f>M143/'[21]2014'!M143-1</f>
        <v>-0.0289385297693124</v>
      </c>
      <c r="T143" s="84">
        <f>N143/'[21]2014'!N143-1</f>
        <v>0.322563055882484</v>
      </c>
      <c r="U143" s="84">
        <f>O143/'[21]2014'!O143-1</f>
        <v>0.0502069514159611</v>
      </c>
      <c r="V143" s="85">
        <f>P143/'[21]2014'!P143-1</f>
        <v>-0.00139822251741217</v>
      </c>
      <c r="W143" s="85">
        <f>Q143/'[21]2014'!Q143-1</f>
        <v>0.126912937885477</v>
      </c>
      <c r="X143" s="85">
        <f>R143/'[21]2014'!R143-1</f>
        <v>0.0302313661092894</v>
      </c>
      <c r="Y143" s="97">
        <v>43.98</v>
      </c>
      <c r="Z143" s="54">
        <f>P143/10000-Y143</f>
        <v>704.4072</v>
      </c>
      <c r="AA143" s="38">
        <v>3890.092</v>
      </c>
      <c r="AB143" s="38">
        <f>Z143*10000/AA143</f>
        <v>1810.77259869432</v>
      </c>
    </row>
    <row r="144" ht="15" customHeight="1" spans="1:32">
      <c r="A144" s="21">
        <v>42143</v>
      </c>
      <c r="B144" s="15" t="s">
        <v>34</v>
      </c>
      <c r="C144" s="16">
        <v>57073</v>
      </c>
      <c r="D144" s="17">
        <f>13107+11374</f>
        <v>24481</v>
      </c>
      <c r="E144" s="17">
        <v>83995</v>
      </c>
      <c r="F144" s="18">
        <v>4247</v>
      </c>
      <c r="G144" s="19">
        <v>2781</v>
      </c>
      <c r="H144" s="20"/>
      <c r="I144" s="20"/>
      <c r="J144" s="33">
        <f t="shared" si="19"/>
        <v>59514</v>
      </c>
      <c r="K144" s="34">
        <f t="shared" si="20"/>
        <v>1648</v>
      </c>
      <c r="L144" s="34">
        <v>793</v>
      </c>
      <c r="M144" s="81">
        <f t="shared" ref="M144:O156" si="21">M143+C144</f>
        <v>1067545</v>
      </c>
      <c r="N144" s="82">
        <f t="shared" si="21"/>
        <v>468353</v>
      </c>
      <c r="O144" s="82">
        <f t="shared" si="21"/>
        <v>1567824</v>
      </c>
      <c r="P144" s="81">
        <f t="shared" si="17"/>
        <v>7540945</v>
      </c>
      <c r="Q144" s="81">
        <f t="shared" si="17"/>
        <v>3116604</v>
      </c>
      <c r="R144" s="81">
        <f t="shared" si="17"/>
        <v>10846882</v>
      </c>
      <c r="S144" s="86">
        <f>M144/'[21]2014'!M144-1</f>
        <v>-0.0249573008667696</v>
      </c>
      <c r="T144" s="86">
        <f>N144/'[21]2014'!N144-1</f>
        <v>0.315498543649779</v>
      </c>
      <c r="U144" s="86">
        <f>O144/'[21]2014'!O144-1</f>
        <v>0.0520621188950228</v>
      </c>
      <c r="V144" s="86">
        <f>P144/'[21]2014'!P144-1</f>
        <v>-0.00101882912811402</v>
      </c>
      <c r="W144" s="86">
        <f>Q144/'[21]2014'!Q144-1</f>
        <v>0.127447776021135</v>
      </c>
      <c r="X144" s="86">
        <f>R144/'[21]2014'!R144-1</f>
        <v>0.0306408614166276</v>
      </c>
      <c r="Y144" s="97">
        <f>Y143+0.3</f>
        <v>44.28</v>
      </c>
      <c r="Z144" s="54">
        <f>P144/10000-Y144</f>
        <v>709.8145</v>
      </c>
      <c r="AA144" s="38">
        <v>3890.092</v>
      </c>
      <c r="AB144" s="38">
        <f>Z144*10000/AA144</f>
        <v>1824.6727840884</v>
      </c>
      <c r="AC144" s="67">
        <f>AC135+SUM(K136:K144)/10000</f>
        <v>8.199336</v>
      </c>
      <c r="AD144" s="96">
        <f>AD135+SUM(L136:L144)/10000</f>
        <v>10.7036</v>
      </c>
      <c r="AF144" s="96">
        <f>AF135+SUM(J136:J144)/10000</f>
        <v>772.9979</v>
      </c>
    </row>
    <row r="145" ht="15" customHeight="1" spans="1:28">
      <c r="A145" s="21">
        <v>42144</v>
      </c>
      <c r="B145" s="21" t="s">
        <v>35</v>
      </c>
      <c r="C145" s="70">
        <v>56935</v>
      </c>
      <c r="D145" s="71">
        <v>23715</v>
      </c>
      <c r="E145" s="71">
        <v>83684</v>
      </c>
      <c r="F145" s="72">
        <v>4261</v>
      </c>
      <c r="G145" s="73">
        <v>2825</v>
      </c>
      <c r="H145" s="25">
        <v>1290</v>
      </c>
      <c r="I145" s="25">
        <v>758</v>
      </c>
      <c r="J145" s="74">
        <f t="shared" si="19"/>
        <v>59969</v>
      </c>
      <c r="K145" s="75">
        <f t="shared" si="20"/>
        <v>2241</v>
      </c>
      <c r="L145" s="75">
        <v>793</v>
      </c>
      <c r="M145" s="76">
        <v>1124483</v>
      </c>
      <c r="N145" s="77">
        <v>493139</v>
      </c>
      <c r="O145" s="77">
        <v>1651447</v>
      </c>
      <c r="P145" s="76">
        <f t="shared" si="17"/>
        <v>7597883</v>
      </c>
      <c r="Q145" s="76">
        <f t="shared" si="17"/>
        <v>3141390</v>
      </c>
      <c r="R145" s="76">
        <f t="shared" si="17"/>
        <v>10930505</v>
      </c>
      <c r="S145" s="83">
        <f>M145/'[21]2014'!M145-1</f>
        <v>-0.0228361729010864</v>
      </c>
      <c r="T145" s="83">
        <f>N145/'[21]2014'!N145-1</f>
        <v>0.312464902125168</v>
      </c>
      <c r="U145" s="83">
        <f>O145/'[21]2014'!O145-1</f>
        <v>0.0525602285814806</v>
      </c>
      <c r="V145" s="83">
        <f>P145/'[21]2014'!P145-1</f>
        <v>-0.000873791272906321</v>
      </c>
      <c r="W145" s="83">
        <f>Q145/'[21]2014'!Q145-1</f>
        <v>0.128369561855801</v>
      </c>
      <c r="X145" s="83">
        <f>R145/'[21]2014'!R145-1</f>
        <v>0.0308736486498034</v>
      </c>
      <c r="Y145" s="98">
        <v>44.628</v>
      </c>
      <c r="Z145" s="98">
        <f>P145/10000-Y145</f>
        <v>715.1603</v>
      </c>
      <c r="AA145" s="99">
        <v>3890.092</v>
      </c>
      <c r="AB145" s="55">
        <f>Z145*10000/AA145</f>
        <v>1838.41487553508</v>
      </c>
    </row>
    <row r="146" ht="15" customHeight="1" spans="1:28">
      <c r="A146" s="21">
        <v>42145</v>
      </c>
      <c r="B146" s="21" t="s">
        <v>36</v>
      </c>
      <c r="C146" s="22">
        <v>56332</v>
      </c>
      <c r="D146" s="8">
        <f>12728+11220</f>
        <v>23948</v>
      </c>
      <c r="E146" s="8">
        <v>82757</v>
      </c>
      <c r="F146" s="23">
        <v>4168</v>
      </c>
      <c r="G146" s="24">
        <v>2809</v>
      </c>
      <c r="H146" s="25">
        <v>1254</v>
      </c>
      <c r="I146" s="37">
        <v>720</v>
      </c>
      <c r="J146" s="9">
        <f t="shared" si="19"/>
        <v>58809</v>
      </c>
      <c r="K146" s="38">
        <f t="shared" si="20"/>
        <v>1684</v>
      </c>
      <c r="L146" s="38">
        <v>793</v>
      </c>
      <c r="M146" s="78">
        <f t="shared" si="21"/>
        <v>1180815</v>
      </c>
      <c r="N146" s="79">
        <f t="shared" si="21"/>
        <v>517087</v>
      </c>
      <c r="O146" s="79">
        <f t="shared" si="21"/>
        <v>1734204</v>
      </c>
      <c r="P146" s="80">
        <f t="shared" si="17"/>
        <v>7654215</v>
      </c>
      <c r="Q146" s="80">
        <f t="shared" si="17"/>
        <v>3165338</v>
      </c>
      <c r="R146" s="80">
        <f t="shared" si="17"/>
        <v>11013262</v>
      </c>
      <c r="S146" s="84">
        <f>M146/'[21]2014'!M146-1</f>
        <v>-0.0220580745025256</v>
      </c>
      <c r="T146" s="84">
        <f>N146/'[21]2014'!N146-1</f>
        <v>0.304964592702513</v>
      </c>
      <c r="U146" s="84">
        <f>O146/'[21]2014'!O146-1</f>
        <v>0.0512385151760011</v>
      </c>
      <c r="V146" s="85">
        <f>P146/'[21]2014'!P146-1</f>
        <v>-0.000913663199654691</v>
      </c>
      <c r="W146" s="85">
        <f>Q146/'[21]2014'!Q146-1</f>
        <v>0.128656246270528</v>
      </c>
      <c r="X146" s="85">
        <f>R146/'[21]2014'!R146-1</f>
        <v>0.0308333653973258</v>
      </c>
      <c r="Y146" s="97">
        <f>Y145+0.3</f>
        <v>44.928</v>
      </c>
      <c r="Z146" s="54">
        <f>P146/10000-Y146</f>
        <v>720.4935</v>
      </c>
      <c r="AA146" s="38">
        <v>3890.092</v>
      </c>
      <c r="AB146" s="38">
        <f>Z146*10000/AA146</f>
        <v>1852.12457700229</v>
      </c>
    </row>
    <row r="147" ht="15" customHeight="1" spans="1:28">
      <c r="A147" s="21">
        <v>42146</v>
      </c>
      <c r="B147" s="21" t="s">
        <v>37</v>
      </c>
      <c r="C147" s="22">
        <v>56784</v>
      </c>
      <c r="D147" s="8">
        <f>13704+11373</f>
        <v>25077</v>
      </c>
      <c r="E147" s="8">
        <v>84296</v>
      </c>
      <c r="F147" s="23">
        <v>4224</v>
      </c>
      <c r="G147" s="24">
        <v>2841</v>
      </c>
      <c r="H147" s="25">
        <v>1340</v>
      </c>
      <c r="I147" s="37">
        <v>829</v>
      </c>
      <c r="J147" s="9">
        <f t="shared" si="19"/>
        <v>59219</v>
      </c>
      <c r="K147" s="38">
        <f t="shared" si="20"/>
        <v>1642</v>
      </c>
      <c r="L147" s="38">
        <v>793</v>
      </c>
      <c r="M147" s="78">
        <f t="shared" si="21"/>
        <v>1237599</v>
      </c>
      <c r="N147" s="79">
        <f t="shared" si="21"/>
        <v>542164</v>
      </c>
      <c r="O147" s="79">
        <f t="shared" si="21"/>
        <v>1818500</v>
      </c>
      <c r="P147" s="80">
        <f t="shared" si="17"/>
        <v>7710999</v>
      </c>
      <c r="Q147" s="80">
        <f t="shared" si="17"/>
        <v>3190415</v>
      </c>
      <c r="R147" s="80">
        <f t="shared" si="17"/>
        <v>11097558</v>
      </c>
      <c r="S147" s="84">
        <f>M147/'[21]2014'!M147-1</f>
        <v>-0.0197895587227791</v>
      </c>
      <c r="T147" s="84">
        <f>N147/'[21]2014'!N147-1</f>
        <v>0.29731928568523</v>
      </c>
      <c r="U147" s="84">
        <f>O147/'[21]2014'!O147-1</f>
        <v>0.0513699897320148</v>
      </c>
      <c r="V147" s="85">
        <f>P147/'[21]2014'!P147-1</f>
        <v>-0.00069356230160067</v>
      </c>
      <c r="W147" s="85">
        <f>Q147/'[21]2014'!Q147-1</f>
        <v>0.128877273069366</v>
      </c>
      <c r="X147" s="85">
        <f>R147/'[21]2014'!R147-1</f>
        <v>0.0310060945905444</v>
      </c>
      <c r="Y147" s="97"/>
      <c r="Z147" s="54"/>
      <c r="AA147" s="38"/>
      <c r="AB147" s="38"/>
    </row>
    <row r="148" ht="15" customHeight="1" spans="1:28">
      <c r="A148" s="21">
        <v>42147</v>
      </c>
      <c r="B148" s="21" t="s">
        <v>38</v>
      </c>
      <c r="C148" s="22">
        <v>57233</v>
      </c>
      <c r="D148" s="8">
        <f>13690+11176</f>
        <v>24866</v>
      </c>
      <c r="E148" s="8">
        <v>84369</v>
      </c>
      <c r="F148" s="23">
        <v>4236</v>
      </c>
      <c r="G148" s="24">
        <v>2932</v>
      </c>
      <c r="H148" s="25">
        <v>1340</v>
      </c>
      <c r="I148" s="37">
        <v>836</v>
      </c>
      <c r="J148" s="9">
        <f t="shared" si="19"/>
        <v>59503</v>
      </c>
      <c r="K148" s="38">
        <f t="shared" si="20"/>
        <v>1477</v>
      </c>
      <c r="L148" s="38">
        <v>793</v>
      </c>
      <c r="M148" s="78">
        <f t="shared" si="21"/>
        <v>1294832</v>
      </c>
      <c r="N148" s="79">
        <f t="shared" si="21"/>
        <v>567030</v>
      </c>
      <c r="O148" s="79">
        <f t="shared" si="21"/>
        <v>1902869</v>
      </c>
      <c r="P148" s="80">
        <f t="shared" si="17"/>
        <v>7768232</v>
      </c>
      <c r="Q148" s="80">
        <f t="shared" si="17"/>
        <v>3215281</v>
      </c>
      <c r="R148" s="80">
        <f t="shared" si="17"/>
        <v>11181927</v>
      </c>
      <c r="S148" s="84">
        <f>M148/'[21]2014'!M148-1</f>
        <v>-0.018237374752158</v>
      </c>
      <c r="T148" s="84">
        <f>N148/'[21]2014'!N148-1</f>
        <v>0.291902002911752</v>
      </c>
      <c r="U148" s="84">
        <f>O148/'[21]2014'!O148-1</f>
        <v>0.051629557743577</v>
      </c>
      <c r="V148" s="85">
        <f>P148/'[21]2014'!P148-1</f>
        <v>-0.000568502320605346</v>
      </c>
      <c r="W148" s="85">
        <f>Q148/'[21]2014'!Q148-1</f>
        <v>0.129284544683991</v>
      </c>
      <c r="X148" s="85">
        <f>R148/'[21]2014'!R148-1</f>
        <v>0.0311992694509522</v>
      </c>
      <c r="Y148" s="97"/>
      <c r="Z148" s="54"/>
      <c r="AA148" s="38"/>
      <c r="AB148" s="38"/>
    </row>
    <row r="149" ht="15" customHeight="1" spans="1:28">
      <c r="A149" s="21">
        <v>42148</v>
      </c>
      <c r="B149" s="21" t="s">
        <v>1</v>
      </c>
      <c r="C149" s="22">
        <v>53246</v>
      </c>
      <c r="D149" s="8">
        <f>13679+11232</f>
        <v>24911</v>
      </c>
      <c r="E149" s="8">
        <v>80190</v>
      </c>
      <c r="F149" s="23">
        <v>3950</v>
      </c>
      <c r="G149" s="24">
        <v>2871</v>
      </c>
      <c r="H149" s="25">
        <v>1322</v>
      </c>
      <c r="I149" s="37">
        <v>837</v>
      </c>
      <c r="J149" s="9">
        <f t="shared" si="19"/>
        <v>55279</v>
      </c>
      <c r="K149" s="38">
        <f t="shared" si="20"/>
        <v>1240</v>
      </c>
      <c r="L149" s="38">
        <v>793</v>
      </c>
      <c r="M149" s="78">
        <f t="shared" si="21"/>
        <v>1348078</v>
      </c>
      <c r="N149" s="79">
        <f t="shared" si="21"/>
        <v>591941</v>
      </c>
      <c r="O149" s="79">
        <f t="shared" si="21"/>
        <v>1983059</v>
      </c>
      <c r="P149" s="80">
        <f t="shared" si="17"/>
        <v>7821478</v>
      </c>
      <c r="Q149" s="80">
        <f t="shared" si="17"/>
        <v>3240192</v>
      </c>
      <c r="R149" s="80">
        <f t="shared" si="17"/>
        <v>11262117</v>
      </c>
      <c r="S149" s="84">
        <f>M149/'[21]2014'!M149-1</f>
        <v>-0.0197115297214556</v>
      </c>
      <c r="T149" s="84">
        <f>N149/'[21]2014'!N149-1</f>
        <v>0.290163051888468</v>
      </c>
      <c r="U149" s="84">
        <f>O149/'[21]2014'!O149-1</f>
        <v>0.0507118983886385</v>
      </c>
      <c r="V149" s="85">
        <f>P149/'[21]2014'!P149-1</f>
        <v>-0.000954504660909961</v>
      </c>
      <c r="W149" s="85">
        <f>Q149/'[21]2014'!Q149-1</f>
        <v>0.130134968834713</v>
      </c>
      <c r="X149" s="85">
        <f>R149/'[21]2014'!R149-1</f>
        <v>0.031186411976414</v>
      </c>
      <c r="Y149" s="97">
        <f>Y146+0.3*3</f>
        <v>45.828</v>
      </c>
      <c r="Z149" s="54">
        <f>P149/10000-Y149</f>
        <v>736.3198</v>
      </c>
      <c r="AA149" s="38">
        <v>3890.092</v>
      </c>
      <c r="AB149" s="38">
        <f>Z149*10000/AA149</f>
        <v>1892.80819065462</v>
      </c>
    </row>
    <row r="150" ht="15" customHeight="1" spans="1:28">
      <c r="A150" s="21">
        <v>42149</v>
      </c>
      <c r="B150" s="21" t="s">
        <v>39</v>
      </c>
      <c r="C150" s="22">
        <v>57045</v>
      </c>
      <c r="D150" s="8">
        <f>13915+11083</f>
        <v>24998</v>
      </c>
      <c r="E150" s="8">
        <v>84715</v>
      </c>
      <c r="F150" s="23">
        <v>4293</v>
      </c>
      <c r="G150" s="24">
        <v>2812</v>
      </c>
      <c r="H150" s="25">
        <v>1346</v>
      </c>
      <c r="I150" s="37">
        <v>794</v>
      </c>
      <c r="J150" s="9">
        <f t="shared" si="19"/>
        <v>59717</v>
      </c>
      <c r="K150" s="38">
        <f t="shared" si="20"/>
        <v>1879</v>
      </c>
      <c r="L150" s="38">
        <v>793</v>
      </c>
      <c r="M150" s="78">
        <f t="shared" si="21"/>
        <v>1405123</v>
      </c>
      <c r="N150" s="79">
        <f t="shared" si="21"/>
        <v>616939</v>
      </c>
      <c r="O150" s="79">
        <f t="shared" si="21"/>
        <v>2067774</v>
      </c>
      <c r="P150" s="80">
        <f t="shared" si="17"/>
        <v>7878523</v>
      </c>
      <c r="Q150" s="80">
        <f t="shared" si="17"/>
        <v>3265190</v>
      </c>
      <c r="R150" s="80">
        <f t="shared" si="17"/>
        <v>11346832</v>
      </c>
      <c r="S150" s="84">
        <f>M150/'[21]2014'!M150-1</f>
        <v>-0.0184158408924997</v>
      </c>
      <c r="T150" s="84">
        <f>N150/'[21]2014'!N150-1</f>
        <v>0.292530446606091</v>
      </c>
      <c r="U150" s="84">
        <f>O150/'[21]2014'!O150-1</f>
        <v>0.0521694971830526</v>
      </c>
      <c r="V150" s="85">
        <f>P150/'[21]2014'!P150-1</f>
        <v>-0.000853209390067278</v>
      </c>
      <c r="W150" s="85">
        <f>Q150/'[21]2014'!Q150-1</f>
        <v>0.131552533852678</v>
      </c>
      <c r="X150" s="85">
        <f>R150/'[21]2014'!R150-1</f>
        <v>0.0315851221661791</v>
      </c>
      <c r="Y150" s="97"/>
      <c r="Z150" s="54"/>
      <c r="AA150" s="38"/>
      <c r="AB150" s="38"/>
    </row>
    <row r="151" ht="15" customHeight="1" spans="1:32">
      <c r="A151" s="21">
        <v>42150</v>
      </c>
      <c r="B151" s="15" t="s">
        <v>34</v>
      </c>
      <c r="C151" s="16">
        <v>58073</v>
      </c>
      <c r="D151" s="17">
        <v>25488</v>
      </c>
      <c r="E151" s="17">
        <v>86173</v>
      </c>
      <c r="F151" s="18">
        <v>4363</v>
      </c>
      <c r="G151" s="19">
        <v>2948</v>
      </c>
      <c r="H151" s="20">
        <v>1373</v>
      </c>
      <c r="I151" s="20">
        <v>840</v>
      </c>
      <c r="J151" s="33">
        <f t="shared" si="19"/>
        <v>60685</v>
      </c>
      <c r="K151" s="34">
        <f t="shared" si="20"/>
        <v>1819</v>
      </c>
      <c r="L151" s="34">
        <v>793</v>
      </c>
      <c r="M151" s="81">
        <f t="shared" si="21"/>
        <v>1463196</v>
      </c>
      <c r="N151" s="82">
        <f t="shared" si="21"/>
        <v>642427</v>
      </c>
      <c r="O151" s="82">
        <f t="shared" si="21"/>
        <v>2153947</v>
      </c>
      <c r="P151" s="81">
        <f t="shared" si="17"/>
        <v>7936596</v>
      </c>
      <c r="Q151" s="81">
        <f t="shared" si="17"/>
        <v>3290678</v>
      </c>
      <c r="R151" s="81">
        <f t="shared" si="17"/>
        <v>11433005</v>
      </c>
      <c r="S151" s="86">
        <f>M151/'[21]2014'!M151-1</f>
        <v>-0.0168206640241522</v>
      </c>
      <c r="T151" s="86">
        <f>N151/'[21]2014'!N151-1</f>
        <v>0.28828082699982</v>
      </c>
      <c r="U151" s="86">
        <f>O151/'[21]2014'!O151-1</f>
        <v>0.0524333845556242</v>
      </c>
      <c r="V151" s="86">
        <f>P151/'[21]2014'!P151-1</f>
        <v>-0.000679775063614052</v>
      </c>
      <c r="W151" s="86">
        <f>Q151/'[21]2014'!Q151-1</f>
        <v>0.1320063333885</v>
      </c>
      <c r="X151" s="86">
        <f>R151/'[21]2014'!R151-1</f>
        <v>0.0317850519032326</v>
      </c>
      <c r="Y151" s="100">
        <f>Y145+0.35*6</f>
        <v>46.728</v>
      </c>
      <c r="Z151" s="53">
        <f>P151/10000-Y151</f>
        <v>746.9316</v>
      </c>
      <c r="AA151" s="34">
        <v>3890.092</v>
      </c>
      <c r="AB151" s="34">
        <f>Z151*10000/AA151</f>
        <v>1920.08723701136</v>
      </c>
      <c r="AC151" s="67">
        <f>AC144+SUM(K145:K151)/10000</f>
        <v>9.397536</v>
      </c>
      <c r="AD151" s="96">
        <f>AD144+SUM(L145:L151)/10000</f>
        <v>11.2587</v>
      </c>
      <c r="AF151" s="96">
        <f>AF144+SUM(J145:J151)/10000</f>
        <v>814.316</v>
      </c>
    </row>
    <row r="152" ht="15" customHeight="1" spans="1:28">
      <c r="A152" s="21">
        <v>42151</v>
      </c>
      <c r="B152" s="21" t="s">
        <v>35</v>
      </c>
      <c r="C152" s="70">
        <v>58644</v>
      </c>
      <c r="D152" s="71">
        <f>14800+11307</f>
        <v>26107</v>
      </c>
      <c r="E152" s="71">
        <v>86616</v>
      </c>
      <c r="F152" s="72">
        <v>4346</v>
      </c>
      <c r="G152" s="73">
        <v>2947</v>
      </c>
      <c r="H152" s="25">
        <v>1388</v>
      </c>
      <c r="I152" s="25">
        <v>855</v>
      </c>
      <c r="J152" s="74">
        <f t="shared" si="19"/>
        <v>60509</v>
      </c>
      <c r="K152" s="75">
        <f t="shared" si="20"/>
        <v>1072</v>
      </c>
      <c r="L152" s="75">
        <v>793</v>
      </c>
      <c r="M152" s="76">
        <f t="shared" si="21"/>
        <v>1521840</v>
      </c>
      <c r="N152" s="77">
        <f t="shared" si="21"/>
        <v>668534</v>
      </c>
      <c r="O152" s="77">
        <f t="shared" si="21"/>
        <v>2240563</v>
      </c>
      <c r="P152" s="76">
        <f t="shared" si="17"/>
        <v>7995240</v>
      </c>
      <c r="Q152" s="76">
        <f t="shared" si="17"/>
        <v>3316785</v>
      </c>
      <c r="R152" s="76">
        <f t="shared" si="17"/>
        <v>11519621</v>
      </c>
      <c r="S152" s="83">
        <f>M152/'[21]2014'!M152-1</f>
        <v>-0.0157070094591317</v>
      </c>
      <c r="T152" s="83">
        <f>N152/'[21]2014'!N152-1</f>
        <v>0.280576642014186</v>
      </c>
      <c r="U152" s="83">
        <f>O152/'[21]2014'!O152-1</f>
        <v>0.0514375734413539</v>
      </c>
      <c r="V152" s="83">
        <f>P152/'[21]2014'!P152-1</f>
        <v>-0.000581354187664695</v>
      </c>
      <c r="W152" s="83">
        <f>Q152/'[21]2014'!Q152-1</f>
        <v>0.131881012313254</v>
      </c>
      <c r="X152" s="83">
        <f>R152/'[21]2014'!R152-1</f>
        <v>0.0317509259570612</v>
      </c>
      <c r="Y152" s="89"/>
      <c r="Z152" s="101"/>
      <c r="AA152" s="89"/>
      <c r="AB152" s="75"/>
    </row>
    <row r="153" ht="15" customHeight="1" spans="1:28">
      <c r="A153" s="21">
        <v>42152</v>
      </c>
      <c r="B153" s="21" t="s">
        <v>36</v>
      </c>
      <c r="C153" s="22">
        <v>59800</v>
      </c>
      <c r="D153" s="8">
        <v>25235</v>
      </c>
      <c r="E153" s="8">
        <v>87247</v>
      </c>
      <c r="F153" s="23">
        <v>4426</v>
      </c>
      <c r="G153" s="24">
        <v>2980</v>
      </c>
      <c r="H153" s="25">
        <v>1363</v>
      </c>
      <c r="I153" s="37">
        <v>788</v>
      </c>
      <c r="J153" s="9">
        <f t="shared" si="19"/>
        <v>62012</v>
      </c>
      <c r="K153" s="38">
        <f t="shared" si="20"/>
        <v>1419</v>
      </c>
      <c r="L153" s="38">
        <v>793</v>
      </c>
      <c r="M153" s="78">
        <f t="shared" si="21"/>
        <v>1581640</v>
      </c>
      <c r="N153" s="79">
        <f t="shared" si="21"/>
        <v>693769</v>
      </c>
      <c r="O153" s="79">
        <f t="shared" si="21"/>
        <v>2327810</v>
      </c>
      <c r="P153" s="80">
        <f t="shared" si="17"/>
        <v>8055040</v>
      </c>
      <c r="Q153" s="80">
        <f t="shared" si="17"/>
        <v>3342020</v>
      </c>
      <c r="R153" s="80">
        <f t="shared" si="17"/>
        <v>11606868</v>
      </c>
      <c r="S153" s="84">
        <f>M153/'[21]2014'!M153-1</f>
        <v>-0.0152159484159549</v>
      </c>
      <c r="T153" s="84">
        <f>N153/'[21]2014'!N153-1</f>
        <v>0.270804445266692</v>
      </c>
      <c r="U153" s="84">
        <f>O153/'[21]2014'!O153-1</f>
        <v>0.0497584636919879</v>
      </c>
      <c r="V153" s="85">
        <f>P153/'[21]2014'!P153-1</f>
        <v>-0.00059601279343402</v>
      </c>
      <c r="W153" s="85">
        <f>Q153/'[21]2014'!Q153-1</f>
        <v>0.131276699045065</v>
      </c>
      <c r="X153" s="85">
        <f>R153/'[21]2014'!R153-1</f>
        <v>0.0315713885345918</v>
      </c>
      <c r="Y153" s="97">
        <f>Y146+0.3*7</f>
        <v>47.028</v>
      </c>
      <c r="Z153" s="54">
        <f>P153/10000-Y153</f>
        <v>758.476</v>
      </c>
      <c r="AA153" s="38">
        <v>3890.092</v>
      </c>
      <c r="AB153" s="38">
        <f>Z153*10000/AA153</f>
        <v>1949.76365597523</v>
      </c>
    </row>
    <row r="154" ht="15" customHeight="1" spans="1:28">
      <c r="A154" s="21">
        <v>42153</v>
      </c>
      <c r="B154" s="21" t="s">
        <v>37</v>
      </c>
      <c r="C154" s="22">
        <v>60690</v>
      </c>
      <c r="D154" s="8">
        <v>24834</v>
      </c>
      <c r="E154" s="8">
        <v>87973</v>
      </c>
      <c r="F154" s="23">
        <v>4431</v>
      </c>
      <c r="G154" s="24">
        <v>2944</v>
      </c>
      <c r="H154" s="25"/>
      <c r="I154" s="37"/>
      <c r="J154" s="9">
        <f t="shared" si="19"/>
        <v>63139</v>
      </c>
      <c r="K154" s="38">
        <f t="shared" si="20"/>
        <v>1656</v>
      </c>
      <c r="L154" s="38">
        <v>793</v>
      </c>
      <c r="M154" s="78">
        <f t="shared" si="21"/>
        <v>1642330</v>
      </c>
      <c r="N154" s="79">
        <f t="shared" si="21"/>
        <v>718603</v>
      </c>
      <c r="O154" s="79">
        <f t="shared" si="21"/>
        <v>2415783</v>
      </c>
      <c r="P154" s="80">
        <f t="shared" si="17"/>
        <v>8115730</v>
      </c>
      <c r="Q154" s="80">
        <f t="shared" si="17"/>
        <v>3366854</v>
      </c>
      <c r="R154" s="80">
        <f t="shared" si="17"/>
        <v>11694841</v>
      </c>
      <c r="S154" s="84">
        <f>M154/'[21]2014'!M154-1</f>
        <v>-0.0145111379269168</v>
      </c>
      <c r="T154" s="84">
        <f>N154/'[21]2014'!N154-1</f>
        <v>0.260123381451398</v>
      </c>
      <c r="U154" s="84">
        <f>O154/'[21]2014'!O154-1</f>
        <v>0.0480097522249432</v>
      </c>
      <c r="V154" s="85">
        <f>P154/'[21]2014'!P154-1</f>
        <v>-0.000560174118258705</v>
      </c>
      <c r="W154" s="85">
        <f>Q154/'[21]2014'!Q154-1</f>
        <v>0.130371684811312</v>
      </c>
      <c r="X154" s="85">
        <f>R154/'[21]2014'!R154-1</f>
        <v>0.0313564709246525</v>
      </c>
      <c r="Y154" s="97"/>
      <c r="Z154" s="54"/>
      <c r="AA154" s="38"/>
      <c r="AB154" s="38"/>
    </row>
    <row r="155" ht="15" customHeight="1" spans="1:28">
      <c r="A155" s="21">
        <v>42154</v>
      </c>
      <c r="B155" s="21" t="s">
        <v>38</v>
      </c>
      <c r="C155" s="22">
        <v>58477</v>
      </c>
      <c r="D155" s="8">
        <v>23867</v>
      </c>
      <c r="E155" s="8">
        <v>84443</v>
      </c>
      <c r="F155" s="23">
        <v>4259</v>
      </c>
      <c r="G155" s="24">
        <v>2949</v>
      </c>
      <c r="H155" s="25"/>
      <c r="I155" s="37"/>
      <c r="J155" s="9">
        <f t="shared" si="19"/>
        <v>60576</v>
      </c>
      <c r="K155" s="38">
        <f t="shared" si="20"/>
        <v>1306</v>
      </c>
      <c r="L155" s="38">
        <v>793</v>
      </c>
      <c r="M155" s="78">
        <f t="shared" si="21"/>
        <v>1700807</v>
      </c>
      <c r="N155" s="79">
        <f t="shared" si="21"/>
        <v>742470</v>
      </c>
      <c r="O155" s="79">
        <f t="shared" si="21"/>
        <v>2500226</v>
      </c>
      <c r="P155" s="80">
        <f t="shared" si="17"/>
        <v>8174207</v>
      </c>
      <c r="Q155" s="80">
        <f t="shared" si="17"/>
        <v>3390721</v>
      </c>
      <c r="R155" s="80">
        <f t="shared" si="17"/>
        <v>11779284</v>
      </c>
      <c r="S155" s="84">
        <f>M155/'[21]2014'!M155-1</f>
        <v>-0.0133265343179143</v>
      </c>
      <c r="T155" s="84">
        <f>N155/'[21]2014'!N155-1</f>
        <v>0.247867614804258</v>
      </c>
      <c r="U155" s="84">
        <f>O155/'[21]2014'!O155-1</f>
        <v>0.0451615276539374</v>
      </c>
      <c r="V155" s="85">
        <f>P155/'[21]2014'!P155-1</f>
        <v>-0.000408162852528093</v>
      </c>
      <c r="W155" s="85">
        <f>Q155/'[21]2014'!Q155-1</f>
        <v>0.12901193071898</v>
      </c>
      <c r="X155" s="85">
        <f>R155/'[21]2014'!R155-1</f>
        <v>0.0308870828259669</v>
      </c>
      <c r="Y155" s="97"/>
      <c r="Z155" s="54"/>
      <c r="AA155" s="38"/>
      <c r="AB155" s="38"/>
    </row>
    <row r="156" s="1" customFormat="1" ht="15" customHeight="1" spans="1:32">
      <c r="A156" s="26">
        <v>42155</v>
      </c>
      <c r="B156" s="26" t="s">
        <v>1</v>
      </c>
      <c r="C156" s="27">
        <v>51901</v>
      </c>
      <c r="D156" s="28">
        <v>24236</v>
      </c>
      <c r="E156" s="28">
        <v>77394</v>
      </c>
      <c r="F156" s="29">
        <v>3769</v>
      </c>
      <c r="G156" s="30">
        <v>2799</v>
      </c>
      <c r="H156" s="31"/>
      <c r="I156" s="31"/>
      <c r="J156" s="43">
        <f t="shared" si="19"/>
        <v>53158</v>
      </c>
      <c r="K156" s="44">
        <f t="shared" si="20"/>
        <v>464</v>
      </c>
      <c r="L156" s="44">
        <v>793</v>
      </c>
      <c r="M156" s="91">
        <f t="shared" si="21"/>
        <v>1752708</v>
      </c>
      <c r="N156" s="92">
        <f t="shared" si="21"/>
        <v>766706</v>
      </c>
      <c r="O156" s="92">
        <f t="shared" si="21"/>
        <v>2577620</v>
      </c>
      <c r="P156" s="91">
        <f t="shared" si="17"/>
        <v>8226108</v>
      </c>
      <c r="Q156" s="91">
        <f t="shared" si="17"/>
        <v>3414957</v>
      </c>
      <c r="R156" s="91">
        <f t="shared" si="17"/>
        <v>11856678</v>
      </c>
      <c r="S156" s="93">
        <f>M156/'[21]2014'!M156-1</f>
        <v>-0.0161053285116521</v>
      </c>
      <c r="T156" s="93">
        <f>N156/'[21]2014'!N156-1</f>
        <v>0.245839785639887</v>
      </c>
      <c r="U156" s="93">
        <f>O156/'[21]2014'!O156-1</f>
        <v>0.0421316958645368</v>
      </c>
      <c r="V156" s="93">
        <f>P156/'[21]2014'!P156-1</f>
        <v>-0.00109964661941375</v>
      </c>
      <c r="W156" s="93">
        <f>Q156/'[21]2014'!Q156-1</f>
        <v>0.129401957432023</v>
      </c>
      <c r="X156" s="93">
        <f>R156/'[21]2014'!R156-1</f>
        <v>0.0303366064938033</v>
      </c>
      <c r="Y156" s="102">
        <v>47.5724</v>
      </c>
      <c r="Z156" s="56">
        <f>P156/10000-Y156</f>
        <v>775.0384</v>
      </c>
      <c r="AA156" s="44">
        <v>3890.092</v>
      </c>
      <c r="AB156" s="44">
        <f>Z156*10000/AA156</f>
        <v>1992.33951279301</v>
      </c>
      <c r="AC156" s="90">
        <v>9.91</v>
      </c>
      <c r="AD156" s="1">
        <v>11.65</v>
      </c>
      <c r="AF156" s="1">
        <v>844.1721</v>
      </c>
    </row>
    <row r="157" ht="15" customHeight="1" spans="1:28">
      <c r="A157" s="21">
        <v>42156</v>
      </c>
      <c r="B157" s="21" t="s">
        <v>39</v>
      </c>
      <c r="C157" s="22">
        <v>50779</v>
      </c>
      <c r="D157" s="8">
        <v>28315</v>
      </c>
      <c r="E157" s="8">
        <v>81277</v>
      </c>
      <c r="F157" s="23">
        <v>4038</v>
      </c>
      <c r="G157" s="24">
        <v>2637</v>
      </c>
      <c r="H157" s="25"/>
      <c r="I157" s="37"/>
      <c r="J157" s="9">
        <f t="shared" si="19"/>
        <v>52962</v>
      </c>
      <c r="K157" s="38">
        <f t="shared" si="20"/>
        <v>1390</v>
      </c>
      <c r="L157" s="38">
        <v>793</v>
      </c>
      <c r="M157" s="78">
        <f>C157</f>
        <v>50779</v>
      </c>
      <c r="N157" s="79">
        <f>D157</f>
        <v>28315</v>
      </c>
      <c r="O157" s="79">
        <f>E157</f>
        <v>81277</v>
      </c>
      <c r="P157" s="80">
        <f>P$156+M157</f>
        <v>8276887</v>
      </c>
      <c r="Q157" s="80">
        <f>Q$156+N157</f>
        <v>3443272</v>
      </c>
      <c r="R157" s="80">
        <f>R$156+O157</f>
        <v>11937955</v>
      </c>
      <c r="S157" s="84">
        <f>M157/'[21]2014'!M157-1</f>
        <v>0.00552475247524753</v>
      </c>
      <c r="T157" s="84">
        <f>N157/'[21]2014'!N157-1</f>
        <v>0.618</v>
      </c>
      <c r="U157" s="84">
        <f>O157/'[21]2014'!O157-1</f>
        <v>0.158865045982748</v>
      </c>
      <c r="V157" s="85">
        <f>P157/'[21]2014'!P157-1</f>
        <v>-0.00105927180291554</v>
      </c>
      <c r="W157" s="85">
        <f>Q157/'[21]2014'!Q157-1</f>
        <v>0.132213513668236</v>
      </c>
      <c r="X157" s="85">
        <f>R157/'[21]2014'!R157-1</f>
        <v>0.0311152009154803</v>
      </c>
      <c r="Y157" s="97"/>
      <c r="Z157" s="54"/>
      <c r="AA157" s="38"/>
      <c r="AB157" s="38"/>
    </row>
    <row r="158" ht="15" customHeight="1" spans="1:32">
      <c r="A158" s="21">
        <v>42157</v>
      </c>
      <c r="B158" s="15" t="s">
        <v>34</v>
      </c>
      <c r="C158" s="16">
        <v>55642</v>
      </c>
      <c r="D158" s="17">
        <v>29374</v>
      </c>
      <c r="E158" s="17">
        <v>86821</v>
      </c>
      <c r="F158" s="18">
        <v>4460</v>
      </c>
      <c r="G158" s="19">
        <v>2833</v>
      </c>
      <c r="H158" s="20"/>
      <c r="I158" s="20"/>
      <c r="J158" s="33">
        <f t="shared" si="19"/>
        <v>57447</v>
      </c>
      <c r="K158" s="34">
        <f t="shared" si="20"/>
        <v>1012</v>
      </c>
      <c r="L158" s="34">
        <v>793</v>
      </c>
      <c r="M158" s="81">
        <f t="shared" ref="M158:O173" si="22">M157+C158</f>
        <v>106421</v>
      </c>
      <c r="N158" s="82">
        <f t="shared" si="22"/>
        <v>57689</v>
      </c>
      <c r="O158" s="82">
        <f t="shared" si="22"/>
        <v>168098</v>
      </c>
      <c r="P158" s="81">
        <f t="shared" ref="P158:R186" si="23">P$156+M158</f>
        <v>8332529</v>
      </c>
      <c r="Q158" s="81">
        <f t="shared" si="23"/>
        <v>3472646</v>
      </c>
      <c r="R158" s="81">
        <f t="shared" si="23"/>
        <v>12024776</v>
      </c>
      <c r="S158" s="86">
        <f>M158/'[21]2014'!M158-1</f>
        <v>0.185089086859688</v>
      </c>
      <c r="T158" s="86">
        <f>N158/'[21]2014'!N158-1</f>
        <v>0.681895043731778</v>
      </c>
      <c r="U158" s="86">
        <f>O158/'[21]2014'!O158-1</f>
        <v>0.309837534577473</v>
      </c>
      <c r="V158" s="86">
        <f>P158/'[21]2014'!P158-1</f>
        <v>0.000908740291130528</v>
      </c>
      <c r="W158" s="86">
        <f>Q158/'[21]2014'!Q158-1</f>
        <v>0.135599014004675</v>
      </c>
      <c r="X158" s="86">
        <f>R158/'[21]2014'!R158-1</f>
        <v>0.0334192828764015</v>
      </c>
      <c r="Y158" s="100">
        <v>48.14</v>
      </c>
      <c r="Z158" s="53">
        <f>P158/10000-Y158</f>
        <v>785.1129</v>
      </c>
      <c r="AA158" s="34">
        <v>3890.092</v>
      </c>
      <c r="AB158" s="34">
        <f>Z158*10000/AA158</f>
        <v>2018.23735788254</v>
      </c>
      <c r="AC158" s="67">
        <f>AC156+SUM(K157:K158)/10000</f>
        <v>10.1502</v>
      </c>
      <c r="AD158" s="96">
        <f>AD156+SUM(L157:L158)/10000</f>
        <v>11.8086</v>
      </c>
      <c r="AF158" s="96">
        <f>AF156+SUM(J157:J158)/10000</f>
        <v>855.213</v>
      </c>
    </row>
    <row r="159" ht="15" customHeight="1" spans="1:28">
      <c r="A159" s="21">
        <v>42158</v>
      </c>
      <c r="B159" s="21" t="s">
        <v>35</v>
      </c>
      <c r="C159" s="70">
        <v>53007</v>
      </c>
      <c r="D159" s="71">
        <v>29042</v>
      </c>
      <c r="E159" s="71">
        <v>84138</v>
      </c>
      <c r="F159" s="72">
        <v>4165</v>
      </c>
      <c r="G159" s="73">
        <v>2790</v>
      </c>
      <c r="H159" s="25"/>
      <c r="I159" s="25"/>
      <c r="J159" s="74">
        <f t="shared" si="19"/>
        <v>55096</v>
      </c>
      <c r="K159" s="75">
        <f t="shared" si="20"/>
        <v>1296</v>
      </c>
      <c r="L159" s="75">
        <v>793</v>
      </c>
      <c r="M159" s="76">
        <f t="shared" si="22"/>
        <v>159428</v>
      </c>
      <c r="N159" s="77">
        <f t="shared" si="22"/>
        <v>86731</v>
      </c>
      <c r="O159" s="77">
        <f t="shared" si="22"/>
        <v>252236</v>
      </c>
      <c r="P159" s="76">
        <f t="shared" si="23"/>
        <v>8385536</v>
      </c>
      <c r="Q159" s="76">
        <f t="shared" si="23"/>
        <v>3501688</v>
      </c>
      <c r="R159" s="76">
        <f t="shared" si="23"/>
        <v>12108914</v>
      </c>
      <c r="S159" s="83">
        <f>M159/'[21]2014'!M159-1</f>
        <v>0.131015891032917</v>
      </c>
      <c r="T159" s="83">
        <f>N159/'[21]2014'!N159-1</f>
        <v>0.571213768115942</v>
      </c>
      <c r="U159" s="83">
        <f>O159/'[21]2014'!O159-1</f>
        <v>0.242327677494028</v>
      </c>
      <c r="V159" s="83">
        <f>P159/'[21]2014'!P159-1</f>
        <v>0.00112369757879072</v>
      </c>
      <c r="W159" s="83">
        <f>Q159/'[21]2014'!Q159-1</f>
        <v>0.137323007824161</v>
      </c>
      <c r="X159" s="83">
        <f>R159/'[21]2014'!R159-1</f>
        <v>0.0340120426292045</v>
      </c>
      <c r="Y159" s="89"/>
      <c r="Z159" s="101"/>
      <c r="AA159" s="89"/>
      <c r="AB159" s="75"/>
    </row>
    <row r="160" ht="15" customHeight="1" spans="1:28">
      <c r="A160" s="21">
        <v>42159</v>
      </c>
      <c r="B160" s="21" t="s">
        <v>36</v>
      </c>
      <c r="C160" s="22">
        <v>50105</v>
      </c>
      <c r="D160" s="8">
        <f>18316+10796</f>
        <v>29112</v>
      </c>
      <c r="E160" s="8">
        <v>81914</v>
      </c>
      <c r="F160" s="23">
        <v>4165</v>
      </c>
      <c r="G160" s="24">
        <v>2790</v>
      </c>
      <c r="H160" s="25"/>
      <c r="I160" s="37"/>
      <c r="J160" s="9">
        <f t="shared" si="19"/>
        <v>52802</v>
      </c>
      <c r="K160" s="38">
        <f t="shared" si="20"/>
        <v>1904</v>
      </c>
      <c r="L160" s="38">
        <v>793</v>
      </c>
      <c r="M160" s="78">
        <f t="shared" si="22"/>
        <v>209533</v>
      </c>
      <c r="N160" s="79">
        <f t="shared" si="22"/>
        <v>115843</v>
      </c>
      <c r="O160" s="79">
        <f t="shared" si="22"/>
        <v>334150</v>
      </c>
      <c r="P160" s="80">
        <f t="shared" si="23"/>
        <v>8435641</v>
      </c>
      <c r="Q160" s="80">
        <f t="shared" si="23"/>
        <v>3530800</v>
      </c>
      <c r="R160" s="80">
        <f t="shared" si="23"/>
        <v>12190828</v>
      </c>
      <c r="S160" s="84">
        <f>M160/'[21]2014'!M160-1</f>
        <v>0.064916649725554</v>
      </c>
      <c r="T160" s="84">
        <f>N160/'[21]2014'!N160-1</f>
        <v>0.468225602027883</v>
      </c>
      <c r="U160" s="84">
        <f>O160/'[21]2014'!O160-1</f>
        <v>0.171079608179859</v>
      </c>
      <c r="V160" s="85">
        <f>P160/'[21]2014'!P160-1</f>
        <v>0.000440851945700205</v>
      </c>
      <c r="W160" s="85">
        <f>Q160/'[21]2014'!Q160-1</f>
        <v>0.138018377636643</v>
      </c>
      <c r="X160" s="85">
        <f>R160/'[21]2014'!R160-1</f>
        <v>0.0337419489436781</v>
      </c>
      <c r="Y160" s="97">
        <f>Y156+0.28*4</f>
        <v>48.6924</v>
      </c>
      <c r="Z160" s="54">
        <f>P160/10000-Y160</f>
        <v>794.8717</v>
      </c>
      <c r="AA160" s="38">
        <v>3890.092</v>
      </c>
      <c r="AB160" s="38">
        <f>Z160*10000/AA160</f>
        <v>2043.32365404212</v>
      </c>
    </row>
    <row r="161" ht="15" customHeight="1" spans="1:28">
      <c r="A161" s="21">
        <v>42160</v>
      </c>
      <c r="B161" s="21" t="s">
        <v>37</v>
      </c>
      <c r="C161" s="22">
        <v>50712</v>
      </c>
      <c r="D161" s="8">
        <f>18149+11022</f>
        <v>29171</v>
      </c>
      <c r="E161" s="8">
        <v>82030</v>
      </c>
      <c r="F161" s="23">
        <v>4142</v>
      </c>
      <c r="G161" s="24">
        <v>2712</v>
      </c>
      <c r="H161" s="25">
        <v>1426</v>
      </c>
      <c r="I161" s="37">
        <v>921</v>
      </c>
      <c r="J161" s="9">
        <f t="shared" si="19"/>
        <v>52859</v>
      </c>
      <c r="K161" s="38">
        <f t="shared" si="20"/>
        <v>1354</v>
      </c>
      <c r="L161" s="38">
        <v>793</v>
      </c>
      <c r="M161" s="78">
        <f t="shared" si="22"/>
        <v>260245</v>
      </c>
      <c r="N161" s="79">
        <f t="shared" si="22"/>
        <v>145014</v>
      </c>
      <c r="O161" s="79">
        <f t="shared" si="22"/>
        <v>416180</v>
      </c>
      <c r="P161" s="80">
        <f t="shared" si="23"/>
        <v>8486353</v>
      </c>
      <c r="Q161" s="80">
        <f t="shared" si="23"/>
        <v>3559971</v>
      </c>
      <c r="R161" s="80">
        <f t="shared" si="23"/>
        <v>12272858</v>
      </c>
      <c r="S161" s="84">
        <f>M161/'[21]2014'!M161-1</f>
        <v>0.0235388971918509</v>
      </c>
      <c r="T161" s="84">
        <f>N161/'[21]2014'!N161-1</f>
        <v>0.421705882352941</v>
      </c>
      <c r="U161" s="84">
        <f>O161/'[21]2014'!O161-1</f>
        <v>0.133897312245426</v>
      </c>
      <c r="V161" s="85">
        <f>P161/'[21]2014'!P161-1</f>
        <v>-0.000361717129830574</v>
      </c>
      <c r="W161" s="85">
        <f>Q161/'[21]2014'!Q161-1</f>
        <v>0.138940663299491</v>
      </c>
      <c r="X161" s="85">
        <f>R161/'[21]2014'!R161-1</f>
        <v>0.0335375871341299</v>
      </c>
      <c r="Y161" s="97"/>
      <c r="Z161" s="54"/>
      <c r="AA161" s="38"/>
      <c r="AB161" s="38"/>
    </row>
    <row r="162" ht="15" customHeight="1" spans="1:28">
      <c r="A162" s="21">
        <v>42161</v>
      </c>
      <c r="B162" s="21" t="s">
        <v>38</v>
      </c>
      <c r="C162" s="22">
        <v>50793</v>
      </c>
      <c r="D162" s="8">
        <f>17678+11081</f>
        <v>28759</v>
      </c>
      <c r="E162" s="8">
        <v>82187</v>
      </c>
      <c r="F162" s="23">
        <v>4178</v>
      </c>
      <c r="G162" s="24">
        <v>2775</v>
      </c>
      <c r="H162" s="25">
        <v>1429</v>
      </c>
      <c r="I162" s="37">
        <v>975</v>
      </c>
      <c r="J162" s="9">
        <f t="shared" si="19"/>
        <v>53428</v>
      </c>
      <c r="K162" s="38">
        <f t="shared" si="20"/>
        <v>1842</v>
      </c>
      <c r="L162" s="38">
        <v>793</v>
      </c>
      <c r="M162" s="78">
        <f t="shared" si="22"/>
        <v>311038</v>
      </c>
      <c r="N162" s="79">
        <f t="shared" si="22"/>
        <v>173773</v>
      </c>
      <c r="O162" s="79">
        <f t="shared" si="22"/>
        <v>498367</v>
      </c>
      <c r="P162" s="80">
        <f t="shared" si="23"/>
        <v>8537146</v>
      </c>
      <c r="Q162" s="80">
        <f t="shared" si="23"/>
        <v>3588730</v>
      </c>
      <c r="R162" s="80">
        <f t="shared" si="23"/>
        <v>12355045</v>
      </c>
      <c r="S162" s="84">
        <f>M162/'[21]2014'!M162-1</f>
        <v>-0.0165117308543603</v>
      </c>
      <c r="T162" s="84">
        <f>N162/'[21]2014'!N162-1</f>
        <v>0.393528468323977</v>
      </c>
      <c r="U162" s="84">
        <f>O162/'[21]2014'!O162-1</f>
        <v>0.0952278396167328</v>
      </c>
      <c r="V162" s="85">
        <f>P162/'[21]2014'!P162-1</f>
        <v>-0.00166963658731178</v>
      </c>
      <c r="W162" s="85">
        <f>Q162/'[21]2014'!Q162-1</f>
        <v>0.139863373173957</v>
      </c>
      <c r="X162" s="85">
        <f>R162/'[21]2014'!R162-1</f>
        <v>0.0328049455044774</v>
      </c>
      <c r="Y162" s="97"/>
      <c r="Z162" s="54"/>
      <c r="AA162" s="38"/>
      <c r="AB162" s="38"/>
    </row>
    <row r="163" ht="15" customHeight="1" spans="1:28">
      <c r="A163" s="21">
        <v>42162</v>
      </c>
      <c r="B163" s="21" t="s">
        <v>1</v>
      </c>
      <c r="C163" s="22">
        <v>45497</v>
      </c>
      <c r="D163" s="8">
        <f>18028+11023</f>
        <v>29051</v>
      </c>
      <c r="E163" s="8">
        <v>78043</v>
      </c>
      <c r="F163" s="23">
        <v>3865</v>
      </c>
      <c r="G163" s="24">
        <v>2762</v>
      </c>
      <c r="H163" s="25">
        <v>1404</v>
      </c>
      <c r="I163" s="37">
        <v>973</v>
      </c>
      <c r="J163" s="9">
        <f t="shared" si="19"/>
        <v>48992</v>
      </c>
      <c r="K163" s="38">
        <f t="shared" si="20"/>
        <v>2702</v>
      </c>
      <c r="L163" s="38">
        <v>793</v>
      </c>
      <c r="M163" s="78">
        <f t="shared" si="22"/>
        <v>356535</v>
      </c>
      <c r="N163" s="79">
        <f t="shared" si="22"/>
        <v>202824</v>
      </c>
      <c r="O163" s="79">
        <f t="shared" si="22"/>
        <v>576410</v>
      </c>
      <c r="P163" s="80">
        <f t="shared" si="23"/>
        <v>8582643</v>
      </c>
      <c r="Q163" s="80">
        <f t="shared" si="23"/>
        <v>3617781</v>
      </c>
      <c r="R163" s="80">
        <f t="shared" si="23"/>
        <v>12433088</v>
      </c>
      <c r="S163" s="84">
        <f>M163/'[21]2014'!M163-1</f>
        <v>-0.057434040078253</v>
      </c>
      <c r="T163" s="84">
        <f>N163/'[21]2014'!N163-1</f>
        <v>0.373215978334462</v>
      </c>
      <c r="U163" s="84">
        <f>O163/'[21]2014'!O163-1</f>
        <v>0.061460126879483</v>
      </c>
      <c r="V163" s="85">
        <f>P163/'[21]2014'!P163-1</f>
        <v>-0.00357358128682894</v>
      </c>
      <c r="W163" s="85">
        <f>Q163/'[21]2014'!Q163-1</f>
        <v>0.140757033651626</v>
      </c>
      <c r="X163" s="85">
        <f>R163/'[21]2014'!R163-1</f>
        <v>0.0317391212099221</v>
      </c>
      <c r="Y163" s="97"/>
      <c r="Z163" s="54"/>
      <c r="AA163" s="38"/>
      <c r="AB163" s="38"/>
    </row>
    <row r="164" ht="15" customHeight="1" spans="1:28">
      <c r="A164" s="21">
        <v>42163</v>
      </c>
      <c r="B164" s="21" t="s">
        <v>39</v>
      </c>
      <c r="C164" s="22">
        <v>48970</v>
      </c>
      <c r="D164" s="8">
        <f>19302+10913</f>
        <v>30215</v>
      </c>
      <c r="E164" s="8">
        <v>82358</v>
      </c>
      <c r="F164" s="23">
        <v>4260</v>
      </c>
      <c r="G164" s="24">
        <v>2637</v>
      </c>
      <c r="H164" s="25">
        <v>1493</v>
      </c>
      <c r="I164" s="37">
        <v>971</v>
      </c>
      <c r="J164" s="9">
        <f t="shared" si="19"/>
        <v>52143</v>
      </c>
      <c r="K164" s="38">
        <f t="shared" si="20"/>
        <v>2380</v>
      </c>
      <c r="L164" s="38">
        <v>793</v>
      </c>
      <c r="M164" s="78">
        <f t="shared" si="22"/>
        <v>405505</v>
      </c>
      <c r="N164" s="79">
        <f t="shared" si="22"/>
        <v>233039</v>
      </c>
      <c r="O164" s="79">
        <f t="shared" si="22"/>
        <v>658768</v>
      </c>
      <c r="P164" s="80">
        <f t="shared" si="23"/>
        <v>8631613</v>
      </c>
      <c r="Q164" s="80">
        <f t="shared" si="23"/>
        <v>3647996</v>
      </c>
      <c r="R164" s="80">
        <f t="shared" si="23"/>
        <v>12515446</v>
      </c>
      <c r="S164" s="84">
        <f>M164/'[21]2014'!M164-1</f>
        <v>-0.0800139754476794</v>
      </c>
      <c r="T164" s="84">
        <f>N164/'[21]2014'!N164-1</f>
        <v>0.372351451622402</v>
      </c>
      <c r="U164" s="84">
        <f>O164/'[21]2014'!O164-1</f>
        <v>0.0454029710056383</v>
      </c>
      <c r="V164" s="85">
        <f>P164/'[21]2014'!P164-1</f>
        <v>-0.00510881662407503</v>
      </c>
      <c r="W164" s="85">
        <f>Q164/'[21]2014'!Q164-1</f>
        <v>0.142320480679466</v>
      </c>
      <c r="X164" s="85">
        <f>R164/'[21]2014'!R164-1</f>
        <v>0.0311188097400215</v>
      </c>
      <c r="Y164" s="97"/>
      <c r="Z164" s="54"/>
      <c r="AA164" s="38"/>
      <c r="AB164" s="38"/>
    </row>
    <row r="165" ht="15" customHeight="1" spans="1:32">
      <c r="A165" s="21">
        <v>42164</v>
      </c>
      <c r="B165" s="15" t="s">
        <v>34</v>
      </c>
      <c r="C165" s="16">
        <v>48743</v>
      </c>
      <c r="D165" s="17">
        <f>19379+11138</f>
        <v>30517</v>
      </c>
      <c r="E165" s="17">
        <v>82040</v>
      </c>
      <c r="F165" s="18">
        <v>4152</v>
      </c>
      <c r="G165" s="19">
        <v>2778</v>
      </c>
      <c r="H165" s="20">
        <v>1508</v>
      </c>
      <c r="I165" s="20">
        <v>1033</v>
      </c>
      <c r="J165" s="33">
        <f t="shared" si="19"/>
        <v>51523</v>
      </c>
      <c r="K165" s="34">
        <f t="shared" si="20"/>
        <v>1987</v>
      </c>
      <c r="L165" s="34">
        <v>793</v>
      </c>
      <c r="M165" s="81">
        <f t="shared" si="22"/>
        <v>454248</v>
      </c>
      <c r="N165" s="82">
        <f t="shared" si="22"/>
        <v>263556</v>
      </c>
      <c r="O165" s="82">
        <f t="shared" si="22"/>
        <v>740808</v>
      </c>
      <c r="P165" s="81">
        <f t="shared" si="23"/>
        <v>8680356</v>
      </c>
      <c r="Q165" s="81">
        <f t="shared" si="23"/>
        <v>3678513</v>
      </c>
      <c r="R165" s="81">
        <f t="shared" si="23"/>
        <v>12597486</v>
      </c>
      <c r="S165" s="86">
        <f>M165/'[21]2014'!M165-1</f>
        <v>-0.10080705025803</v>
      </c>
      <c r="T165" s="86">
        <f>N165/'[21]2014'!N165-1</f>
        <v>0.37190151475717</v>
      </c>
      <c r="U165" s="86">
        <f>O165/'[21]2014'!O165-1</f>
        <v>0.030822770807214</v>
      </c>
      <c r="V165" s="86">
        <f>P165/'[21]2014'!P165-1</f>
        <v>-0.00686252390249709</v>
      </c>
      <c r="W165" s="86">
        <f>Q165/'[21]2014'!Q165-1</f>
        <v>0.143888755882253</v>
      </c>
      <c r="X165" s="86">
        <f>R165/'[21]2014'!R165-1</f>
        <v>0.0303651831906351</v>
      </c>
      <c r="Y165" s="100">
        <v>49.9</v>
      </c>
      <c r="Z165" s="53">
        <f>P165/10000-Y165</f>
        <v>818.1356</v>
      </c>
      <c r="AA165" s="34">
        <v>3890.092</v>
      </c>
      <c r="AB165" s="34">
        <f>Z165*10000/AA165</f>
        <v>2103.1266098591</v>
      </c>
      <c r="AC165" s="67">
        <f>AC158+SUM(K159:K165)/10000</f>
        <v>11.4967</v>
      </c>
      <c r="AD165" s="96">
        <f>AD158+SUM(L159:L165)/10000</f>
        <v>12.3637</v>
      </c>
      <c r="AF165" s="96">
        <f>AF158+SUM(J159:J165)/10000</f>
        <v>891.8973</v>
      </c>
    </row>
    <row r="166" ht="15" customHeight="1" spans="1:32">
      <c r="A166" s="21">
        <v>42165</v>
      </c>
      <c r="B166" s="21" t="s">
        <v>35</v>
      </c>
      <c r="C166" s="70">
        <v>49060</v>
      </c>
      <c r="D166" s="71">
        <f>19465+11278</f>
        <v>30743</v>
      </c>
      <c r="E166" s="71">
        <v>82375</v>
      </c>
      <c r="F166" s="72">
        <v>4181</v>
      </c>
      <c r="G166" s="73">
        <v>2713</v>
      </c>
      <c r="H166" s="25">
        <v>1540</v>
      </c>
      <c r="I166" s="25">
        <v>995</v>
      </c>
      <c r="J166" s="74">
        <f t="shared" si="19"/>
        <v>51632</v>
      </c>
      <c r="K166" s="75">
        <f t="shared" si="20"/>
        <v>1779</v>
      </c>
      <c r="L166" s="75">
        <v>793</v>
      </c>
      <c r="M166" s="76">
        <f t="shared" si="22"/>
        <v>503308</v>
      </c>
      <c r="N166" s="77">
        <f t="shared" si="22"/>
        <v>294299</v>
      </c>
      <c r="O166" s="77">
        <f t="shared" si="22"/>
        <v>823183</v>
      </c>
      <c r="P166" s="76">
        <f t="shared" si="23"/>
        <v>8729416</v>
      </c>
      <c r="Q166" s="76">
        <f t="shared" si="23"/>
        <v>3709256</v>
      </c>
      <c r="R166" s="76">
        <f t="shared" si="23"/>
        <v>12679861</v>
      </c>
      <c r="S166" s="83">
        <f>M166/'[21]2014'!M166-1</f>
        <v>-0.114750003957443</v>
      </c>
      <c r="T166" s="83">
        <f>N166/'[21]2014'!N166-1</f>
        <v>0.359870065660276</v>
      </c>
      <c r="U166" s="83">
        <f>O166/'[21]2014'!O166-1</f>
        <v>0.0192386506447759</v>
      </c>
      <c r="V166" s="83">
        <f>P166/'[21]2014'!P166-1</f>
        <v>-0.0084392542034285</v>
      </c>
      <c r="W166" s="83">
        <f>Q166/'[21]2014'!Q166-1</f>
        <v>0.144795670236543</v>
      </c>
      <c r="X166" s="83">
        <f>R166/'[21]2014'!R166-1</f>
        <v>0.0296087910768148</v>
      </c>
      <c r="Y166" s="89">
        <v>50.1414</v>
      </c>
      <c r="Z166" s="101">
        <f>P166/10000-Y166</f>
        <v>822.8002</v>
      </c>
      <c r="AA166" s="89">
        <v>3890.092</v>
      </c>
      <c r="AB166" s="75">
        <f>Z166*10000/AA166</f>
        <v>2115.11758590799</v>
      </c>
      <c r="AC166" s="67">
        <v>11.7234</v>
      </c>
      <c r="AD166" s="96">
        <v>12.4407</v>
      </c>
      <c r="AE166" s="96"/>
      <c r="AF166" s="96">
        <v>897.106</v>
      </c>
    </row>
    <row r="167" ht="15" customHeight="1" spans="1:28">
      <c r="A167" s="21">
        <v>42166</v>
      </c>
      <c r="B167" s="21" t="s">
        <v>36</v>
      </c>
      <c r="C167" s="22">
        <v>49917</v>
      </c>
      <c r="D167" s="8">
        <f>20300+10914</f>
        <v>31214</v>
      </c>
      <c r="E167" s="8">
        <v>84231</v>
      </c>
      <c r="F167" s="23">
        <v>4305</v>
      </c>
      <c r="G167" s="24">
        <v>2770</v>
      </c>
      <c r="H167" s="25"/>
      <c r="I167" s="37"/>
      <c r="J167" s="9">
        <f t="shared" si="19"/>
        <v>53017</v>
      </c>
      <c r="K167" s="38">
        <f t="shared" si="20"/>
        <v>2307</v>
      </c>
      <c r="L167" s="38">
        <v>793</v>
      </c>
      <c r="M167" s="78">
        <f t="shared" si="22"/>
        <v>553225</v>
      </c>
      <c r="N167" s="79">
        <f t="shared" si="22"/>
        <v>325513</v>
      </c>
      <c r="O167" s="79">
        <f t="shared" si="22"/>
        <v>907414</v>
      </c>
      <c r="P167" s="80">
        <f t="shared" si="23"/>
        <v>8779333</v>
      </c>
      <c r="Q167" s="80">
        <f t="shared" si="23"/>
        <v>3740470</v>
      </c>
      <c r="R167" s="80">
        <f t="shared" si="23"/>
        <v>12764092</v>
      </c>
      <c r="S167" s="84">
        <f>M167/'[21]2014'!M167-1</f>
        <v>-0.122768766778351</v>
      </c>
      <c r="T167" s="84">
        <f>N167/'[21]2014'!N167-1</f>
        <v>0.34611296972504</v>
      </c>
      <c r="U167" s="84">
        <f>O167/'[21]2014'!O167-1</f>
        <v>0.0122361104139128</v>
      </c>
      <c r="V167" s="85">
        <f>P167/'[21]2014'!P167-1</f>
        <v>-0.00975429689792551</v>
      </c>
      <c r="W167" s="85">
        <f>Q167/'[21]2014'!Q167-1</f>
        <v>0.145449838954371</v>
      </c>
      <c r="X167" s="85">
        <f>R167/'[21]2014'!R167-1</f>
        <v>0.0290284744218805</v>
      </c>
      <c r="Y167" s="97">
        <f>Y166+0.26</f>
        <v>50.4014</v>
      </c>
      <c r="Z167" s="54">
        <f>P167/10000-Y167</f>
        <v>827.5319</v>
      </c>
      <c r="AA167" s="38">
        <v>3890.092</v>
      </c>
      <c r="AB167" s="38">
        <f>Z167*10000/AA167</f>
        <v>2127.28105145071</v>
      </c>
    </row>
    <row r="168" ht="15" customHeight="1" spans="1:28">
      <c r="A168" s="21">
        <v>42167</v>
      </c>
      <c r="B168" s="21" t="s">
        <v>37</v>
      </c>
      <c r="C168" s="22">
        <v>49092</v>
      </c>
      <c r="D168" s="8">
        <f>22638+11071</f>
        <v>33709</v>
      </c>
      <c r="E168" s="8">
        <v>86168</v>
      </c>
      <c r="F168" s="23">
        <v>4381</v>
      </c>
      <c r="G168" s="24">
        <v>2792</v>
      </c>
      <c r="H168" s="25"/>
      <c r="I168" s="37">
        <v>1147</v>
      </c>
      <c r="J168" s="9">
        <f t="shared" si="19"/>
        <v>52459</v>
      </c>
      <c r="K168" s="38">
        <f t="shared" si="20"/>
        <v>2574</v>
      </c>
      <c r="L168" s="38">
        <v>793</v>
      </c>
      <c r="M168" s="78">
        <f t="shared" si="22"/>
        <v>602317</v>
      </c>
      <c r="N168" s="79">
        <f t="shared" si="22"/>
        <v>359222</v>
      </c>
      <c r="O168" s="79">
        <f t="shared" si="22"/>
        <v>993582</v>
      </c>
      <c r="P168" s="80">
        <f t="shared" si="23"/>
        <v>8828425</v>
      </c>
      <c r="Q168" s="80">
        <f t="shared" si="23"/>
        <v>3774179</v>
      </c>
      <c r="R168" s="80">
        <f t="shared" si="23"/>
        <v>12850260</v>
      </c>
      <c r="S168" s="84">
        <f>M168/'[21]2014'!M168-1</f>
        <v>-0.134414219176862</v>
      </c>
      <c r="T168" s="84">
        <f>N168/'[21]2014'!N168-1</f>
        <v>0.352915255896986</v>
      </c>
      <c r="U168" s="84">
        <f>O168/'[21]2014'!O168-1</f>
        <v>0.00743932795603519</v>
      </c>
      <c r="V168" s="85">
        <f>P168/'[21]2014'!P168-1</f>
        <v>-0.0114866894317518</v>
      </c>
      <c r="W168" s="85">
        <f>Q168/'[21]2014'!Q168-1</f>
        <v>0.147444802055549</v>
      </c>
      <c r="X168" s="85">
        <f>R168/'[21]2014'!R168-1</f>
        <v>0.0285291270705905</v>
      </c>
      <c r="Y168" s="97"/>
      <c r="Z168" s="54"/>
      <c r="AA168" s="38"/>
      <c r="AB168" s="38"/>
    </row>
    <row r="169" ht="15" customHeight="1" spans="1:28">
      <c r="A169" s="21">
        <v>42168</v>
      </c>
      <c r="B169" s="21" t="s">
        <v>38</v>
      </c>
      <c r="C169" s="22">
        <v>47559</v>
      </c>
      <c r="D169" s="8">
        <f>21462+11452</f>
        <v>32914</v>
      </c>
      <c r="E169" s="8">
        <v>84223</v>
      </c>
      <c r="F169" s="23">
        <v>4286</v>
      </c>
      <c r="G169" s="24">
        <v>2873</v>
      </c>
      <c r="H169" s="25">
        <v>1601</v>
      </c>
      <c r="I169" s="37">
        <v>1147</v>
      </c>
      <c r="J169" s="9">
        <f t="shared" si="19"/>
        <v>51309</v>
      </c>
      <c r="K169" s="38">
        <f t="shared" si="20"/>
        <v>2957</v>
      </c>
      <c r="L169" s="38">
        <v>793</v>
      </c>
      <c r="M169" s="78">
        <f t="shared" si="22"/>
        <v>649876</v>
      </c>
      <c r="N169" s="79">
        <f t="shared" si="22"/>
        <v>392136</v>
      </c>
      <c r="O169" s="79">
        <f t="shared" si="22"/>
        <v>1077805</v>
      </c>
      <c r="P169" s="80">
        <f t="shared" si="23"/>
        <v>8875984</v>
      </c>
      <c r="Q169" s="80">
        <f t="shared" si="23"/>
        <v>3807093</v>
      </c>
      <c r="R169" s="80">
        <f t="shared" si="23"/>
        <v>12934483</v>
      </c>
      <c r="S169" s="84">
        <f>M169/'[21]2014'!M169-1</f>
        <v>-0.14675132508544</v>
      </c>
      <c r="T169" s="84">
        <f>N169/'[21]2014'!N169-1</f>
        <v>0.3544489615463</v>
      </c>
      <c r="U169" s="84">
        <f>O169/'[21]2014'!O169-1</f>
        <v>0.000798555172269788</v>
      </c>
      <c r="V169" s="85">
        <f>P169/'[21]2014'!P169-1</f>
        <v>-0.0134301750062983</v>
      </c>
      <c r="W169" s="85">
        <f>Q169/'[21]2014'!Q169-1</f>
        <v>0.149067197238829</v>
      </c>
      <c r="X169" s="85">
        <f>R169/'[21]2014'!R169-1</f>
        <v>0.0278088302082977</v>
      </c>
      <c r="Y169" s="97"/>
      <c r="Z169" s="54"/>
      <c r="AA169" s="38"/>
      <c r="AB169" s="38"/>
    </row>
    <row r="170" ht="15" customHeight="1" spans="1:28">
      <c r="A170" s="21">
        <v>42169</v>
      </c>
      <c r="B170" s="21" t="s">
        <v>1</v>
      </c>
      <c r="C170" s="22">
        <v>42633</v>
      </c>
      <c r="D170" s="8">
        <f>21148+11024</f>
        <v>32172</v>
      </c>
      <c r="E170" s="8">
        <v>78159</v>
      </c>
      <c r="F170" s="23">
        <v>3879</v>
      </c>
      <c r="G170" s="24">
        <v>2786</v>
      </c>
      <c r="H170" s="25">
        <v>1571</v>
      </c>
      <c r="I170" s="37">
        <v>977</v>
      </c>
      <c r="J170" s="9">
        <f t="shared" si="19"/>
        <v>45987</v>
      </c>
      <c r="K170" s="38">
        <f t="shared" si="20"/>
        <v>2561</v>
      </c>
      <c r="L170" s="38">
        <v>793</v>
      </c>
      <c r="M170" s="78">
        <f t="shared" si="22"/>
        <v>692509</v>
      </c>
      <c r="N170" s="79">
        <f t="shared" si="22"/>
        <v>424308</v>
      </c>
      <c r="O170" s="79">
        <f t="shared" si="22"/>
        <v>1155964</v>
      </c>
      <c r="P170" s="80">
        <f t="shared" si="23"/>
        <v>8918617</v>
      </c>
      <c r="Q170" s="80">
        <f t="shared" si="23"/>
        <v>3839265</v>
      </c>
      <c r="R170" s="80">
        <f t="shared" si="23"/>
        <v>13012642</v>
      </c>
      <c r="S170" s="84">
        <f>M170/'[21]2014'!M170-1</f>
        <v>-0.163079537228276</v>
      </c>
      <c r="T170" s="84">
        <f>N170/'[21]2014'!N170-1</f>
        <v>0.349936529045518</v>
      </c>
      <c r="U170" s="84">
        <f>O170/'[21]2014'!O170-1</f>
        <v>-0.0100886751816536</v>
      </c>
      <c r="V170" s="85">
        <f>P170/'[21]2014'!P170-1</f>
        <v>-0.0158889906977676</v>
      </c>
      <c r="W170" s="85">
        <f>Q170/'[21]2014'!Q170-1</f>
        <v>0.15016819487076</v>
      </c>
      <c r="X170" s="85">
        <f>R170/'[21]2014'!R170-1</f>
        <v>0.0266123287236433</v>
      </c>
      <c r="Y170" s="97"/>
      <c r="Z170" s="54"/>
      <c r="AA170" s="38"/>
      <c r="AB170" s="38"/>
    </row>
    <row r="171" ht="15" customHeight="1" spans="1:28">
      <c r="A171" s="21">
        <v>42170</v>
      </c>
      <c r="B171" s="21" t="s">
        <v>39</v>
      </c>
      <c r="C171" s="22">
        <v>52315</v>
      </c>
      <c r="D171" s="8">
        <v>29413</v>
      </c>
      <c r="E171" s="8">
        <v>85221</v>
      </c>
      <c r="F171" s="23">
        <v>4357</v>
      </c>
      <c r="G171" s="24">
        <v>2660</v>
      </c>
      <c r="H171" s="25">
        <v>1528</v>
      </c>
      <c r="I171" s="37">
        <v>907</v>
      </c>
      <c r="J171" s="9">
        <f t="shared" si="19"/>
        <v>55808</v>
      </c>
      <c r="K171" s="38">
        <f t="shared" si="20"/>
        <v>2700</v>
      </c>
      <c r="L171" s="38">
        <v>793</v>
      </c>
      <c r="M171" s="78">
        <f t="shared" si="22"/>
        <v>744824</v>
      </c>
      <c r="N171" s="79">
        <f t="shared" si="22"/>
        <v>453721</v>
      </c>
      <c r="O171" s="79">
        <f t="shared" si="22"/>
        <v>1241185</v>
      </c>
      <c r="P171" s="80">
        <f t="shared" si="23"/>
        <v>8970932</v>
      </c>
      <c r="Q171" s="80">
        <f t="shared" si="23"/>
        <v>3868678</v>
      </c>
      <c r="R171" s="80">
        <f t="shared" si="23"/>
        <v>13097863</v>
      </c>
      <c r="S171" s="84">
        <f>M171/'[21]2014'!M171-1</f>
        <v>-0.164385667118042</v>
      </c>
      <c r="T171" s="84">
        <f>N171/'[21]2014'!N171-1</f>
        <v>0.348686303010847</v>
      </c>
      <c r="U171" s="84">
        <f>O171/'[21]2014'!O171-1</f>
        <v>-0.0103337333402438</v>
      </c>
      <c r="V171" s="85">
        <f>P171/'[21]2014'!P171-1</f>
        <v>-0.0170471212741206</v>
      </c>
      <c r="W171" s="85">
        <f>Q171/'[21]2014'!Q171-1</f>
        <v>0.151356933065536</v>
      </c>
      <c r="X171" s="85">
        <f>R171/'[21]2014'!R171-1</f>
        <v>0.0263397710579838</v>
      </c>
      <c r="Y171" s="97"/>
      <c r="Z171" s="54"/>
      <c r="AA171" s="38"/>
      <c r="AB171" s="38"/>
    </row>
    <row r="172" ht="15" customHeight="1" spans="1:32">
      <c r="A172" s="21">
        <v>42171</v>
      </c>
      <c r="B172" s="15" t="s">
        <v>34</v>
      </c>
      <c r="C172" s="16">
        <v>56575</v>
      </c>
      <c r="D172" s="17">
        <v>29072</v>
      </c>
      <c r="E172" s="17">
        <v>88797</v>
      </c>
      <c r="F172" s="18">
        <v>4554</v>
      </c>
      <c r="G172" s="19">
        <v>2863</v>
      </c>
      <c r="H172" s="20"/>
      <c r="I172" s="20"/>
      <c r="J172" s="33">
        <f t="shared" si="19"/>
        <v>59725</v>
      </c>
      <c r="K172" s="34">
        <f t="shared" si="20"/>
        <v>2357</v>
      </c>
      <c r="L172" s="34">
        <v>793</v>
      </c>
      <c r="M172" s="81">
        <f t="shared" si="22"/>
        <v>801399</v>
      </c>
      <c r="N172" s="82">
        <f t="shared" si="22"/>
        <v>482793</v>
      </c>
      <c r="O172" s="82">
        <f t="shared" si="22"/>
        <v>1329982</v>
      </c>
      <c r="P172" s="81">
        <f t="shared" si="23"/>
        <v>9027507</v>
      </c>
      <c r="Q172" s="81">
        <f t="shared" si="23"/>
        <v>3897750</v>
      </c>
      <c r="R172" s="81">
        <f t="shared" si="23"/>
        <v>13186660</v>
      </c>
      <c r="S172" s="86">
        <f>M172/'[21]2014'!M172-1</f>
        <v>-0.165946990630161</v>
      </c>
      <c r="T172" s="86">
        <f>N172/'[21]2014'!N172-1</f>
        <v>0.3473907182746</v>
      </c>
      <c r="U172" s="86">
        <f>O172/'[21]2014'!O172-1</f>
        <v>-0.0117866470507376</v>
      </c>
      <c r="V172" s="86">
        <f>P172/'[21]2014'!P172-1</f>
        <v>-0.0183237859944816</v>
      </c>
      <c r="W172" s="86">
        <f>Q172/'[21]2014'!Q172-1</f>
        <v>0.152497465185647</v>
      </c>
      <c r="X172" s="86">
        <f>R172/'[21]2014'!R172-1</f>
        <v>0.0259260013288165</v>
      </c>
      <c r="Y172" s="100">
        <v>51.6</v>
      </c>
      <c r="Z172" s="53">
        <f>P172/10000-Y172</f>
        <v>851.1507</v>
      </c>
      <c r="AA172" s="34">
        <v>3890.092</v>
      </c>
      <c r="AB172" s="34">
        <f>Z172*10000/AA172</f>
        <v>2187.99632502265</v>
      </c>
      <c r="AC172" s="67">
        <f>AC166+SUM(K167:K172)/10000</f>
        <v>13.269</v>
      </c>
      <c r="AD172" s="96">
        <f>AD166+SUM(L167:L172)/10000</f>
        <v>12.9165</v>
      </c>
      <c r="AF172" s="96">
        <f>AF166+SUM(J167:J172)/10000</f>
        <v>928.9365</v>
      </c>
    </row>
    <row r="173" ht="15" customHeight="1" spans="1:28">
      <c r="A173" s="21">
        <v>42172</v>
      </c>
      <c r="B173" s="21" t="s">
        <v>35</v>
      </c>
      <c r="C173" s="70">
        <v>56249</v>
      </c>
      <c r="D173" s="71">
        <v>32072</v>
      </c>
      <c r="E173" s="71">
        <v>91378</v>
      </c>
      <c r="F173" s="72">
        <v>4625.9</v>
      </c>
      <c r="G173" s="73">
        <v>2953.5</v>
      </c>
      <c r="H173" s="25"/>
      <c r="I173" s="25"/>
      <c r="J173" s="74">
        <f t="shared" si="19"/>
        <v>59306</v>
      </c>
      <c r="K173" s="75">
        <f t="shared" si="20"/>
        <v>2264</v>
      </c>
      <c r="L173" s="75">
        <v>793</v>
      </c>
      <c r="M173" s="76">
        <f t="shared" si="22"/>
        <v>857648</v>
      </c>
      <c r="N173" s="77">
        <f t="shared" si="22"/>
        <v>514865</v>
      </c>
      <c r="O173" s="77">
        <f t="shared" si="22"/>
        <v>1421360</v>
      </c>
      <c r="P173" s="76">
        <f t="shared" si="23"/>
        <v>9083756</v>
      </c>
      <c r="Q173" s="76">
        <f t="shared" si="23"/>
        <v>3929822</v>
      </c>
      <c r="R173" s="76">
        <f t="shared" si="23"/>
        <v>13278038</v>
      </c>
      <c r="S173" s="83">
        <f>M173/'[21]2014'!M173-1</f>
        <v>-0.165287398160737</v>
      </c>
      <c r="T173" s="83">
        <f>N173/'[21]2014'!N173-1</f>
        <v>0.348813387928754</v>
      </c>
      <c r="U173" s="83">
        <f>O173/'[21]2014'!O173-1</f>
        <v>-0.0104423754785538</v>
      </c>
      <c r="V173" s="83">
        <f>P173/'[21]2014'!P173-1</f>
        <v>-0.0193125021731788</v>
      </c>
      <c r="W173" s="83">
        <f>Q173/'[21]2014'!Q173-1</f>
        <v>0.153996130443412</v>
      </c>
      <c r="X173" s="83">
        <f>R173/'[21]2014'!R173-1</f>
        <v>0.0258114561034732</v>
      </c>
      <c r="Y173" s="89"/>
      <c r="Z173" s="101"/>
      <c r="AA173" s="89"/>
      <c r="AB173" s="75"/>
    </row>
    <row r="174" ht="15" customHeight="1" spans="1:28">
      <c r="A174" s="21">
        <v>42173</v>
      </c>
      <c r="B174" s="21" t="s">
        <v>36</v>
      </c>
      <c r="C174" s="22">
        <v>50300</v>
      </c>
      <c r="D174" s="8">
        <v>31821</v>
      </c>
      <c r="E174" s="8">
        <v>85256</v>
      </c>
      <c r="F174" s="23">
        <v>4322.2</v>
      </c>
      <c r="G174" s="24">
        <v>2970.9</v>
      </c>
      <c r="H174" s="25">
        <v>1607.1</v>
      </c>
      <c r="I174" s="37">
        <v>915.5</v>
      </c>
      <c r="J174" s="9">
        <f t="shared" si="19"/>
        <v>53435</v>
      </c>
      <c r="K174" s="38">
        <f t="shared" si="20"/>
        <v>2342</v>
      </c>
      <c r="L174" s="38">
        <v>793</v>
      </c>
      <c r="M174" s="78">
        <f t="shared" ref="M174:O186" si="24">M173+C174</f>
        <v>907948</v>
      </c>
      <c r="N174" s="79">
        <f t="shared" si="24"/>
        <v>546686</v>
      </c>
      <c r="O174" s="79">
        <f t="shared" si="24"/>
        <v>1506616</v>
      </c>
      <c r="P174" s="80">
        <f t="shared" si="23"/>
        <v>9134056</v>
      </c>
      <c r="Q174" s="80">
        <f t="shared" si="23"/>
        <v>3961643</v>
      </c>
      <c r="R174" s="80">
        <f t="shared" si="23"/>
        <v>13363294</v>
      </c>
      <c r="S174" s="84">
        <f>M174/'[21]2014'!M174-1</f>
        <v>-0.16822358844131</v>
      </c>
      <c r="T174" s="84">
        <f>N174/'[21]2014'!N174-1</f>
        <v>0.346792570895035</v>
      </c>
      <c r="U174" s="84">
        <f>O174/'[21]2014'!O174-1</f>
        <v>-0.0118989296013338</v>
      </c>
      <c r="V174" s="85">
        <f>P174/'[21]2014'!P174-1</f>
        <v>-0.0206593894643005</v>
      </c>
      <c r="W174" s="85">
        <f>Q174/'[21]2014'!Q174-1</f>
        <v>0.155131624414498</v>
      </c>
      <c r="X174" s="85">
        <f>R174/'[21]2014'!R174-1</f>
        <v>0.0253951276223066</v>
      </c>
      <c r="Y174" s="97">
        <f>Y167+0.26*7</f>
        <v>52.2214</v>
      </c>
      <c r="Z174" s="54">
        <f>P174/10000-Y174</f>
        <v>861.1842</v>
      </c>
      <c r="AA174" s="38">
        <v>3890.092</v>
      </c>
      <c r="AB174" s="38">
        <f>Z174*10000/AA174</f>
        <v>2213.78877414724</v>
      </c>
    </row>
    <row r="175" ht="15" customHeight="1" spans="1:28">
      <c r="A175" s="21">
        <v>42174</v>
      </c>
      <c r="B175" s="21" t="s">
        <v>37</v>
      </c>
      <c r="C175" s="22">
        <v>46507</v>
      </c>
      <c r="D175" s="8">
        <v>31901</v>
      </c>
      <c r="E175" s="8">
        <v>82078</v>
      </c>
      <c r="F175" s="23">
        <v>4226</v>
      </c>
      <c r="G175" s="24">
        <v>2809</v>
      </c>
      <c r="H175" s="25"/>
      <c r="I175" s="37"/>
      <c r="J175" s="9">
        <f t="shared" si="19"/>
        <v>50177</v>
      </c>
      <c r="K175" s="38">
        <v>1864</v>
      </c>
      <c r="L175" s="38">
        <v>787</v>
      </c>
      <c r="M175" s="78">
        <f t="shared" si="24"/>
        <v>954455</v>
      </c>
      <c r="N175" s="79">
        <f t="shared" si="24"/>
        <v>578587</v>
      </c>
      <c r="O175" s="79">
        <f t="shared" si="24"/>
        <v>1588694</v>
      </c>
      <c r="P175" s="80">
        <f t="shared" si="23"/>
        <v>9180563</v>
      </c>
      <c r="Q175" s="80">
        <f t="shared" si="23"/>
        <v>3993544</v>
      </c>
      <c r="R175" s="80">
        <f t="shared" si="23"/>
        <v>13445372</v>
      </c>
      <c r="S175" s="84">
        <f>M175/'[21]2014'!M175-1</f>
        <v>-0.173973887862859</v>
      </c>
      <c r="T175" s="84">
        <f>N175/'[21]2014'!N175-1</f>
        <v>0.347079941887537</v>
      </c>
      <c r="U175" s="84">
        <f>O175/'[21]2014'!O175-1</f>
        <v>-0.0149094180769486</v>
      </c>
      <c r="V175" s="85">
        <f>P175/'[21]2014'!P175-1</f>
        <v>-0.0223710769876381</v>
      </c>
      <c r="W175" s="85">
        <f>Q175/'[21]2014'!Q175-1</f>
        <v>0.156476948136859</v>
      </c>
      <c r="X175" s="85">
        <f>R175/'[21]2014'!R175-1</f>
        <v>0.0247750005438894</v>
      </c>
      <c r="Y175" s="97"/>
      <c r="Z175" s="54"/>
      <c r="AA175" s="38"/>
      <c r="AB175" s="38"/>
    </row>
    <row r="176" ht="15" customHeight="1" spans="1:32">
      <c r="A176" s="21">
        <v>42175</v>
      </c>
      <c r="B176" s="21" t="s">
        <v>38</v>
      </c>
      <c r="C176" s="22">
        <v>33847</v>
      </c>
      <c r="D176" s="8">
        <v>23935</v>
      </c>
      <c r="E176" s="8">
        <v>61026</v>
      </c>
      <c r="F176" s="23">
        <v>2942.3</v>
      </c>
      <c r="G176" s="24">
        <v>2356.6</v>
      </c>
      <c r="H176" s="25"/>
      <c r="I176" s="37"/>
      <c r="J176" s="9">
        <f t="shared" si="19"/>
        <v>37091</v>
      </c>
      <c r="K176" s="38">
        <v>1355</v>
      </c>
      <c r="L176" s="38">
        <v>786</v>
      </c>
      <c r="M176" s="78">
        <f t="shared" si="24"/>
        <v>988302</v>
      </c>
      <c r="N176" s="79">
        <f t="shared" si="24"/>
        <v>602522</v>
      </c>
      <c r="O176" s="79">
        <f t="shared" si="24"/>
        <v>1649720</v>
      </c>
      <c r="P176" s="80">
        <f t="shared" si="23"/>
        <v>9214410</v>
      </c>
      <c r="Q176" s="80">
        <f t="shared" si="23"/>
        <v>4017479</v>
      </c>
      <c r="R176" s="80">
        <f t="shared" si="23"/>
        <v>13506398</v>
      </c>
      <c r="S176" s="84">
        <f>M176/'[21]2014'!M176-1</f>
        <v>-0.189658678333765</v>
      </c>
      <c r="T176" s="84">
        <f>N176/'[21]2014'!N176-1</f>
        <v>0.327591297488576</v>
      </c>
      <c r="U176" s="84">
        <f>O176/'[21]2014'!O176-1</f>
        <v>-0.0303823939278706</v>
      </c>
      <c r="V176" s="85">
        <f>P176/'[21]2014'!P176-1</f>
        <v>-0.0254226832922554</v>
      </c>
      <c r="W176" s="85">
        <f>Q176/'[21]2014'!Q176-1</f>
        <v>0.15526726554156</v>
      </c>
      <c r="X176" s="85">
        <f>R176/'[21]2014'!R176-1</f>
        <v>0.0225155622343201</v>
      </c>
      <c r="Y176" s="97">
        <v>53.1127</v>
      </c>
      <c r="Z176" s="54">
        <f>P176/10000-Y176</f>
        <v>868.3283</v>
      </c>
      <c r="AA176" s="38">
        <v>3890.092</v>
      </c>
      <c r="AB176" s="38">
        <f>Z176*10000/AA176</f>
        <v>2232.15363544101</v>
      </c>
      <c r="AC176" s="67">
        <v>14.2211</v>
      </c>
      <c r="AD176" s="2">
        <v>13.2295</v>
      </c>
      <c r="AF176" s="2">
        <v>948.8919</v>
      </c>
    </row>
    <row r="177" ht="15" customHeight="1" spans="1:28">
      <c r="A177" s="21">
        <v>42176</v>
      </c>
      <c r="B177" s="21" t="s">
        <v>1</v>
      </c>
      <c r="C177" s="22">
        <v>39257</v>
      </c>
      <c r="D177" s="8">
        <f t="shared" ref="D177" si="25">E177-C177-K177-L177</f>
        <v>25364</v>
      </c>
      <c r="E177" s="8">
        <v>66839</v>
      </c>
      <c r="F177" s="23">
        <v>3410.3</v>
      </c>
      <c r="G177" s="24">
        <v>2127</v>
      </c>
      <c r="H177" s="25"/>
      <c r="I177" s="37"/>
      <c r="J177" s="9">
        <f t="shared" si="19"/>
        <v>41475</v>
      </c>
      <c r="K177" s="38">
        <v>1430</v>
      </c>
      <c r="L177" s="38">
        <v>788</v>
      </c>
      <c r="M177" s="78">
        <f t="shared" si="24"/>
        <v>1027559</v>
      </c>
      <c r="N177" s="79">
        <f t="shared" si="24"/>
        <v>627886</v>
      </c>
      <c r="O177" s="79">
        <f t="shared" si="24"/>
        <v>1716559</v>
      </c>
      <c r="P177" s="80">
        <f t="shared" si="23"/>
        <v>9253667</v>
      </c>
      <c r="Q177" s="80">
        <f t="shared" si="23"/>
        <v>4042843</v>
      </c>
      <c r="R177" s="80">
        <f t="shared" si="23"/>
        <v>13573237</v>
      </c>
      <c r="S177" s="84">
        <f>M177/'[21]2014'!M177-1</f>
        <v>-0.198632567418232</v>
      </c>
      <c r="T177" s="84">
        <f>N177/'[21]2014'!N177-1</f>
        <v>0.317060073458309</v>
      </c>
      <c r="U177" s="84">
        <f>O177/'[21]2014'!O177-1</f>
        <v>-0.0394981277431975</v>
      </c>
      <c r="V177" s="85">
        <f>P177/'[21]2014'!P177-1</f>
        <v>-0.027712736084064</v>
      </c>
      <c r="W177" s="85">
        <f>Q177/'[21]2014'!Q177-1</f>
        <v>0.154959701825419</v>
      </c>
      <c r="X177" s="85">
        <f>R177/'[21]2014'!R177-1</f>
        <v>0.0209490483367014</v>
      </c>
      <c r="Y177" s="97"/>
      <c r="Z177" s="54"/>
      <c r="AA177" s="38"/>
      <c r="AB177" s="38"/>
    </row>
    <row r="178" ht="15" customHeight="1" spans="1:28">
      <c r="A178" s="21">
        <v>42177</v>
      </c>
      <c r="B178" s="21" t="s">
        <v>39</v>
      </c>
      <c r="C178" s="22">
        <v>47980</v>
      </c>
      <c r="D178" s="8">
        <v>27788</v>
      </c>
      <c r="E178" s="8">
        <v>77771</v>
      </c>
      <c r="F178" s="23">
        <v>3989.1</v>
      </c>
      <c r="G178" s="24">
        <v>2400.9</v>
      </c>
      <c r="H178" s="25"/>
      <c r="I178" s="37"/>
      <c r="J178" s="9">
        <f t="shared" si="19"/>
        <v>49983</v>
      </c>
      <c r="K178" s="38">
        <v>1404</v>
      </c>
      <c r="L178" s="38">
        <v>788</v>
      </c>
      <c r="M178" s="78">
        <f t="shared" si="24"/>
        <v>1075539</v>
      </c>
      <c r="N178" s="79">
        <f t="shared" si="24"/>
        <v>655674</v>
      </c>
      <c r="O178" s="79">
        <f t="shared" si="24"/>
        <v>1794330</v>
      </c>
      <c r="P178" s="80">
        <f t="shared" si="23"/>
        <v>9301647</v>
      </c>
      <c r="Q178" s="80">
        <f t="shared" si="23"/>
        <v>4070631</v>
      </c>
      <c r="R178" s="80">
        <f t="shared" si="23"/>
        <v>13651008</v>
      </c>
      <c r="S178" s="84">
        <f>M178/'[21]2014'!M178-1</f>
        <v>-0.195805178811899</v>
      </c>
      <c r="T178" s="84">
        <f>N178/'[21]2014'!N178-1</f>
        <v>0.31987970239629</v>
      </c>
      <c r="U178" s="84">
        <f>O178/'[21]2014'!O178-1</f>
        <v>-0.0368066511460376</v>
      </c>
      <c r="V178" s="85">
        <f>P178/'[21]2014'!P178-1</f>
        <v>-0.028302497134739</v>
      </c>
      <c r="W178" s="85">
        <f>Q178/'[21]2014'!Q178-1</f>
        <v>0.156280094661652</v>
      </c>
      <c r="X178" s="85">
        <f>R178/'[21]2014'!R178-1</f>
        <v>0.0209815924733068</v>
      </c>
      <c r="Y178" s="97"/>
      <c r="Z178" s="54"/>
      <c r="AA178" s="38"/>
      <c r="AB178" s="38"/>
    </row>
    <row r="179" ht="15" customHeight="1" spans="1:32">
      <c r="A179" s="21">
        <v>42178</v>
      </c>
      <c r="B179" s="15" t="s">
        <v>34</v>
      </c>
      <c r="C179" s="16">
        <v>53407</v>
      </c>
      <c r="D179" s="17">
        <v>31463</v>
      </c>
      <c r="E179" s="17">
        <v>87656</v>
      </c>
      <c r="F179" s="18">
        <v>4479</v>
      </c>
      <c r="G179" s="19">
        <v>2761</v>
      </c>
      <c r="H179" s="20"/>
      <c r="I179" s="20"/>
      <c r="J179" s="33">
        <f t="shared" si="19"/>
        <v>56193</v>
      </c>
      <c r="K179" s="34">
        <f t="shared" si="20"/>
        <v>2000</v>
      </c>
      <c r="L179" s="34">
        <v>786</v>
      </c>
      <c r="M179" s="81">
        <f t="shared" si="24"/>
        <v>1128946</v>
      </c>
      <c r="N179" s="82">
        <f t="shared" si="24"/>
        <v>687137</v>
      </c>
      <c r="O179" s="82">
        <f t="shared" si="24"/>
        <v>1881986</v>
      </c>
      <c r="P179" s="81">
        <f t="shared" si="23"/>
        <v>9355054</v>
      </c>
      <c r="Q179" s="81">
        <f t="shared" si="23"/>
        <v>4102094</v>
      </c>
      <c r="R179" s="81">
        <f t="shared" si="23"/>
        <v>13738664</v>
      </c>
      <c r="S179" s="86">
        <f>M179/'[21]2014'!M179-1</f>
        <v>-0.190084553764745</v>
      </c>
      <c r="T179" s="86">
        <f>N179/'[21]2014'!N179-1</f>
        <v>0.329162233785326</v>
      </c>
      <c r="U179" s="86">
        <f>O179/'[21]2014'!O179-1</f>
        <v>-0.0301545837904748</v>
      </c>
      <c r="V179" s="86">
        <f>P179/'[21]2014'!P179-1</f>
        <v>-0.0284571382849166</v>
      </c>
      <c r="W179" s="86">
        <f>Q179/'[21]2014'!Q179-1</f>
        <v>0.158568887839742</v>
      </c>
      <c r="X179" s="86">
        <f>R179/'[21]2014'!R179-1</f>
        <v>0.0216079826829323</v>
      </c>
      <c r="Y179" s="100">
        <v>54</v>
      </c>
      <c r="Z179" s="53">
        <f>P179/10000-Y179</f>
        <v>881.5054</v>
      </c>
      <c r="AA179" s="34">
        <v>3890.092</v>
      </c>
      <c r="AB179" s="34">
        <f>Z179*10000/AA179</f>
        <v>2266.02712737899</v>
      </c>
      <c r="AC179" s="67">
        <f>AC176+SUM(K177:K179)/10000</f>
        <v>14.7045</v>
      </c>
      <c r="AD179" s="96">
        <f>AD176+SUM(L177:L179)/10000</f>
        <v>13.4657</v>
      </c>
      <c r="AF179" s="96">
        <f>AF176+SUM(J177:J179)/10000</f>
        <v>963.657</v>
      </c>
    </row>
    <row r="180" ht="15" customHeight="1" spans="1:28">
      <c r="A180" s="21">
        <v>42179</v>
      </c>
      <c r="B180" s="21" t="s">
        <v>35</v>
      </c>
      <c r="C180" s="70">
        <v>58238</v>
      </c>
      <c r="D180" s="71">
        <v>32493</v>
      </c>
      <c r="E180" s="71">
        <v>93574</v>
      </c>
      <c r="F180" s="72">
        <v>4709</v>
      </c>
      <c r="G180" s="73">
        <v>2926</v>
      </c>
      <c r="H180" s="25"/>
      <c r="I180" s="25"/>
      <c r="J180" s="74">
        <f t="shared" si="19"/>
        <v>61081</v>
      </c>
      <c r="K180" s="75">
        <f t="shared" si="20"/>
        <v>2059</v>
      </c>
      <c r="L180" s="75">
        <v>784</v>
      </c>
      <c r="M180" s="76">
        <f t="shared" si="24"/>
        <v>1187184</v>
      </c>
      <c r="N180" s="77">
        <f t="shared" si="24"/>
        <v>719630</v>
      </c>
      <c r="O180" s="77">
        <f t="shared" si="24"/>
        <v>1975560</v>
      </c>
      <c r="P180" s="76">
        <f t="shared" si="23"/>
        <v>9413292</v>
      </c>
      <c r="Q180" s="76">
        <f t="shared" si="23"/>
        <v>4134587</v>
      </c>
      <c r="R180" s="76">
        <f t="shared" si="23"/>
        <v>13832238</v>
      </c>
      <c r="S180" s="83">
        <f>M180/'[21]2014'!M180-1</f>
        <v>-0.180717337461087</v>
      </c>
      <c r="T180" s="83">
        <f>N180/'[21]2014'!N180-1</f>
        <v>0.338258922593987</v>
      </c>
      <c r="U180" s="83">
        <f>O180/'[21]2014'!O180-1</f>
        <v>-0.0213570994410685</v>
      </c>
      <c r="V180" s="83">
        <f>P180/'[21]2014'!P180-1</f>
        <v>-0.0279759093000971</v>
      </c>
      <c r="W180" s="83">
        <f>Q180/'[21]2014'!Q180-1</f>
        <v>0.160937087462899</v>
      </c>
      <c r="X180" s="83">
        <f>R180/'[21]2014'!R180-1</f>
        <v>0.0226217788655774</v>
      </c>
      <c r="Y180" s="89"/>
      <c r="Z180" s="101"/>
      <c r="AA180" s="89"/>
      <c r="AB180" s="75"/>
    </row>
    <row r="181" ht="15" customHeight="1" spans="1:28">
      <c r="A181" s="15">
        <v>42180</v>
      </c>
      <c r="B181" s="21" t="s">
        <v>36</v>
      </c>
      <c r="C181" s="22">
        <v>64188</v>
      </c>
      <c r="D181" s="8">
        <v>32605</v>
      </c>
      <c r="E181" s="8">
        <v>99335</v>
      </c>
      <c r="F181" s="23">
        <v>5014</v>
      </c>
      <c r="G181" s="24">
        <v>3156.6</v>
      </c>
      <c r="H181" s="25"/>
      <c r="I181" s="37"/>
      <c r="J181" s="9">
        <f t="shared" si="19"/>
        <v>66730</v>
      </c>
      <c r="K181" s="38">
        <f t="shared" si="20"/>
        <v>1796</v>
      </c>
      <c r="L181" s="38">
        <v>746</v>
      </c>
      <c r="M181" s="78">
        <f t="shared" si="24"/>
        <v>1251372</v>
      </c>
      <c r="N181" s="79">
        <f t="shared" si="24"/>
        <v>752235</v>
      </c>
      <c r="O181" s="79">
        <f t="shared" si="24"/>
        <v>2074895</v>
      </c>
      <c r="P181" s="80">
        <f t="shared" si="23"/>
        <v>9477480</v>
      </c>
      <c r="Q181" s="80">
        <f t="shared" si="23"/>
        <v>4167192</v>
      </c>
      <c r="R181" s="80">
        <f t="shared" si="23"/>
        <v>13931573</v>
      </c>
      <c r="S181" s="84">
        <f>M181/'[21]2014'!M181-1</f>
        <v>-0.165555070996755</v>
      </c>
      <c r="T181" s="84">
        <f>N181/'[21]2014'!N181-1</f>
        <v>0.337618183079081</v>
      </c>
      <c r="U181" s="84">
        <f>O181/'[21]2014'!O181-1</f>
        <v>-0.0104987815404571</v>
      </c>
      <c r="V181" s="85">
        <f>P181/'[21]2014'!P181-1</f>
        <v>-0.0264339803324168</v>
      </c>
      <c r="W181" s="85">
        <f>Q181/'[21]2014'!Q181-1</f>
        <v>0.162054648853555</v>
      </c>
      <c r="X181" s="85">
        <f>R181/'[21]2014'!R181-1</f>
        <v>0.0240424968727744</v>
      </c>
      <c r="Y181" s="97">
        <f>Y176+0.3*5</f>
        <v>54.6127</v>
      </c>
      <c r="Z181" s="54">
        <f>P181/10000-Y181</f>
        <v>893.1353</v>
      </c>
      <c r="AA181" s="38">
        <v>3890.092</v>
      </c>
      <c r="AB181" s="38">
        <f>Z181*10000/AA181</f>
        <v>2295.92333548924</v>
      </c>
    </row>
    <row r="182" ht="15" customHeight="1" spans="1:28">
      <c r="A182" s="21">
        <v>42181</v>
      </c>
      <c r="B182" s="21" t="s">
        <v>37</v>
      </c>
      <c r="C182" s="22">
        <v>63353</v>
      </c>
      <c r="D182" s="8">
        <f>E182-C182-K182-L182</f>
        <v>34393</v>
      </c>
      <c r="E182" s="8">
        <v>100474</v>
      </c>
      <c r="F182" s="23">
        <v>5064</v>
      </c>
      <c r="G182" s="24">
        <v>3365</v>
      </c>
      <c r="H182" s="25"/>
      <c r="I182" s="37"/>
      <c r="J182" s="9">
        <f t="shared" si="19"/>
        <v>66081</v>
      </c>
      <c r="K182" s="38">
        <v>1951</v>
      </c>
      <c r="L182" s="38">
        <v>777</v>
      </c>
      <c r="M182" s="78">
        <f t="shared" si="24"/>
        <v>1314725</v>
      </c>
      <c r="N182" s="79">
        <f t="shared" si="24"/>
        <v>786628</v>
      </c>
      <c r="O182" s="79">
        <f t="shared" si="24"/>
        <v>2175369</v>
      </c>
      <c r="P182" s="80">
        <f t="shared" si="23"/>
        <v>9540833</v>
      </c>
      <c r="Q182" s="80">
        <f t="shared" si="23"/>
        <v>4201585</v>
      </c>
      <c r="R182" s="80">
        <f t="shared" si="23"/>
        <v>14032047</v>
      </c>
      <c r="S182" s="84">
        <f>M182/'[21]2014'!M182-1</f>
        <v>-0.151930937902554</v>
      </c>
      <c r="T182" s="84">
        <f>N182/'[21]2014'!N182-1</f>
        <v>0.333647547098157</v>
      </c>
      <c r="U182" s="84">
        <f>O182/'[21]2014'!O182-1</f>
        <v>-0.00135792284629443</v>
      </c>
      <c r="V182" s="85">
        <f>P182/'[21]2014'!P182-1</f>
        <v>-0.0249951203682374</v>
      </c>
      <c r="W182" s="85">
        <f>Q182/'[21]2014'!Q182-1</f>
        <v>0.162740820365615</v>
      </c>
      <c r="X182" s="85">
        <f>R182/'[21]2014'!R182-1</f>
        <v>0.0252919234237865</v>
      </c>
      <c r="Y182" s="97"/>
      <c r="Z182" s="54"/>
      <c r="AA182" s="38"/>
      <c r="AB182" s="38"/>
    </row>
    <row r="183" ht="15" customHeight="1" spans="1:28">
      <c r="A183" s="21">
        <v>42182</v>
      </c>
      <c r="B183" s="21" t="s">
        <v>38</v>
      </c>
      <c r="C183" s="22">
        <v>62233</v>
      </c>
      <c r="D183" s="8">
        <f t="shared" ref="D183:D202" si="26">E183-C183-K183-L183</f>
        <v>35232</v>
      </c>
      <c r="E183" s="8">
        <v>98645</v>
      </c>
      <c r="F183" s="23">
        <v>4906</v>
      </c>
      <c r="G183" s="24">
        <v>3328.6</v>
      </c>
      <c r="H183" s="25"/>
      <c r="I183" s="37"/>
      <c r="J183" s="9">
        <f t="shared" si="19"/>
        <v>63413</v>
      </c>
      <c r="K183" s="38">
        <v>401</v>
      </c>
      <c r="L183" s="38">
        <v>779</v>
      </c>
      <c r="M183" s="78">
        <f t="shared" si="24"/>
        <v>1376958</v>
      </c>
      <c r="N183" s="79">
        <f t="shared" si="24"/>
        <v>821860</v>
      </c>
      <c r="O183" s="79">
        <f t="shared" si="24"/>
        <v>2274014</v>
      </c>
      <c r="P183" s="80">
        <f t="shared" si="23"/>
        <v>9603066</v>
      </c>
      <c r="Q183" s="80">
        <f t="shared" si="23"/>
        <v>4236817</v>
      </c>
      <c r="R183" s="80">
        <f t="shared" si="23"/>
        <v>14130692</v>
      </c>
      <c r="S183" s="84">
        <f>M183/'[21]2014'!M183-1</f>
        <v>-0.139867334388178</v>
      </c>
      <c r="T183" s="84">
        <f>N183/'[21]2014'!N183-1</f>
        <v>0.332915982795643</v>
      </c>
      <c r="U183" s="84">
        <f>O183/'[21]2014'!O183-1</f>
        <v>0.00634114931948471</v>
      </c>
      <c r="V183" s="85">
        <f>P183/'[21]2014'!P183-1</f>
        <v>-0.0236848354226935</v>
      </c>
      <c r="W183" s="85">
        <f>Q183/'[21]2014'!Q183-1</f>
        <v>0.163873072085423</v>
      </c>
      <c r="X183" s="85">
        <f>R183/'[21]2014'!R183-1</f>
        <v>0.0263981201037868</v>
      </c>
      <c r="Y183" s="97"/>
      <c r="Z183" s="54"/>
      <c r="AA183" s="38"/>
      <c r="AB183" s="38"/>
    </row>
    <row r="184" ht="15" customHeight="1" spans="1:28">
      <c r="A184" s="21">
        <v>42183</v>
      </c>
      <c r="B184" s="21" t="s">
        <v>1</v>
      </c>
      <c r="C184" s="22">
        <v>56200</v>
      </c>
      <c r="D184" s="8">
        <f t="shared" si="26"/>
        <v>33359</v>
      </c>
      <c r="E184" s="8">
        <v>90752</v>
      </c>
      <c r="F184" s="23">
        <v>4388</v>
      </c>
      <c r="G184" s="24">
        <v>3302.9</v>
      </c>
      <c r="H184" s="25"/>
      <c r="I184" s="37"/>
      <c r="J184" s="9">
        <f t="shared" si="19"/>
        <v>57393</v>
      </c>
      <c r="K184" s="38">
        <v>412</v>
      </c>
      <c r="L184" s="38">
        <v>781</v>
      </c>
      <c r="M184" s="78">
        <f t="shared" si="24"/>
        <v>1433158</v>
      </c>
      <c r="N184" s="79">
        <f t="shared" si="24"/>
        <v>855219</v>
      </c>
      <c r="O184" s="79">
        <f t="shared" si="24"/>
        <v>2364766</v>
      </c>
      <c r="P184" s="80">
        <f t="shared" si="23"/>
        <v>9659266</v>
      </c>
      <c r="Q184" s="80">
        <f t="shared" si="23"/>
        <v>4270176</v>
      </c>
      <c r="R184" s="80">
        <f t="shared" si="23"/>
        <v>14221444</v>
      </c>
      <c r="S184" s="84">
        <f>M184/'[21]2014'!M184-1</f>
        <v>-0.131147153380787</v>
      </c>
      <c r="T184" s="84">
        <f>N184/'[21]2014'!N184-1</f>
        <v>0.331896914216656</v>
      </c>
      <c r="U184" s="84">
        <f>O184/'[21]2014'!O184-1</f>
        <v>0.0114447854754989</v>
      </c>
      <c r="V184" s="85">
        <f>P184/'[21]2014'!P184-1</f>
        <v>-0.0228010949955271</v>
      </c>
      <c r="W184" s="85">
        <f>Q184/'[21]2014'!Q184-1</f>
        <v>0.164871297529393</v>
      </c>
      <c r="X184" s="85">
        <f>R184/'[21]2014'!R184-1</f>
        <v>0.0271464756206807</v>
      </c>
      <c r="Y184" s="97">
        <f>Y181+0.25*3</f>
        <v>55.3627</v>
      </c>
      <c r="Z184" s="54">
        <f>P184/10000-Y184</f>
        <v>910.5639</v>
      </c>
      <c r="AA184" s="38">
        <v>3890.092</v>
      </c>
      <c r="AB184" s="38">
        <f>Z184*10000/AA184</f>
        <v>2340.72587486363</v>
      </c>
    </row>
    <row r="185" ht="15" customHeight="1" spans="1:28">
      <c r="A185" s="21">
        <v>42184</v>
      </c>
      <c r="B185" s="21" t="s">
        <v>39</v>
      </c>
      <c r="C185" s="22">
        <v>64479</v>
      </c>
      <c r="D185" s="8">
        <f t="shared" si="26"/>
        <v>33276</v>
      </c>
      <c r="E185" s="8">
        <v>98683</v>
      </c>
      <c r="F185" s="23">
        <v>4968.6</v>
      </c>
      <c r="G185" s="24">
        <v>3092.2</v>
      </c>
      <c r="H185" s="25"/>
      <c r="I185" s="37"/>
      <c r="J185" s="9">
        <f t="shared" si="19"/>
        <v>65407</v>
      </c>
      <c r="K185" s="38">
        <v>149</v>
      </c>
      <c r="L185" s="38">
        <v>779</v>
      </c>
      <c r="M185" s="78">
        <f t="shared" si="24"/>
        <v>1497637</v>
      </c>
      <c r="N185" s="79">
        <f t="shared" si="24"/>
        <v>888495</v>
      </c>
      <c r="O185" s="79">
        <f t="shared" si="24"/>
        <v>2463449</v>
      </c>
      <c r="P185" s="80">
        <f t="shared" si="23"/>
        <v>9723745</v>
      </c>
      <c r="Q185" s="80">
        <f t="shared" si="23"/>
        <v>4303452</v>
      </c>
      <c r="R185" s="80">
        <f t="shared" si="23"/>
        <v>14320127</v>
      </c>
      <c r="S185" s="84">
        <f>M185/'[21]2014'!M185-1</f>
        <v>-0.116003390458786</v>
      </c>
      <c r="T185" s="84">
        <f>N185/'[21]2014'!N185-1</f>
        <v>0.330375097513974</v>
      </c>
      <c r="U185" s="84">
        <f>O185/'[21]2014'!O185-1</f>
        <v>0.0214968691001478</v>
      </c>
      <c r="V185" s="85">
        <f>P185/'[21]2014'!P185-1</f>
        <v>-0.0207047982856954</v>
      </c>
      <c r="W185" s="85">
        <f>Q185/'[21]2014'!Q185-1</f>
        <v>0.165760915277858</v>
      </c>
      <c r="X185" s="85">
        <f>R185/'[21]2014'!R185-1</f>
        <v>0.0288050531835193</v>
      </c>
      <c r="Y185" s="97"/>
      <c r="Z185" s="54"/>
      <c r="AA185" s="38"/>
      <c r="AB185" s="38"/>
    </row>
    <row r="186" s="1" customFormat="1" ht="15" customHeight="1" spans="1:32">
      <c r="A186" s="26">
        <v>42185</v>
      </c>
      <c r="B186" s="15" t="s">
        <v>34</v>
      </c>
      <c r="C186" s="16">
        <v>66008</v>
      </c>
      <c r="D186" s="17">
        <v>36934</v>
      </c>
      <c r="E186" s="17">
        <v>104638</v>
      </c>
      <c r="F186" s="18">
        <v>5315.4</v>
      </c>
      <c r="G186" s="19">
        <v>3413.8</v>
      </c>
      <c r="H186" s="20"/>
      <c r="I186" s="20"/>
      <c r="J186" s="33">
        <f t="shared" si="19"/>
        <v>67704</v>
      </c>
      <c r="K186" s="34">
        <f t="shared" si="20"/>
        <v>917</v>
      </c>
      <c r="L186" s="34">
        <v>779</v>
      </c>
      <c r="M186" s="81">
        <f t="shared" si="24"/>
        <v>1563645</v>
      </c>
      <c r="N186" s="82">
        <f t="shared" si="24"/>
        <v>925429</v>
      </c>
      <c r="O186" s="82">
        <f t="shared" si="24"/>
        <v>2568087</v>
      </c>
      <c r="P186" s="81">
        <f t="shared" si="23"/>
        <v>9789753</v>
      </c>
      <c r="Q186" s="81">
        <f t="shared" si="23"/>
        <v>4340386</v>
      </c>
      <c r="R186" s="81">
        <f t="shared" si="23"/>
        <v>14424765</v>
      </c>
      <c r="S186" s="86">
        <f>M186/'[21]2014'!M186-1</f>
        <v>-0.101908303777838</v>
      </c>
      <c r="T186" s="86">
        <f>N186/'[21]2014'!N186-1</f>
        <v>0.332808618194125</v>
      </c>
      <c r="U186" s="86">
        <f>O186/'[21]2014'!O186-1</f>
        <v>0.0321635875633324</v>
      </c>
      <c r="V186" s="86">
        <f>P186/'[21]2014'!P186-1</f>
        <v>-0.0187096397821741</v>
      </c>
      <c r="W186" s="86">
        <f>Q186/'[21]2014'!Q186-1</f>
        <v>0.16738829860783</v>
      </c>
      <c r="X186" s="86">
        <f>R186/'[21]2014'!R186-1</f>
        <v>0.0306613963888449</v>
      </c>
      <c r="Y186" s="100">
        <v>59.0863</v>
      </c>
      <c r="Z186" s="53">
        <f>P186/10000-Y186</f>
        <v>919.889</v>
      </c>
      <c r="AA186" s="34">
        <v>3890.092</v>
      </c>
      <c r="AB186" s="34">
        <f>Z186*10000/AA186</f>
        <v>2364.69728736493</v>
      </c>
      <c r="AC186" s="90">
        <v>15.454</v>
      </c>
      <c r="AD186" s="1">
        <v>14.0083</v>
      </c>
      <c r="AF186" s="1">
        <v>1008.4379</v>
      </c>
    </row>
    <row r="187" ht="15" customHeight="1" spans="1:28">
      <c r="A187" s="21">
        <v>42186</v>
      </c>
      <c r="B187" s="21" t="s">
        <v>35</v>
      </c>
      <c r="C187" s="70">
        <v>47786</v>
      </c>
      <c r="D187" s="71">
        <f t="shared" si="26"/>
        <v>39059</v>
      </c>
      <c r="E187" s="71">
        <v>88804</v>
      </c>
      <c r="F187" s="72">
        <v>4459.5</v>
      </c>
      <c r="G187" s="73">
        <v>3176</v>
      </c>
      <c r="H187" s="25"/>
      <c r="I187" s="25"/>
      <c r="J187" s="74">
        <f t="shared" si="19"/>
        <v>49745</v>
      </c>
      <c r="K187" s="75">
        <v>1178</v>
      </c>
      <c r="L187" s="75">
        <v>781</v>
      </c>
      <c r="M187" s="76">
        <f>C187</f>
        <v>47786</v>
      </c>
      <c r="N187" s="77">
        <f>D187</f>
        <v>39059</v>
      </c>
      <c r="O187" s="77">
        <f>E187</f>
        <v>88804</v>
      </c>
      <c r="P187" s="76">
        <f t="shared" ref="P187:R202" si="27">P$186+M187</f>
        <v>9837539</v>
      </c>
      <c r="Q187" s="76">
        <f t="shared" si="27"/>
        <v>4379445</v>
      </c>
      <c r="R187" s="76">
        <f t="shared" si="27"/>
        <v>14513569</v>
      </c>
      <c r="S187" s="83">
        <f>M187/'[21]2014'!M187-1</f>
        <v>0.0652013998796281</v>
      </c>
      <c r="T187" s="83">
        <f>N187/'[21]2014'!N187-1</f>
        <v>0.357629475147723</v>
      </c>
      <c r="U187" s="83">
        <f>O187/'[21]2014'!O187-1</f>
        <v>0.154498179927197</v>
      </c>
      <c r="V187" s="83">
        <f>P187/'[21]2014'!P187-1</f>
        <v>-0.0183340054039064</v>
      </c>
      <c r="W187" s="83">
        <f>Q187/'[21]2014'!Q187-1</f>
        <v>0.168849075014951</v>
      </c>
      <c r="X187" s="83">
        <f>R187/'[21]2014'!R187-1</f>
        <v>0.0313382828940973</v>
      </c>
      <c r="Y187" s="89"/>
      <c r="Z187" s="101"/>
      <c r="AA187" s="89"/>
      <c r="AB187" s="75"/>
    </row>
    <row r="188" ht="15" customHeight="1" spans="1:28">
      <c r="A188" s="21">
        <v>42187</v>
      </c>
      <c r="B188" s="21" t="s">
        <v>36</v>
      </c>
      <c r="C188" s="22">
        <v>44438</v>
      </c>
      <c r="D188" s="8">
        <v>41291</v>
      </c>
      <c r="E188" s="8">
        <v>86998</v>
      </c>
      <c r="F188" s="23">
        <v>4437.9</v>
      </c>
      <c r="G188" s="24">
        <v>2874.2</v>
      </c>
      <c r="H188" s="25"/>
      <c r="I188" s="37"/>
      <c r="J188" s="9">
        <f t="shared" si="19"/>
        <v>45707</v>
      </c>
      <c r="K188" s="38">
        <f t="shared" si="20"/>
        <v>487</v>
      </c>
      <c r="L188" s="38">
        <v>782</v>
      </c>
      <c r="M188" s="78">
        <f t="shared" ref="M188:O203" si="28">C188+M187</f>
        <v>92224</v>
      </c>
      <c r="N188" s="79">
        <f t="shared" si="28"/>
        <v>80350</v>
      </c>
      <c r="O188" s="79">
        <f t="shared" si="28"/>
        <v>175802</v>
      </c>
      <c r="P188" s="76">
        <f t="shared" si="27"/>
        <v>9881977</v>
      </c>
      <c r="Q188" s="80">
        <f t="shared" si="27"/>
        <v>4420736</v>
      </c>
      <c r="R188" s="80">
        <f t="shared" si="27"/>
        <v>14600567</v>
      </c>
      <c r="S188" s="84">
        <f>M188/'[21]2014'!M188-1</f>
        <v>0.000705302791913942</v>
      </c>
      <c r="T188" s="84">
        <f>N188/'[21]2014'!N188-1</f>
        <v>0.335782683867536</v>
      </c>
      <c r="U188" s="84">
        <f>O188/'[21]2014'!O188-1</f>
        <v>0.105082188767011</v>
      </c>
      <c r="V188" s="85">
        <f>P188/'[21]2014'!P188-1</f>
        <v>-0.018531932101162</v>
      </c>
      <c r="W188" s="85">
        <f>Q188/'[21]2014'!Q188-1</f>
        <v>0.170069285419227</v>
      </c>
      <c r="X188" s="85">
        <f>R188/'[21]2014'!R188-1</f>
        <v>0.0314978119644262</v>
      </c>
      <c r="Y188" s="97">
        <f>Y186+0.55*2</f>
        <v>60.1863</v>
      </c>
      <c r="Z188" s="54">
        <f>P188/10000-Y188</f>
        <v>928.0114</v>
      </c>
      <c r="AA188" s="38">
        <v>3890.092</v>
      </c>
      <c r="AB188" s="38">
        <f>Z188*10000/AA188</f>
        <v>2385.57699920722</v>
      </c>
    </row>
    <row r="189" ht="15" customHeight="1" spans="1:28">
      <c r="A189" s="21">
        <v>42188</v>
      </c>
      <c r="B189" s="21" t="s">
        <v>37</v>
      </c>
      <c r="C189" s="22">
        <v>44051</v>
      </c>
      <c r="D189" s="8">
        <f t="shared" si="26"/>
        <v>39385</v>
      </c>
      <c r="E189" s="8">
        <v>86087</v>
      </c>
      <c r="F189" s="23">
        <v>4431</v>
      </c>
      <c r="G189" s="24">
        <v>2942</v>
      </c>
      <c r="H189" s="25"/>
      <c r="I189" s="37"/>
      <c r="J189" s="9">
        <f t="shared" si="19"/>
        <v>46702</v>
      </c>
      <c r="K189" s="38">
        <v>1871</v>
      </c>
      <c r="L189" s="38">
        <v>780</v>
      </c>
      <c r="M189" s="78">
        <f t="shared" si="28"/>
        <v>136275</v>
      </c>
      <c r="N189" s="79">
        <f t="shared" si="28"/>
        <v>119735</v>
      </c>
      <c r="O189" s="79">
        <f t="shared" si="28"/>
        <v>261889</v>
      </c>
      <c r="P189" s="76">
        <f t="shared" si="27"/>
        <v>9926028</v>
      </c>
      <c r="Q189" s="80">
        <f t="shared" si="27"/>
        <v>4460121</v>
      </c>
      <c r="R189" s="80">
        <f t="shared" si="27"/>
        <v>14686654</v>
      </c>
      <c r="S189" s="84">
        <f>M189/'[21]2014'!M189-1</f>
        <v>-0.0376806886470684</v>
      </c>
      <c r="T189" s="84">
        <f>N189/'[21]2014'!N189-1</f>
        <v>0.289053248067524</v>
      </c>
      <c r="U189" s="84">
        <f>O189/'[21]2014'!O189-1</f>
        <v>0.0715238453733102</v>
      </c>
      <c r="V189" s="85">
        <f>P189/'[21]2014'!P189-1</f>
        <v>-0.0189751570934983</v>
      </c>
      <c r="W189" s="85">
        <f>Q189/'[21]2014'!Q189-1</f>
        <v>0.17035371879383</v>
      </c>
      <c r="X189" s="85">
        <f>R189/'[21]2014'!R189-1</f>
        <v>0.0313627360206017</v>
      </c>
      <c r="Y189" s="97"/>
      <c r="Z189" s="54"/>
      <c r="AA189" s="38"/>
      <c r="AB189" s="38"/>
    </row>
    <row r="190" ht="15" customHeight="1" spans="1:28">
      <c r="A190" s="21">
        <v>42189</v>
      </c>
      <c r="B190" s="21" t="s">
        <v>38</v>
      </c>
      <c r="C190" s="22">
        <v>40039</v>
      </c>
      <c r="D190" s="8">
        <f t="shared" si="26"/>
        <v>36097</v>
      </c>
      <c r="E190" s="8">
        <v>79119</v>
      </c>
      <c r="F190" s="23">
        <v>4090.7</v>
      </c>
      <c r="G190" s="24">
        <v>2792.2</v>
      </c>
      <c r="H190" s="25"/>
      <c r="I190" s="37"/>
      <c r="J190" s="9">
        <f t="shared" si="19"/>
        <v>43022</v>
      </c>
      <c r="K190" s="38">
        <v>2201</v>
      </c>
      <c r="L190" s="38">
        <v>782</v>
      </c>
      <c r="M190" s="78">
        <f t="shared" si="28"/>
        <v>176314</v>
      </c>
      <c r="N190" s="79">
        <f t="shared" si="28"/>
        <v>155832</v>
      </c>
      <c r="O190" s="79">
        <f t="shared" si="28"/>
        <v>341008</v>
      </c>
      <c r="P190" s="76">
        <f t="shared" si="27"/>
        <v>9966067</v>
      </c>
      <c r="Q190" s="80">
        <f t="shared" si="27"/>
        <v>4496218</v>
      </c>
      <c r="R190" s="80">
        <f t="shared" si="27"/>
        <v>14765773</v>
      </c>
      <c r="S190" s="84">
        <f>M190/'[21]2014'!M190-1</f>
        <v>-0.0756414423671766</v>
      </c>
      <c r="T190" s="84">
        <f>N190/'[21]2014'!N190-1</f>
        <v>0.224314705258444</v>
      </c>
      <c r="U190" s="84">
        <f>O190/'[21]2014'!O190-1</f>
        <v>0.030204525543035</v>
      </c>
      <c r="V190" s="85">
        <f>P190/'[21]2014'!P190-1</f>
        <v>-0.0197777154856572</v>
      </c>
      <c r="W190" s="85">
        <f>Q190/'[21]2014'!Q190-1</f>
        <v>0.169272579981219</v>
      </c>
      <c r="X190" s="85">
        <f>R190/'[21]2014'!R190-1</f>
        <v>0.0306508406184771</v>
      </c>
      <c r="Y190" s="97"/>
      <c r="Z190" s="54"/>
      <c r="AA190" s="38"/>
      <c r="AB190" s="38"/>
    </row>
    <row r="191" ht="15" customHeight="1" spans="1:28">
      <c r="A191" s="21">
        <v>42190</v>
      </c>
      <c r="B191" s="21" t="s">
        <v>1</v>
      </c>
      <c r="C191" s="22">
        <v>31393</v>
      </c>
      <c r="D191" s="8">
        <f t="shared" si="26"/>
        <v>35932</v>
      </c>
      <c r="E191" s="8">
        <v>70658</v>
      </c>
      <c r="F191" s="23">
        <v>3529.9</v>
      </c>
      <c r="G191" s="24">
        <v>2543.3</v>
      </c>
      <c r="H191" s="25"/>
      <c r="I191" s="37"/>
      <c r="J191" s="9">
        <f t="shared" si="19"/>
        <v>34726</v>
      </c>
      <c r="K191" s="38">
        <v>2551</v>
      </c>
      <c r="L191" s="38">
        <v>782</v>
      </c>
      <c r="M191" s="78">
        <f t="shared" si="28"/>
        <v>207707</v>
      </c>
      <c r="N191" s="79">
        <f t="shared" si="28"/>
        <v>191764</v>
      </c>
      <c r="O191" s="79">
        <f t="shared" si="28"/>
        <v>411666</v>
      </c>
      <c r="P191" s="76">
        <f t="shared" si="27"/>
        <v>9997460</v>
      </c>
      <c r="Q191" s="80">
        <f t="shared" si="27"/>
        <v>4532150</v>
      </c>
      <c r="R191" s="80">
        <f t="shared" si="27"/>
        <v>14836431</v>
      </c>
      <c r="S191" s="84">
        <f>M191/'[21]2014'!M191-1</f>
        <v>-0.156574598198696</v>
      </c>
      <c r="T191" s="84">
        <f>N191/'[21]2014'!N191-1</f>
        <v>0.237498467356303</v>
      </c>
      <c r="U191" s="84">
        <f>O191/'[21]2014'!O191-1</f>
        <v>-0.0154522429788079</v>
      </c>
      <c r="V191" s="85">
        <f>P191/'[21]2014'!P191-1</f>
        <v>-0.0220308306808962</v>
      </c>
      <c r="W191" s="85">
        <f>Q191/'[21]2014'!Q191-1</f>
        <v>0.170193453273504</v>
      </c>
      <c r="X191" s="85">
        <f>R191/'[21]2014'!R191-1</f>
        <v>0.0293236920391389</v>
      </c>
      <c r="Y191" s="97"/>
      <c r="Z191" s="54"/>
      <c r="AA191" s="38"/>
      <c r="AB191" s="38"/>
    </row>
    <row r="192" ht="15" customHeight="1" spans="1:28">
      <c r="A192" s="21">
        <v>42191</v>
      </c>
      <c r="B192" s="21" t="s">
        <v>39</v>
      </c>
      <c r="C192" s="22">
        <v>34397</v>
      </c>
      <c r="D192" s="8">
        <f t="shared" si="26"/>
        <v>36303</v>
      </c>
      <c r="E192" s="8">
        <v>74468</v>
      </c>
      <c r="F192" s="23">
        <v>3924.8</v>
      </c>
      <c r="G192" s="24">
        <v>2401.8</v>
      </c>
      <c r="H192" s="25"/>
      <c r="I192" s="37"/>
      <c r="J192" s="9">
        <f t="shared" si="19"/>
        <v>38165</v>
      </c>
      <c r="K192" s="38">
        <v>2982</v>
      </c>
      <c r="L192" s="38">
        <v>786</v>
      </c>
      <c r="M192" s="78">
        <f t="shared" si="28"/>
        <v>242104</v>
      </c>
      <c r="N192" s="79">
        <f t="shared" si="28"/>
        <v>228067</v>
      </c>
      <c r="O192" s="79">
        <f t="shared" si="28"/>
        <v>486134</v>
      </c>
      <c r="P192" s="76">
        <f t="shared" si="27"/>
        <v>10031857</v>
      </c>
      <c r="Q192" s="80">
        <f t="shared" si="27"/>
        <v>4568453</v>
      </c>
      <c r="R192" s="80">
        <f t="shared" si="27"/>
        <v>14910899</v>
      </c>
      <c r="S192" s="84">
        <f>M192/'[21]2014'!M192-1</f>
        <v>-0.187284110173048</v>
      </c>
      <c r="T192" s="84">
        <f>N192/'[21]2014'!N192-1</f>
        <v>0.251602458566568</v>
      </c>
      <c r="U192" s="84">
        <f>O192/'[21]2014'!O192-1</f>
        <v>-0.0306710055112898</v>
      </c>
      <c r="V192" s="85">
        <f>P192/'[21]2014'!P192-1</f>
        <v>-0.0235973184750342</v>
      </c>
      <c r="W192" s="85">
        <f>Q192/'[21]2014'!Q192-1</f>
        <v>0.171322789960882</v>
      </c>
      <c r="X192" s="85">
        <f>R192/'[21]2014'!R192-1</f>
        <v>0.0285396572937004</v>
      </c>
      <c r="Y192" s="97"/>
      <c r="Z192" s="54"/>
      <c r="AA192" s="38"/>
      <c r="AB192" s="38"/>
    </row>
    <row r="193" ht="15" customHeight="1" spans="1:32">
      <c r="A193" s="21">
        <v>42192</v>
      </c>
      <c r="B193" s="15" t="s">
        <v>34</v>
      </c>
      <c r="C193" s="16">
        <v>33747</v>
      </c>
      <c r="D193" s="17">
        <f t="shared" si="26"/>
        <v>37413</v>
      </c>
      <c r="E193" s="17">
        <v>75459</v>
      </c>
      <c r="F193" s="18">
        <v>3923.2</v>
      </c>
      <c r="G193" s="19">
        <v>2494.9</v>
      </c>
      <c r="H193" s="20"/>
      <c r="I193" s="20"/>
      <c r="J193" s="33">
        <f t="shared" ref="J193:J256" si="29">E193-D193</f>
        <v>38046</v>
      </c>
      <c r="K193" s="34">
        <v>3517</v>
      </c>
      <c r="L193" s="34">
        <v>782</v>
      </c>
      <c r="M193" s="81">
        <f t="shared" si="28"/>
        <v>275851</v>
      </c>
      <c r="N193" s="82">
        <f t="shared" si="28"/>
        <v>265480</v>
      </c>
      <c r="O193" s="82">
        <f t="shared" si="28"/>
        <v>561593</v>
      </c>
      <c r="P193" s="81">
        <f t="shared" si="27"/>
        <v>10065604</v>
      </c>
      <c r="Q193" s="81">
        <f t="shared" si="27"/>
        <v>4605866</v>
      </c>
      <c r="R193" s="81">
        <f t="shared" si="27"/>
        <v>14986358</v>
      </c>
      <c r="S193" s="86">
        <f>M193/'[21]2014'!M193-1</f>
        <v>-0.21423403406825</v>
      </c>
      <c r="T193" s="86">
        <f>N193/'[21]2014'!N193-1</f>
        <v>0.232114430516042</v>
      </c>
      <c r="U193" s="86">
        <f>O193/'[21]2014'!O193-1</f>
        <v>-0.0487891219143697</v>
      </c>
      <c r="V193" s="86">
        <f>P193/'[21]2014'!P193-1</f>
        <v>-0.0253560698517779</v>
      </c>
      <c r="W193" s="86">
        <f>Q193/'[21]2014'!Q193-1</f>
        <v>0.170933831136209</v>
      </c>
      <c r="X193" s="86">
        <f>R193/'[21]2014'!R193-1</f>
        <v>0.0274454833488165</v>
      </c>
      <c r="Y193" s="100">
        <v>60.43</v>
      </c>
      <c r="Z193" s="53">
        <f>P193/10000-Y193</f>
        <v>946.1304</v>
      </c>
      <c r="AA193" s="34">
        <v>3890.092</v>
      </c>
      <c r="AB193" s="34">
        <f>Z193*10000/AA193</f>
        <v>2432.15430380567</v>
      </c>
      <c r="AC193" s="67">
        <f>AC186+SUM(K187:K193)/10000</f>
        <v>16.9327</v>
      </c>
      <c r="AD193" s="96">
        <f>AD186+SUM(L187:L193)/10000</f>
        <v>14.5558</v>
      </c>
      <c r="AF193" s="96">
        <f>AF186+SUM(J187:J193)/10000</f>
        <v>1038.0492</v>
      </c>
    </row>
    <row r="194" ht="15" customHeight="1" spans="1:28">
      <c r="A194" s="21">
        <v>42193</v>
      </c>
      <c r="B194" s="21" t="s">
        <v>35</v>
      </c>
      <c r="C194" s="70">
        <v>35326</v>
      </c>
      <c r="D194" s="71">
        <f t="shared" si="26"/>
        <v>36428</v>
      </c>
      <c r="E194" s="71">
        <v>76430</v>
      </c>
      <c r="F194" s="72">
        <v>3986.2</v>
      </c>
      <c r="G194" s="73">
        <v>2512.2</v>
      </c>
      <c r="H194" s="25"/>
      <c r="I194" s="25"/>
      <c r="J194" s="74">
        <f t="shared" si="29"/>
        <v>40002</v>
      </c>
      <c r="K194" s="75">
        <v>3891</v>
      </c>
      <c r="L194" s="75">
        <v>785</v>
      </c>
      <c r="M194" s="76">
        <f t="shared" si="28"/>
        <v>311177</v>
      </c>
      <c r="N194" s="77">
        <f t="shared" si="28"/>
        <v>301908</v>
      </c>
      <c r="O194" s="77">
        <f t="shared" si="28"/>
        <v>638023</v>
      </c>
      <c r="P194" s="76">
        <f t="shared" si="27"/>
        <v>10100930</v>
      </c>
      <c r="Q194" s="76">
        <f t="shared" si="27"/>
        <v>4642294</v>
      </c>
      <c r="R194" s="76">
        <f t="shared" si="27"/>
        <v>15062788</v>
      </c>
      <c r="S194" s="83">
        <f>M194/'[21]2014'!M194-1</f>
        <v>-0.23583351137371</v>
      </c>
      <c r="T194" s="83">
        <f>N194/'[21]2014'!N194-1</f>
        <v>0.211047152971379</v>
      </c>
      <c r="U194" s="83">
        <f>O194/'[21]2014'!O194-1</f>
        <v>-0.0657741568476432</v>
      </c>
      <c r="V194" s="83">
        <f>P194/'[21]2014'!P194-1</f>
        <v>-0.0272245158455833</v>
      </c>
      <c r="W194" s="83">
        <f>Q194/'[21]2014'!Q194-1</f>
        <v>0.170131691468468</v>
      </c>
      <c r="X194" s="83">
        <f>R194/'[21]2014'!R194-1</f>
        <v>0.0261745879685154</v>
      </c>
      <c r="Y194" s="89"/>
      <c r="Z194" s="101"/>
      <c r="AA194" s="89"/>
      <c r="AB194" s="75"/>
    </row>
    <row r="195" ht="15" customHeight="1" spans="1:28">
      <c r="A195" s="21">
        <v>42194</v>
      </c>
      <c r="B195" s="21" t="s">
        <v>36</v>
      </c>
      <c r="C195" s="22">
        <v>37514</v>
      </c>
      <c r="D195" s="8">
        <f t="shared" si="26"/>
        <v>36451</v>
      </c>
      <c r="E195" s="8">
        <v>78572</v>
      </c>
      <c r="F195" s="23">
        <v>4071</v>
      </c>
      <c r="G195" s="24">
        <v>2519</v>
      </c>
      <c r="H195" s="25"/>
      <c r="I195" s="37"/>
      <c r="J195" s="9">
        <f t="shared" si="29"/>
        <v>42121</v>
      </c>
      <c r="K195" s="38">
        <v>3822</v>
      </c>
      <c r="L195" s="38">
        <v>785</v>
      </c>
      <c r="M195" s="78">
        <f t="shared" si="28"/>
        <v>348691</v>
      </c>
      <c r="N195" s="79">
        <f t="shared" si="28"/>
        <v>338359</v>
      </c>
      <c r="O195" s="79">
        <f t="shared" si="28"/>
        <v>716595</v>
      </c>
      <c r="P195" s="80">
        <f t="shared" si="27"/>
        <v>10138444</v>
      </c>
      <c r="Q195" s="80">
        <f t="shared" si="27"/>
        <v>4678745</v>
      </c>
      <c r="R195" s="80">
        <f t="shared" si="27"/>
        <v>15141360</v>
      </c>
      <c r="S195" s="84">
        <f>M195/'[21]2014'!M195-1</f>
        <v>-0.253881542346044</v>
      </c>
      <c r="T195" s="84">
        <f>N195/'[21]2014'!N195-1</f>
        <v>0.195471215472346</v>
      </c>
      <c r="U195" s="84">
        <f>O195/'[21]2014'!O195-1</f>
        <v>-0.0808772130094106</v>
      </c>
      <c r="V195" s="85">
        <f>P195/'[21]2014'!P195-1</f>
        <v>-0.0292331833360974</v>
      </c>
      <c r="W195" s="85">
        <f>Q195/'[21]2014'!Q195-1</f>
        <v>0.169374874705238</v>
      </c>
      <c r="X195" s="85">
        <f>R195/'[21]2014'!R195-1</f>
        <v>0.0247758139458427</v>
      </c>
      <c r="Y195" s="97">
        <f>Y188+0.3*7</f>
        <v>62.2863</v>
      </c>
      <c r="Z195" s="54">
        <f>P195/10000-Y195</f>
        <v>951.5581</v>
      </c>
      <c r="AA195" s="38">
        <v>3890.092</v>
      </c>
      <c r="AB195" s="38">
        <f>Z195*10000/AA195</f>
        <v>2446.10693011888</v>
      </c>
    </row>
    <row r="196" ht="15" customHeight="1" spans="1:32">
      <c r="A196" s="21">
        <v>42195</v>
      </c>
      <c r="B196" s="21" t="s">
        <v>37</v>
      </c>
      <c r="C196" s="22">
        <v>36874</v>
      </c>
      <c r="D196" s="8">
        <f t="shared" si="26"/>
        <v>33106</v>
      </c>
      <c r="E196" s="8">
        <v>74908</v>
      </c>
      <c r="F196" s="23">
        <v>4072.6</v>
      </c>
      <c r="G196" s="24">
        <v>2305.2</v>
      </c>
      <c r="H196" s="25"/>
      <c r="I196" s="37"/>
      <c r="J196" s="9">
        <f t="shared" si="29"/>
        <v>41802</v>
      </c>
      <c r="K196" s="38">
        <v>4144</v>
      </c>
      <c r="L196" s="38">
        <v>784</v>
      </c>
      <c r="M196" s="78">
        <f t="shared" si="28"/>
        <v>385565</v>
      </c>
      <c r="N196" s="79">
        <f t="shared" si="28"/>
        <v>371465</v>
      </c>
      <c r="O196" s="79">
        <f t="shared" si="28"/>
        <v>791503</v>
      </c>
      <c r="P196" s="80">
        <f t="shared" si="27"/>
        <v>10175318</v>
      </c>
      <c r="Q196" s="80">
        <f t="shared" si="27"/>
        <v>4711851</v>
      </c>
      <c r="R196" s="80">
        <f t="shared" si="27"/>
        <v>15216268</v>
      </c>
      <c r="S196" s="84">
        <f>M196/'[21]2014'!M196-1</f>
        <v>-0.274926658642997</v>
      </c>
      <c r="T196" s="84">
        <f>N196/'[21]2014'!N196-1</f>
        <v>0.171702993407564</v>
      </c>
      <c r="U196" s="84">
        <f>O196/'[21]2014'!O196-1</f>
        <v>-0.101413324462922</v>
      </c>
      <c r="V196" s="85">
        <f>P196/'[21]2014'!P196-1</f>
        <v>-0.0316753595869422</v>
      </c>
      <c r="W196" s="85">
        <f>Q196/'[21]2014'!Q196-1</f>
        <v>0.167727299098395</v>
      </c>
      <c r="X196" s="85">
        <f>R196/'[21]2014'!R196-1</f>
        <v>0.0228412947658545</v>
      </c>
      <c r="Y196" s="97">
        <v>61.0398</v>
      </c>
      <c r="Z196" s="54">
        <f>P196/10000-Y196</f>
        <v>956.492</v>
      </c>
      <c r="AA196" s="38">
        <v>3890.092</v>
      </c>
      <c r="AB196" s="38">
        <f>Z196*10000/AA196</f>
        <v>2458.79017771302</v>
      </c>
      <c r="AC196" s="67">
        <v>18.1182</v>
      </c>
      <c r="AD196" s="2">
        <v>14.7911</v>
      </c>
      <c r="AF196" s="2">
        <v>1050.44</v>
      </c>
    </row>
    <row r="197" ht="15" customHeight="1" spans="1:28">
      <c r="A197" s="21">
        <v>42196</v>
      </c>
      <c r="B197" s="21" t="s">
        <v>38</v>
      </c>
      <c r="C197" s="22">
        <v>33458</v>
      </c>
      <c r="D197" s="8">
        <f t="shared" si="26"/>
        <v>22453</v>
      </c>
      <c r="E197" s="8">
        <v>59955</v>
      </c>
      <c r="F197" s="23">
        <v>2996.3</v>
      </c>
      <c r="G197" s="24">
        <v>1989.4</v>
      </c>
      <c r="H197" s="25"/>
      <c r="I197" s="37"/>
      <c r="J197" s="9">
        <f t="shared" si="29"/>
        <v>37502</v>
      </c>
      <c r="K197" s="38">
        <v>3260</v>
      </c>
      <c r="L197" s="38">
        <v>784</v>
      </c>
      <c r="M197" s="78">
        <f t="shared" si="28"/>
        <v>419023</v>
      </c>
      <c r="N197" s="79">
        <f t="shared" si="28"/>
        <v>393918</v>
      </c>
      <c r="O197" s="79">
        <f t="shared" si="28"/>
        <v>851458</v>
      </c>
      <c r="P197" s="80">
        <f t="shared" si="27"/>
        <v>10208776</v>
      </c>
      <c r="Q197" s="80">
        <f t="shared" si="27"/>
        <v>4734304</v>
      </c>
      <c r="R197" s="80">
        <f t="shared" si="27"/>
        <v>15276223</v>
      </c>
      <c r="S197" s="84">
        <f>M197/'[21]2014'!M197-1</f>
        <v>-0.300135288615713</v>
      </c>
      <c r="T197" s="84">
        <f>N197/'[21]2014'!N197-1</f>
        <v>0.117272832989667</v>
      </c>
      <c r="U197" s="84">
        <f>O197/'[21]2014'!O197-1</f>
        <v>-0.135632673985981</v>
      </c>
      <c r="V197" s="85">
        <f>P197/'[21]2014'!P197-1</f>
        <v>-0.0346427958129679</v>
      </c>
      <c r="W197" s="85">
        <f>Q197/'[21]2014'!Q197-1</f>
        <v>0.163047599272845</v>
      </c>
      <c r="X197" s="85">
        <f>R197/'[21]2014'!R197-1</f>
        <v>0.0197266321291536</v>
      </c>
      <c r="Y197" s="97"/>
      <c r="Z197" s="54"/>
      <c r="AA197" s="38"/>
      <c r="AB197" s="38"/>
    </row>
    <row r="198" ht="15" customHeight="1" spans="1:28">
      <c r="A198" s="21">
        <v>42197</v>
      </c>
      <c r="B198" s="21" t="s">
        <v>1</v>
      </c>
      <c r="C198" s="22">
        <v>44122</v>
      </c>
      <c r="D198" s="8">
        <f t="shared" si="26"/>
        <v>24327</v>
      </c>
      <c r="E198" s="8">
        <v>71163</v>
      </c>
      <c r="F198" s="23">
        <v>3600.4</v>
      </c>
      <c r="G198" s="24">
        <v>2051.2</v>
      </c>
      <c r="H198" s="25"/>
      <c r="I198" s="37"/>
      <c r="J198" s="9">
        <f t="shared" si="29"/>
        <v>46836</v>
      </c>
      <c r="K198" s="38">
        <v>1934</v>
      </c>
      <c r="L198" s="38">
        <v>780</v>
      </c>
      <c r="M198" s="78">
        <f t="shared" si="28"/>
        <v>463145</v>
      </c>
      <c r="N198" s="79">
        <f t="shared" si="28"/>
        <v>418245</v>
      </c>
      <c r="O198" s="79">
        <f t="shared" si="28"/>
        <v>922621</v>
      </c>
      <c r="P198" s="80">
        <f t="shared" si="27"/>
        <v>10252898</v>
      </c>
      <c r="Q198" s="80">
        <f t="shared" si="27"/>
        <v>4758631</v>
      </c>
      <c r="R198" s="80">
        <f t="shared" si="27"/>
        <v>15347386</v>
      </c>
      <c r="S198" s="84">
        <f>M198/'[21]2014'!M198-1</f>
        <v>-0.304054155584607</v>
      </c>
      <c r="T198" s="84">
        <f>N198/'[21]2014'!N198-1</f>
        <v>0.0797822079712502</v>
      </c>
      <c r="U198" s="84">
        <f>O198/'[21]2014'!O198-1</f>
        <v>-0.151972359303321</v>
      </c>
      <c r="V198" s="85">
        <f>P198/'[21]2014'!P198-1</f>
        <v>-0.0365536298130277</v>
      </c>
      <c r="W198" s="85">
        <f>Q198/'[21]2014'!Q198-1</f>
        <v>0.159122662931659</v>
      </c>
      <c r="X198" s="85">
        <f>R198/'[21]2014'!R198-1</f>
        <v>0.0174882546077779</v>
      </c>
      <c r="Y198" s="97"/>
      <c r="Z198" s="54"/>
      <c r="AA198" s="38"/>
      <c r="AB198" s="38"/>
    </row>
    <row r="199" ht="15" customHeight="1" spans="1:28">
      <c r="A199" s="21">
        <v>42198</v>
      </c>
      <c r="B199" s="21" t="s">
        <v>39</v>
      </c>
      <c r="C199" s="22">
        <v>53307</v>
      </c>
      <c r="D199" s="8">
        <f t="shared" si="26"/>
        <v>33066</v>
      </c>
      <c r="E199" s="8">
        <v>88674</v>
      </c>
      <c r="F199" s="23">
        <v>4594</v>
      </c>
      <c r="G199" s="24">
        <v>2644.3</v>
      </c>
      <c r="H199" s="25"/>
      <c r="I199" s="37"/>
      <c r="J199" s="9">
        <f t="shared" si="29"/>
        <v>55608</v>
      </c>
      <c r="K199" s="38">
        <v>1519</v>
      </c>
      <c r="L199" s="38">
        <v>782</v>
      </c>
      <c r="M199" s="78">
        <f t="shared" si="28"/>
        <v>516452</v>
      </c>
      <c r="N199" s="79">
        <f t="shared" si="28"/>
        <v>451311</v>
      </c>
      <c r="O199" s="79">
        <f t="shared" si="28"/>
        <v>1011295</v>
      </c>
      <c r="P199" s="80">
        <f t="shared" si="27"/>
        <v>10306205</v>
      </c>
      <c r="Q199" s="80">
        <f t="shared" si="27"/>
        <v>4791697</v>
      </c>
      <c r="R199" s="80">
        <f t="shared" si="27"/>
        <v>15436060</v>
      </c>
      <c r="S199" s="84">
        <f>M199/'[21]2014'!M199-1</f>
        <v>-0.282018487135606</v>
      </c>
      <c r="T199" s="84">
        <f>N199/'[21]2014'!N199-1</f>
        <v>0.0722676018189854</v>
      </c>
      <c r="U199" s="84">
        <f>O199/'[21]2014'!O199-1</f>
        <v>-0.140466035789019</v>
      </c>
      <c r="V199" s="85">
        <f>P199/'[21]2014'!P199-1</f>
        <v>-0.0364177480728505</v>
      </c>
      <c r="W199" s="85">
        <f>Q199/'[21]2014'!Q199-1</f>
        <v>0.157715320820857</v>
      </c>
      <c r="X199" s="85">
        <f>R199/'[21]2014'!R199-1</f>
        <v>0.0173909399972654</v>
      </c>
      <c r="Y199" s="97"/>
      <c r="Z199" s="54"/>
      <c r="AA199" s="38"/>
      <c r="AB199" s="38"/>
    </row>
    <row r="200" ht="15" customHeight="1" spans="1:32">
      <c r="A200" s="21">
        <v>42199</v>
      </c>
      <c r="B200" s="15" t="s">
        <v>34</v>
      </c>
      <c r="C200" s="16">
        <v>59431</v>
      </c>
      <c r="D200" s="17">
        <f t="shared" si="26"/>
        <v>35544</v>
      </c>
      <c r="E200" s="17">
        <v>96217</v>
      </c>
      <c r="F200" s="18">
        <v>4896</v>
      </c>
      <c r="G200" s="19">
        <v>3051</v>
      </c>
      <c r="H200" s="20"/>
      <c r="I200" s="20"/>
      <c r="J200" s="33">
        <f t="shared" si="29"/>
        <v>60673</v>
      </c>
      <c r="K200" s="34">
        <v>461</v>
      </c>
      <c r="L200" s="34">
        <v>781</v>
      </c>
      <c r="M200" s="81">
        <f t="shared" si="28"/>
        <v>575883</v>
      </c>
      <c r="N200" s="82">
        <f t="shared" si="28"/>
        <v>486855</v>
      </c>
      <c r="O200" s="82">
        <f t="shared" si="28"/>
        <v>1107512</v>
      </c>
      <c r="P200" s="81">
        <f t="shared" si="27"/>
        <v>10365636</v>
      </c>
      <c r="Q200" s="81">
        <f t="shared" si="27"/>
        <v>4827241</v>
      </c>
      <c r="R200" s="81">
        <f t="shared" si="27"/>
        <v>15532277</v>
      </c>
      <c r="S200" s="86">
        <f>M200/'[21]2014'!M200-1</f>
        <v>-0.255034390511143</v>
      </c>
      <c r="T200" s="86">
        <f>N200/'[21]2014'!N200-1</f>
        <v>0.0664506844183923</v>
      </c>
      <c r="U200" s="86">
        <f>O200/'[21]2014'!O200-1</f>
        <v>-0.126190872560955</v>
      </c>
      <c r="V200" s="86">
        <f>P200/'[21]2014'!P200-1</f>
        <v>-0.0357046473393361</v>
      </c>
      <c r="W200" s="86">
        <f>Q200/'[21]2014'!Q200-1</f>
        <v>0.156349998051287</v>
      </c>
      <c r="X200" s="86">
        <f>R200/'[21]2014'!R200-1</f>
        <v>0.0176363240933219</v>
      </c>
      <c r="Y200" s="100">
        <v>61.76</v>
      </c>
      <c r="Z200" s="53">
        <f>P200/10000-Y200</f>
        <v>974.8036</v>
      </c>
      <c r="AA200" s="34">
        <v>3890.092</v>
      </c>
      <c r="AB200" s="34">
        <f>Z200*10000/AA200</f>
        <v>2505.86258628331</v>
      </c>
      <c r="AC200" s="67">
        <f>AC196+SUM(K197:K200)/10000</f>
        <v>18.8356</v>
      </c>
      <c r="AD200" s="96">
        <f>AD196+SUM(L197:L200)/10000</f>
        <v>15.1038</v>
      </c>
      <c r="AF200" s="96">
        <f>AF196+SUM(J197:J200)/10000</f>
        <v>1070.5019</v>
      </c>
    </row>
    <row r="201" ht="15" customHeight="1" spans="1:28">
      <c r="A201" s="21">
        <v>42200</v>
      </c>
      <c r="B201" s="21" t="s">
        <v>35</v>
      </c>
      <c r="C201" s="70">
        <v>58817</v>
      </c>
      <c r="D201" s="71">
        <f t="shared" si="26"/>
        <v>37601</v>
      </c>
      <c r="E201" s="71">
        <v>97883</v>
      </c>
      <c r="F201" s="72">
        <v>4955</v>
      </c>
      <c r="G201" s="73">
        <v>3189</v>
      </c>
      <c r="H201" s="25"/>
      <c r="I201" s="25"/>
      <c r="J201" s="74">
        <f t="shared" si="29"/>
        <v>60282</v>
      </c>
      <c r="K201" s="75">
        <v>686</v>
      </c>
      <c r="L201" s="75">
        <v>779</v>
      </c>
      <c r="M201" s="76">
        <f t="shared" si="28"/>
        <v>634700</v>
      </c>
      <c r="N201" s="77">
        <f t="shared" si="28"/>
        <v>524456</v>
      </c>
      <c r="O201" s="77">
        <f t="shared" si="28"/>
        <v>1205395</v>
      </c>
      <c r="P201" s="76">
        <f t="shared" si="27"/>
        <v>10424453</v>
      </c>
      <c r="Q201" s="76">
        <f t="shared" si="27"/>
        <v>4864842</v>
      </c>
      <c r="R201" s="76">
        <f t="shared" si="27"/>
        <v>15630160</v>
      </c>
      <c r="S201" s="83">
        <f>M201/'[21]2014'!M201-1</f>
        <v>-0.227160316441747</v>
      </c>
      <c r="T201" s="83">
        <f>N201/'[21]2014'!N201-1</f>
        <v>0.0571684858746813</v>
      </c>
      <c r="U201" s="83">
        <f>O201/'[21]2014'!O201-1</f>
        <v>-0.112013213038888</v>
      </c>
      <c r="V201" s="83">
        <f>P201/'[21]2014'!P201-1</f>
        <v>-0.0345641395616553</v>
      </c>
      <c r="W201" s="83">
        <f>Q201/'[21]2014'!Q201-1</f>
        <v>0.154413011039228</v>
      </c>
      <c r="X201" s="83">
        <f>R201/'[21]2014'!R201-1</f>
        <v>0.0180467846732908</v>
      </c>
      <c r="Y201" s="89"/>
      <c r="Z201" s="101"/>
      <c r="AA201" s="89"/>
      <c r="AB201" s="75"/>
    </row>
    <row r="202" ht="15" customHeight="1" spans="1:28">
      <c r="A202" s="21">
        <v>42201</v>
      </c>
      <c r="B202" s="21" t="s">
        <v>36</v>
      </c>
      <c r="C202" s="22">
        <v>61141</v>
      </c>
      <c r="D202" s="8">
        <f t="shared" si="26"/>
        <v>35371</v>
      </c>
      <c r="E202" s="8">
        <v>97469</v>
      </c>
      <c r="F202" s="23">
        <v>4899.7</v>
      </c>
      <c r="G202" s="24">
        <v>3252.3</v>
      </c>
      <c r="H202" s="25"/>
      <c r="I202" s="37"/>
      <c r="J202" s="9">
        <f t="shared" si="29"/>
        <v>62098</v>
      </c>
      <c r="K202" s="38">
        <v>178</v>
      </c>
      <c r="L202" s="38">
        <v>779</v>
      </c>
      <c r="M202" s="78">
        <f t="shared" si="28"/>
        <v>695841</v>
      </c>
      <c r="N202" s="79">
        <f t="shared" si="28"/>
        <v>559827</v>
      </c>
      <c r="O202" s="79">
        <f t="shared" si="28"/>
        <v>1302864</v>
      </c>
      <c r="P202" s="80">
        <f t="shared" si="27"/>
        <v>10485594</v>
      </c>
      <c r="Q202" s="80">
        <f t="shared" si="27"/>
        <v>4900213</v>
      </c>
      <c r="R202" s="80">
        <f t="shared" si="27"/>
        <v>15727629</v>
      </c>
      <c r="S202" s="84">
        <f>M202/'[21]2014'!M202-1</f>
        <v>-0.206573942312955</v>
      </c>
      <c r="T202" s="84">
        <f>N202/'[21]2014'!N202-1</f>
        <v>0.0562673937038329</v>
      </c>
      <c r="U202" s="84">
        <f>O202/'[21]2014'!O202-1</f>
        <v>-0.100944831031751</v>
      </c>
      <c r="V202" s="85">
        <f>P202/'[21]2014'!P202-1</f>
        <v>-0.0338899752852005</v>
      </c>
      <c r="W202" s="85">
        <f>Q202/'[21]2014'!Q202-1</f>
        <v>0.153524330925531</v>
      </c>
      <c r="X202" s="85">
        <f>R202/'[21]2014'!R202-1</f>
        <v>0.018313094060145</v>
      </c>
      <c r="Y202" s="97">
        <f>Y196+0.2*6</f>
        <v>62.2398</v>
      </c>
      <c r="Z202" s="54">
        <f>P202/10000-Y202</f>
        <v>986.3196</v>
      </c>
      <c r="AA202" s="38">
        <v>3890.092</v>
      </c>
      <c r="AB202" s="38">
        <f>Z202*10000/AA202</f>
        <v>2535.46599926171</v>
      </c>
    </row>
    <row r="203" ht="15" customHeight="1" spans="1:28">
      <c r="A203" s="21">
        <v>42202</v>
      </c>
      <c r="B203" s="21" t="s">
        <v>37</v>
      </c>
      <c r="C203" s="22">
        <v>54628</v>
      </c>
      <c r="D203" s="8">
        <v>40661</v>
      </c>
      <c r="E203" s="8">
        <v>96458</v>
      </c>
      <c r="F203" s="23">
        <v>4906.1</v>
      </c>
      <c r="G203" s="24">
        <v>3203.5</v>
      </c>
      <c r="H203" s="25"/>
      <c r="I203" s="37"/>
      <c r="J203" s="9">
        <f t="shared" si="29"/>
        <v>55797</v>
      </c>
      <c r="K203" s="38">
        <f t="shared" ref="K203:K266" si="30">J203-C203-L203</f>
        <v>389</v>
      </c>
      <c r="L203" s="38">
        <v>780</v>
      </c>
      <c r="M203" s="78">
        <f t="shared" si="28"/>
        <v>750469</v>
      </c>
      <c r="N203" s="79">
        <f t="shared" si="28"/>
        <v>600488</v>
      </c>
      <c r="O203" s="79">
        <f t="shared" si="28"/>
        <v>1399322</v>
      </c>
      <c r="P203" s="80">
        <f t="shared" ref="P203:R217" si="31">P$186+M203</f>
        <v>10540222</v>
      </c>
      <c r="Q203" s="80">
        <f t="shared" si="31"/>
        <v>4940874</v>
      </c>
      <c r="R203" s="80">
        <f t="shared" si="31"/>
        <v>15824087</v>
      </c>
      <c r="S203" s="84">
        <f>M203/'[21]2014'!M203-1</f>
        <v>-0.198098651296879</v>
      </c>
      <c r="T203" s="84">
        <f>N203/'[21]2014'!N203-1</f>
        <v>0.0594260812801581</v>
      </c>
      <c r="U203" s="84">
        <f>O203/'[21]2014'!O203-1</f>
        <v>-0.0951432855876367</v>
      </c>
      <c r="V203" s="85">
        <f>P203/'[21]2014'!P203-1</f>
        <v>-0.0340944643048605</v>
      </c>
      <c r="W203" s="85">
        <f>Q203/'[21]2014'!Q203-1</f>
        <v>0.153106883131423</v>
      </c>
      <c r="X203" s="85">
        <f>R203/'[21]2014'!R203-1</f>
        <v>0.0181436813346805</v>
      </c>
      <c r="Y203" s="97"/>
      <c r="Z203" s="54"/>
      <c r="AA203" s="38"/>
      <c r="AB203" s="38"/>
    </row>
    <row r="204" ht="15" customHeight="1" spans="1:28">
      <c r="A204" s="21">
        <v>42203</v>
      </c>
      <c r="B204" s="21" t="s">
        <v>38</v>
      </c>
      <c r="C204" s="22">
        <v>52742</v>
      </c>
      <c r="D204" s="8">
        <v>39196</v>
      </c>
      <c r="E204" s="8">
        <v>93337</v>
      </c>
      <c r="F204" s="23">
        <v>4675</v>
      </c>
      <c r="G204" s="24">
        <v>3179</v>
      </c>
      <c r="H204" s="25"/>
      <c r="I204" s="37"/>
      <c r="J204" s="9">
        <f t="shared" si="29"/>
        <v>54141</v>
      </c>
      <c r="K204" s="38">
        <f t="shared" si="30"/>
        <v>619</v>
      </c>
      <c r="L204" s="38">
        <v>780</v>
      </c>
      <c r="M204" s="78">
        <f t="shared" ref="M204:O217" si="32">C204+M203</f>
        <v>803211</v>
      </c>
      <c r="N204" s="79">
        <f t="shared" si="32"/>
        <v>639684</v>
      </c>
      <c r="O204" s="79">
        <f t="shared" si="32"/>
        <v>1492659</v>
      </c>
      <c r="P204" s="80">
        <f t="shared" si="31"/>
        <v>10592964</v>
      </c>
      <c r="Q204" s="80">
        <f t="shared" si="31"/>
        <v>4980070</v>
      </c>
      <c r="R204" s="80">
        <f t="shared" si="31"/>
        <v>15917424</v>
      </c>
      <c r="S204" s="84">
        <f>M204/'[21]2014'!M204-1</f>
        <v>-0.1943640357476</v>
      </c>
      <c r="T204" s="84">
        <f>N204/'[21]2014'!N204-1</f>
        <v>0.0557043623778946</v>
      </c>
      <c r="U204" s="84">
        <f>O204/'[21]2014'!O204-1</f>
        <v>-0.0944817499118844</v>
      </c>
      <c r="V204" s="85">
        <f>P204/'[21]2014'!P204-1</f>
        <v>-0.0346687507370096</v>
      </c>
      <c r="W204" s="85">
        <f>Q204/'[21]2014'!Q204-1</f>
        <v>0.151737662085429</v>
      </c>
      <c r="X204" s="85">
        <f>R204/'[21]2014'!R204-1</f>
        <v>0.0174751408366187</v>
      </c>
      <c r="Y204" s="97"/>
      <c r="Z204" s="54"/>
      <c r="AA204" s="38"/>
      <c r="AB204" s="38"/>
    </row>
    <row r="205" ht="15" customHeight="1" spans="1:28">
      <c r="A205" s="21">
        <v>42204</v>
      </c>
      <c r="B205" s="21" t="s">
        <v>1</v>
      </c>
      <c r="C205" s="22">
        <v>49835</v>
      </c>
      <c r="D205" s="8">
        <v>38138</v>
      </c>
      <c r="E205" s="8">
        <v>89410</v>
      </c>
      <c r="F205" s="23">
        <v>4295</v>
      </c>
      <c r="G205" s="24">
        <v>3115</v>
      </c>
      <c r="H205" s="25"/>
      <c r="I205" s="37"/>
      <c r="J205" s="9">
        <f t="shared" si="29"/>
        <v>51272</v>
      </c>
      <c r="K205" s="38">
        <f t="shared" si="30"/>
        <v>657</v>
      </c>
      <c r="L205" s="38">
        <v>780</v>
      </c>
      <c r="M205" s="78">
        <f t="shared" si="32"/>
        <v>853046</v>
      </c>
      <c r="N205" s="79">
        <f t="shared" si="32"/>
        <v>677822</v>
      </c>
      <c r="O205" s="79">
        <f t="shared" si="32"/>
        <v>1582069</v>
      </c>
      <c r="P205" s="80">
        <f t="shared" si="31"/>
        <v>10642799</v>
      </c>
      <c r="Q205" s="80">
        <f t="shared" si="31"/>
        <v>5018208</v>
      </c>
      <c r="R205" s="80">
        <f t="shared" si="31"/>
        <v>16006834</v>
      </c>
      <c r="S205" s="84">
        <f>M205/'[21]2014'!M205-1</f>
        <v>-0.194341998018547</v>
      </c>
      <c r="T205" s="84">
        <f>N205/'[21]2014'!N205-1</f>
        <v>0.0514687974584382</v>
      </c>
      <c r="U205" s="84">
        <f>O205/'[21]2014'!O205-1</f>
        <v>-0.0965661302452698</v>
      </c>
      <c r="V205" s="85">
        <f>P205/'[21]2014'!P205-1</f>
        <v>-0.0355613889954416</v>
      </c>
      <c r="W205" s="85">
        <f>Q205/'[21]2014'!Q205-1</f>
        <v>0.150259653821036</v>
      </c>
      <c r="X205" s="85">
        <f>R205/'[21]2014'!R205-1</f>
        <v>0.0165126653800129</v>
      </c>
      <c r="Y205" s="97"/>
      <c r="Z205" s="54"/>
      <c r="AA205" s="38"/>
      <c r="AB205" s="38"/>
    </row>
    <row r="206" ht="15" customHeight="1" spans="1:32">
      <c r="A206" s="21">
        <v>42205</v>
      </c>
      <c r="B206" s="21" t="s">
        <v>39</v>
      </c>
      <c r="C206" s="22">
        <v>55956</v>
      </c>
      <c r="D206" s="8">
        <v>39653</v>
      </c>
      <c r="E206" s="8">
        <v>97259</v>
      </c>
      <c r="F206" s="23">
        <v>4965</v>
      </c>
      <c r="G206" s="24">
        <v>3069</v>
      </c>
      <c r="H206" s="25"/>
      <c r="I206" s="37"/>
      <c r="J206" s="9">
        <f t="shared" si="29"/>
        <v>57606</v>
      </c>
      <c r="K206" s="38">
        <f t="shared" si="30"/>
        <v>870</v>
      </c>
      <c r="L206" s="38">
        <v>780</v>
      </c>
      <c r="M206" s="78">
        <f t="shared" si="32"/>
        <v>909002</v>
      </c>
      <c r="N206" s="79">
        <f t="shared" si="32"/>
        <v>717475</v>
      </c>
      <c r="O206" s="79">
        <f t="shared" si="32"/>
        <v>1679328</v>
      </c>
      <c r="P206" s="80">
        <f t="shared" si="31"/>
        <v>10698755</v>
      </c>
      <c r="Q206" s="80">
        <f t="shared" si="31"/>
        <v>5057861</v>
      </c>
      <c r="R206" s="80">
        <f t="shared" si="31"/>
        <v>16104093</v>
      </c>
      <c r="S206" s="84">
        <f>M206/'[21]2014'!M206-1</f>
        <v>-0.187062790094529</v>
      </c>
      <c r="T206" s="84">
        <f>N206/'[21]2014'!N206-1</f>
        <v>0.0500638109790008</v>
      </c>
      <c r="U206" s="84">
        <f>O206/'[21]2014'!O206-1</f>
        <v>-0.0927465232344428</v>
      </c>
      <c r="V206" s="85">
        <f>P206/'[21]2014'!P206-1</f>
        <v>-0.035677156895918</v>
      </c>
      <c r="W206" s="85">
        <f>Q206/'[21]2014'!Q206-1</f>
        <v>0.149174569844617</v>
      </c>
      <c r="X206" s="85">
        <f>R206/'[21]2014'!R206-1</f>
        <v>0.0162464611522761</v>
      </c>
      <c r="Y206" s="97">
        <v>65.2197</v>
      </c>
      <c r="Z206" s="54">
        <f>P206/10000-Y206</f>
        <v>1004.6558</v>
      </c>
      <c r="AA206" s="38">
        <v>3890.092</v>
      </c>
      <c r="AB206" s="38">
        <f>Z206*10000/AA206</f>
        <v>2582.60164541096</v>
      </c>
      <c r="AC206" s="67">
        <v>19.178</v>
      </c>
      <c r="AD206" s="2">
        <v>15.5694</v>
      </c>
      <c r="AF206" s="2">
        <v>1104.62</v>
      </c>
    </row>
    <row r="207" ht="15" customHeight="1" spans="1:32">
      <c r="A207" s="21">
        <v>42206</v>
      </c>
      <c r="B207" s="15" t="s">
        <v>34</v>
      </c>
      <c r="C207" s="16">
        <v>52572</v>
      </c>
      <c r="D207" s="17">
        <f>29739+11210</f>
        <v>40949</v>
      </c>
      <c r="E207" s="17">
        <v>94921</v>
      </c>
      <c r="F207" s="18">
        <v>4851</v>
      </c>
      <c r="G207" s="19">
        <v>3561</v>
      </c>
      <c r="H207" s="20">
        <v>1950</v>
      </c>
      <c r="I207" s="20">
        <v>1457</v>
      </c>
      <c r="J207" s="33">
        <f t="shared" si="29"/>
        <v>53972</v>
      </c>
      <c r="K207" s="34">
        <f t="shared" si="30"/>
        <v>620</v>
      </c>
      <c r="L207" s="34">
        <v>780</v>
      </c>
      <c r="M207" s="81">
        <f t="shared" si="32"/>
        <v>961574</v>
      </c>
      <c r="N207" s="82">
        <f t="shared" si="32"/>
        <v>758424</v>
      </c>
      <c r="O207" s="82">
        <f t="shared" si="32"/>
        <v>1774249</v>
      </c>
      <c r="P207" s="81">
        <f t="shared" si="31"/>
        <v>10751327</v>
      </c>
      <c r="Q207" s="81">
        <f t="shared" si="31"/>
        <v>5098810</v>
      </c>
      <c r="R207" s="81">
        <f t="shared" si="31"/>
        <v>16199014</v>
      </c>
      <c r="S207" s="86">
        <f>M207/'[21]2014'!M207-1</f>
        <v>-0.188193022120988</v>
      </c>
      <c r="T207" s="86">
        <f>N207/'[21]2014'!N207-1</f>
        <v>0.0507616534009434</v>
      </c>
      <c r="U207" s="86">
        <f>O207/'[21]2014'!O207-1</f>
        <v>-0.0941890734915949</v>
      </c>
      <c r="V207" s="86">
        <f>P207/'[21]2014'!P207-1</f>
        <v>-0.0366966122964701</v>
      </c>
      <c r="W207" s="86">
        <f>Q207/'[21]2014'!Q207-1</f>
        <v>0.148428197285018</v>
      </c>
      <c r="X207" s="86">
        <f>R207/'[21]2014'!R207-1</f>
        <v>0.0153333340152777</v>
      </c>
      <c r="Y207" s="100">
        <v>65.62</v>
      </c>
      <c r="Z207" s="53">
        <f>P207/10000-Y207</f>
        <v>1009.5127</v>
      </c>
      <c r="AA207" s="34">
        <v>3890.092</v>
      </c>
      <c r="AB207" s="34">
        <f>Z207*10000/AA207</f>
        <v>2595.0869542417</v>
      </c>
      <c r="AC207" s="67">
        <f>AC206+SUM(K207:K207)/10000</f>
        <v>19.24</v>
      </c>
      <c r="AD207" s="96">
        <f>AD206+SUM(L207:L207)/10000</f>
        <v>15.6474</v>
      </c>
      <c r="AF207" s="96">
        <f>AF206+J207/10000</f>
        <v>1110.0172</v>
      </c>
    </row>
    <row r="208" ht="15" customHeight="1" spans="1:28">
      <c r="A208" s="21">
        <v>42207</v>
      </c>
      <c r="B208" s="21" t="s">
        <v>35</v>
      </c>
      <c r="C208" s="70">
        <v>54294</v>
      </c>
      <c r="D208" s="71">
        <f>30037+11237</f>
        <v>41274</v>
      </c>
      <c r="E208" s="71">
        <v>96778</v>
      </c>
      <c r="F208" s="72">
        <v>4885</v>
      </c>
      <c r="G208" s="73">
        <v>3141</v>
      </c>
      <c r="H208" s="25"/>
      <c r="I208" s="25"/>
      <c r="J208" s="74">
        <f t="shared" si="29"/>
        <v>55504</v>
      </c>
      <c r="K208" s="75">
        <f t="shared" si="30"/>
        <v>430</v>
      </c>
      <c r="L208" s="75">
        <v>780</v>
      </c>
      <c r="M208" s="76">
        <f t="shared" si="32"/>
        <v>1015868</v>
      </c>
      <c r="N208" s="77">
        <f t="shared" si="32"/>
        <v>799698</v>
      </c>
      <c r="O208" s="77">
        <f t="shared" si="32"/>
        <v>1871027</v>
      </c>
      <c r="P208" s="76">
        <f t="shared" si="31"/>
        <v>10805621</v>
      </c>
      <c r="Q208" s="76">
        <f t="shared" si="31"/>
        <v>5140084</v>
      </c>
      <c r="R208" s="76">
        <f t="shared" si="31"/>
        <v>16295792</v>
      </c>
      <c r="S208" s="83">
        <f>M208/'[21]2014'!M208-1</f>
        <v>-0.186174395430859</v>
      </c>
      <c r="T208" s="83">
        <f>N208/'[21]2014'!N208-1</f>
        <v>0.0547809513760198</v>
      </c>
      <c r="U208" s="83">
        <f>O208/'[21]2014'!O208-1</f>
        <v>-0.0930240449380468</v>
      </c>
      <c r="V208" s="83">
        <f>P208/'[21]2014'!P208-1</f>
        <v>-0.0373329015986119</v>
      </c>
      <c r="W208" s="83">
        <f>Q208/'[21]2014'!Q208-1</f>
        <v>0.148315195574207</v>
      </c>
      <c r="X208" s="83">
        <f>R208/'[21]2014'!R208-1</f>
        <v>0.0147724154256104</v>
      </c>
      <c r="Y208" s="89"/>
      <c r="Z208" s="101"/>
      <c r="AA208" s="89"/>
      <c r="AB208" s="75"/>
    </row>
    <row r="209" ht="15" customHeight="1" spans="1:28">
      <c r="A209" s="21">
        <v>42208</v>
      </c>
      <c r="B209" s="21" t="s">
        <v>36</v>
      </c>
      <c r="C209" s="22">
        <v>53902</v>
      </c>
      <c r="D209" s="8">
        <v>41333</v>
      </c>
      <c r="E209" s="8">
        <v>97684</v>
      </c>
      <c r="F209" s="23">
        <v>4958</v>
      </c>
      <c r="G209" s="24">
        <v>3209</v>
      </c>
      <c r="H209" s="25">
        <v>1988</v>
      </c>
      <c r="I209" s="37">
        <v>1467</v>
      </c>
      <c r="J209" s="9">
        <f t="shared" si="29"/>
        <v>56351</v>
      </c>
      <c r="K209" s="38">
        <f t="shared" si="30"/>
        <v>1669</v>
      </c>
      <c r="L209" s="38">
        <v>780</v>
      </c>
      <c r="M209" s="78">
        <f t="shared" si="32"/>
        <v>1069770</v>
      </c>
      <c r="N209" s="79">
        <f t="shared" si="32"/>
        <v>841031</v>
      </c>
      <c r="O209" s="79">
        <f t="shared" si="32"/>
        <v>1968711</v>
      </c>
      <c r="P209" s="80">
        <f t="shared" si="31"/>
        <v>10859523</v>
      </c>
      <c r="Q209" s="80">
        <f t="shared" si="31"/>
        <v>5181417</v>
      </c>
      <c r="R209" s="80">
        <f t="shared" si="31"/>
        <v>16393476</v>
      </c>
      <c r="S209" s="84">
        <f>M209/'[21]2014'!M209-1</f>
        <v>-0.185169653532464</v>
      </c>
      <c r="T209" s="84">
        <f>N209/'[21]2014'!N209-1</f>
        <v>0.0564043882501011</v>
      </c>
      <c r="U209" s="84">
        <f>O209/'[21]2014'!O209-1</f>
        <v>-0.092606027197239</v>
      </c>
      <c r="V209" s="85">
        <f>P209/'[21]2014'!P209-1</f>
        <v>-0.0380679214324419</v>
      </c>
      <c r="W209" s="85">
        <f>Q209/'[21]2014'!Q209-1</f>
        <v>0.147814948664503</v>
      </c>
      <c r="X209" s="85">
        <f>R209/'[21]2014'!R209-1</f>
        <v>0.0141169818768447</v>
      </c>
      <c r="Y209" s="97">
        <f>Y206+0.4*3</f>
        <v>66.4197</v>
      </c>
      <c r="Z209" s="54">
        <f>P209/10000-Y209</f>
        <v>1019.5326</v>
      </c>
      <c r="AA209" s="38">
        <v>3890.092</v>
      </c>
      <c r="AB209" s="38">
        <f>Z209*10000/AA209</f>
        <v>2620.84444275354</v>
      </c>
    </row>
    <row r="210" ht="15" customHeight="1" spans="1:28">
      <c r="A210" s="21">
        <v>42209</v>
      </c>
      <c r="B210" s="21" t="s">
        <v>37</v>
      </c>
      <c r="C210" s="22">
        <v>56182</v>
      </c>
      <c r="D210" s="8">
        <v>41362</v>
      </c>
      <c r="E210" s="8">
        <v>99578</v>
      </c>
      <c r="F210" s="23">
        <v>5227</v>
      </c>
      <c r="G210" s="24">
        <v>3193</v>
      </c>
      <c r="H210" s="25">
        <v>1950</v>
      </c>
      <c r="I210" s="37">
        <v>1474</v>
      </c>
      <c r="J210" s="9">
        <f t="shared" si="29"/>
        <v>58216</v>
      </c>
      <c r="K210" s="38">
        <f t="shared" si="30"/>
        <v>1254</v>
      </c>
      <c r="L210" s="38">
        <v>780</v>
      </c>
      <c r="M210" s="78">
        <f t="shared" si="32"/>
        <v>1125952</v>
      </c>
      <c r="N210" s="79">
        <f t="shared" si="32"/>
        <v>882393</v>
      </c>
      <c r="O210" s="79">
        <f t="shared" si="32"/>
        <v>2068289</v>
      </c>
      <c r="P210" s="80">
        <f t="shared" si="31"/>
        <v>10915705</v>
      </c>
      <c r="Q210" s="80">
        <f t="shared" si="31"/>
        <v>5222779</v>
      </c>
      <c r="R210" s="80">
        <f t="shared" si="31"/>
        <v>16493054</v>
      </c>
      <c r="S210" s="84">
        <f>M210/'[21]2014'!M210-1</f>
        <v>-0.181051082392595</v>
      </c>
      <c r="T210" s="84">
        <f>N210/'[21]2014'!N210-1</f>
        <v>0.059949356505695</v>
      </c>
      <c r="U210" s="84">
        <f>O210/'[21]2014'!O210-1</f>
        <v>-0.0897144180003626</v>
      </c>
      <c r="V210" s="85">
        <f>P210/'[21]2014'!P210-1</f>
        <v>-0.0383725380134402</v>
      </c>
      <c r="W210" s="85">
        <f>Q210/'[21]2014'!Q210-1</f>
        <v>0.147733078511012</v>
      </c>
      <c r="X210" s="85">
        <f>R210/'[21]2014'!R210-1</f>
        <v>0.013848414622031</v>
      </c>
      <c r="Y210" s="97"/>
      <c r="Z210" s="54"/>
      <c r="AA210" s="38"/>
      <c r="AB210" s="38"/>
    </row>
    <row r="211" ht="15" customHeight="1" spans="1:28">
      <c r="A211" s="21">
        <v>42210</v>
      </c>
      <c r="B211" s="21" t="s">
        <v>38</v>
      </c>
      <c r="C211" s="22">
        <v>58648</v>
      </c>
      <c r="D211" s="8">
        <v>40295</v>
      </c>
      <c r="E211" s="8">
        <v>100825</v>
      </c>
      <c r="F211" s="23">
        <v>4985</v>
      </c>
      <c r="G211" s="24">
        <v>3093</v>
      </c>
      <c r="H211" s="25">
        <v>1939</v>
      </c>
      <c r="I211" s="37">
        <v>1410</v>
      </c>
      <c r="J211" s="9">
        <f t="shared" si="29"/>
        <v>60530</v>
      </c>
      <c r="K211" s="38">
        <f t="shared" si="30"/>
        <v>1102</v>
      </c>
      <c r="L211" s="38">
        <v>780</v>
      </c>
      <c r="M211" s="78">
        <f t="shared" si="32"/>
        <v>1184600</v>
      </c>
      <c r="N211" s="79">
        <f t="shared" si="32"/>
        <v>922688</v>
      </c>
      <c r="O211" s="79">
        <f t="shared" si="32"/>
        <v>2169114</v>
      </c>
      <c r="P211" s="80">
        <f t="shared" si="31"/>
        <v>10974353</v>
      </c>
      <c r="Q211" s="80">
        <f t="shared" si="31"/>
        <v>5263074</v>
      </c>
      <c r="R211" s="80">
        <f t="shared" si="31"/>
        <v>16593879</v>
      </c>
      <c r="S211" s="84">
        <f>M211/'[21]2014'!M211-1</f>
        <v>-0.171895344348929</v>
      </c>
      <c r="T211" s="84">
        <f>N211/'[21]2014'!N211-1</f>
        <v>0.0600820548878496</v>
      </c>
      <c r="U211" s="84">
        <f>O211/'[21]2014'!O211-1</f>
        <v>-0.0843772319506425</v>
      </c>
      <c r="V211" s="85">
        <f>P211/'[21]2014'!P211-1</f>
        <v>-0.0379200647433897</v>
      </c>
      <c r="W211" s="85">
        <f>Q211/'[21]2014'!Q211-1</f>
        <v>0.147033030360032</v>
      </c>
      <c r="X211" s="85">
        <f>R211/'[21]2014'!R211-1</f>
        <v>0.0140079950267611</v>
      </c>
      <c r="Y211" s="97"/>
      <c r="Z211" s="54"/>
      <c r="AA211" s="38"/>
      <c r="AB211" s="38"/>
    </row>
    <row r="212" ht="15" customHeight="1" spans="1:28">
      <c r="A212" s="21">
        <v>42211</v>
      </c>
      <c r="B212" s="21" t="s">
        <v>1</v>
      </c>
      <c r="C212" s="22">
        <v>57669</v>
      </c>
      <c r="D212" s="8">
        <v>40405</v>
      </c>
      <c r="E212" s="8">
        <v>99564</v>
      </c>
      <c r="F212" s="23">
        <v>4748</v>
      </c>
      <c r="G212" s="24">
        <v>3381</v>
      </c>
      <c r="H212" s="25">
        <v>1939</v>
      </c>
      <c r="I212" s="37">
        <v>1389</v>
      </c>
      <c r="J212" s="9">
        <f t="shared" si="29"/>
        <v>59159</v>
      </c>
      <c r="K212" s="38">
        <f t="shared" si="30"/>
        <v>710</v>
      </c>
      <c r="L212" s="38">
        <v>780</v>
      </c>
      <c r="M212" s="78">
        <f t="shared" si="32"/>
        <v>1242269</v>
      </c>
      <c r="N212" s="79">
        <f t="shared" si="32"/>
        <v>963093</v>
      </c>
      <c r="O212" s="79">
        <f t="shared" si="32"/>
        <v>2268678</v>
      </c>
      <c r="P212" s="80">
        <f t="shared" si="31"/>
        <v>11032022</v>
      </c>
      <c r="Q212" s="80">
        <f t="shared" si="31"/>
        <v>5303479</v>
      </c>
      <c r="R212" s="80">
        <f t="shared" si="31"/>
        <v>16693443</v>
      </c>
      <c r="S212" s="84">
        <f>M212/'[21]2014'!M212-1</f>
        <v>-0.164608183323982</v>
      </c>
      <c r="T212" s="84">
        <f>N212/'[21]2014'!N212-1</f>
        <v>0.0607148285288215</v>
      </c>
      <c r="U212" s="84">
        <f>O212/'[21]2014'!O212-1</f>
        <v>-0.079951740289761</v>
      </c>
      <c r="V212" s="85">
        <f>P212/'[21]2014'!P212-1</f>
        <v>-0.037635723711392</v>
      </c>
      <c r="W212" s="85">
        <f>Q212/'[21]2014'!Q212-1</f>
        <v>0.146450999720687</v>
      </c>
      <c r="X212" s="85">
        <f>R212/'[21]2014'!R212-1</f>
        <v>0.0140922361307136</v>
      </c>
      <c r="Y212" s="97"/>
      <c r="Z212" s="54"/>
      <c r="AA212" s="38"/>
      <c r="AB212" s="38"/>
    </row>
    <row r="213" ht="15" customHeight="1" spans="1:28">
      <c r="A213" s="21">
        <v>42212</v>
      </c>
      <c r="B213" s="21" t="s">
        <v>39</v>
      </c>
      <c r="C213" s="22">
        <v>68221</v>
      </c>
      <c r="D213" s="8">
        <v>41266</v>
      </c>
      <c r="E213" s="8">
        <v>111254</v>
      </c>
      <c r="F213" s="23">
        <v>5560</v>
      </c>
      <c r="G213" s="24">
        <v>3437</v>
      </c>
      <c r="H213" s="25">
        <v>1975</v>
      </c>
      <c r="I213" s="37">
        <v>1397</v>
      </c>
      <c r="J213" s="9">
        <f t="shared" si="29"/>
        <v>69988</v>
      </c>
      <c r="K213" s="38">
        <f t="shared" si="30"/>
        <v>987</v>
      </c>
      <c r="L213" s="38">
        <v>780</v>
      </c>
      <c r="M213" s="78">
        <f t="shared" si="32"/>
        <v>1310490</v>
      </c>
      <c r="N213" s="79">
        <f t="shared" si="32"/>
        <v>1004359</v>
      </c>
      <c r="O213" s="79">
        <f t="shared" si="32"/>
        <v>2379932</v>
      </c>
      <c r="P213" s="80">
        <f t="shared" si="31"/>
        <v>11100243</v>
      </c>
      <c r="Q213" s="80">
        <f t="shared" si="31"/>
        <v>5344745</v>
      </c>
      <c r="R213" s="80">
        <f t="shared" si="31"/>
        <v>16804697</v>
      </c>
      <c r="S213" s="84">
        <f>M213/'[21]2014'!M213-1</f>
        <v>-0.147834189597981</v>
      </c>
      <c r="T213" s="84">
        <f>N213/'[21]2014'!N213-1</f>
        <v>0.062241607430495</v>
      </c>
      <c r="U213" s="84">
        <f>O213/'[21]2014'!O213-1</f>
        <v>-0.0689552244644872</v>
      </c>
      <c r="V213" s="85">
        <f>P213/'[21]2014'!P213-1</f>
        <v>-0.0359554281821745</v>
      </c>
      <c r="W213" s="85">
        <f>Q213/'[21]2014'!Q213-1</f>
        <v>0.146070342570872</v>
      </c>
      <c r="X213" s="85">
        <f>R213/'[21]2014'!R213-1</f>
        <v>0.0152770283677128</v>
      </c>
      <c r="Y213" s="97"/>
      <c r="Z213" s="54"/>
      <c r="AA213" s="38"/>
      <c r="AB213" s="38"/>
    </row>
    <row r="214" ht="15" customHeight="1" spans="1:32">
      <c r="A214" s="21">
        <v>42213</v>
      </c>
      <c r="B214" s="15" t="s">
        <v>34</v>
      </c>
      <c r="C214" s="16">
        <v>72300</v>
      </c>
      <c r="D214" s="17">
        <v>40543</v>
      </c>
      <c r="E214" s="17">
        <v>114118</v>
      </c>
      <c r="F214" s="18">
        <v>5652</v>
      </c>
      <c r="G214" s="19">
        <v>3742</v>
      </c>
      <c r="H214" s="20">
        <v>1934</v>
      </c>
      <c r="I214" s="20">
        <v>1379</v>
      </c>
      <c r="J214" s="33">
        <f t="shared" si="29"/>
        <v>73575</v>
      </c>
      <c r="K214" s="34">
        <f t="shared" si="30"/>
        <v>495</v>
      </c>
      <c r="L214" s="34">
        <v>780</v>
      </c>
      <c r="M214" s="81">
        <f t="shared" si="32"/>
        <v>1382790</v>
      </c>
      <c r="N214" s="82">
        <f t="shared" si="32"/>
        <v>1044902</v>
      </c>
      <c r="O214" s="82">
        <f t="shared" si="32"/>
        <v>2494050</v>
      </c>
      <c r="P214" s="81">
        <f t="shared" si="31"/>
        <v>11172543</v>
      </c>
      <c r="Q214" s="81">
        <f t="shared" si="31"/>
        <v>5385288</v>
      </c>
      <c r="R214" s="81">
        <f t="shared" si="31"/>
        <v>16918815</v>
      </c>
      <c r="S214" s="86">
        <f>M214/'[21]2014'!M214-1</f>
        <v>-0.131741923904528</v>
      </c>
      <c r="T214" s="86">
        <f>N214/'[21]2014'!N214-1</f>
        <v>0.0622150429856227</v>
      </c>
      <c r="U214" s="86">
        <f>O214/'[21]2014'!O214-1</f>
        <v>-0.0596066942293662</v>
      </c>
      <c r="V214" s="86">
        <f>P214/'[21]2014'!P214-1</f>
        <v>-0.0342697864536128</v>
      </c>
      <c r="W214" s="86">
        <f>Q214/'[21]2014'!Q214-1</f>
        <v>0.145383846944406</v>
      </c>
      <c r="X214" s="86">
        <f>R214/'[21]2014'!R214-1</f>
        <v>0.0162809056270858</v>
      </c>
      <c r="Y214" s="100">
        <f>Y209+0.4*4</f>
        <v>68.0197</v>
      </c>
      <c r="Z214" s="100">
        <f t="shared" ref="Z214" si="33">P214/10000-Y214</f>
        <v>1049.2346</v>
      </c>
      <c r="AA214" s="34"/>
      <c r="AB214" s="34"/>
      <c r="AC214" s="67">
        <f>AC207+SUM(K208:K214)/10000</f>
        <v>19.9047</v>
      </c>
      <c r="AD214" s="2">
        <f>AD207+SUM(L208:L214)/10000</f>
        <v>16.1934</v>
      </c>
      <c r="AF214" s="2">
        <f>AF207+SUM(J208:J214)/10000</f>
        <v>1153.3495</v>
      </c>
    </row>
    <row r="215" ht="15" customHeight="1" spans="1:28">
      <c r="A215" s="21">
        <v>42214</v>
      </c>
      <c r="B215" s="21" t="s">
        <v>35</v>
      </c>
      <c r="C215" s="70">
        <v>69400</v>
      </c>
      <c r="D215" s="71">
        <v>40629</v>
      </c>
      <c r="E215" s="71">
        <v>111487</v>
      </c>
      <c r="F215" s="72">
        <v>5657</v>
      </c>
      <c r="G215" s="73">
        <v>3705</v>
      </c>
      <c r="H215" s="25"/>
      <c r="I215" s="25"/>
      <c r="J215" s="74">
        <f t="shared" si="29"/>
        <v>70858</v>
      </c>
      <c r="K215" s="75">
        <f t="shared" si="30"/>
        <v>678</v>
      </c>
      <c r="L215" s="75">
        <v>780</v>
      </c>
      <c r="M215" s="76">
        <f t="shared" si="32"/>
        <v>1452190</v>
      </c>
      <c r="N215" s="77">
        <f t="shared" si="32"/>
        <v>1085531</v>
      </c>
      <c r="O215" s="77">
        <f t="shared" si="32"/>
        <v>2605537</v>
      </c>
      <c r="P215" s="76">
        <f t="shared" si="31"/>
        <v>11241943</v>
      </c>
      <c r="Q215" s="76">
        <f t="shared" si="31"/>
        <v>5425917</v>
      </c>
      <c r="R215" s="76">
        <f t="shared" si="31"/>
        <v>17030302</v>
      </c>
      <c r="S215" s="83">
        <f>M215/'[21]2014'!M215-1</f>
        <v>-0.121535573650415</v>
      </c>
      <c r="T215" s="83">
        <f>N215/'[21]2014'!N215-1</f>
        <v>0.0632828692439398</v>
      </c>
      <c r="U215" s="83">
        <f>O215/'[21]2014'!O215-1</f>
        <v>-0.0535888831054484</v>
      </c>
      <c r="V215" s="83">
        <f>P215/'[21]2014'!P215-1</f>
        <v>-0.0333260446332257</v>
      </c>
      <c r="W215" s="83">
        <f>Q215/'[21]2014'!Q215-1</f>
        <v>0.144960626446957</v>
      </c>
      <c r="X215" s="83">
        <f>R215/'[21]2014'!R215-1</f>
        <v>0.0168127478062465</v>
      </c>
      <c r="Y215" s="89"/>
      <c r="Z215" s="101"/>
      <c r="AA215" s="89"/>
      <c r="AB215" s="75"/>
    </row>
    <row r="216" ht="15" customHeight="1" spans="1:28">
      <c r="A216" s="15">
        <v>42215</v>
      </c>
      <c r="B216" s="21" t="s">
        <v>36</v>
      </c>
      <c r="C216" s="22">
        <v>66120</v>
      </c>
      <c r="D216" s="8">
        <f>28289+11189</f>
        <v>39478</v>
      </c>
      <c r="E216" s="8">
        <v>106994</v>
      </c>
      <c r="F216" s="23">
        <v>5273</v>
      </c>
      <c r="G216" s="24">
        <v>3462</v>
      </c>
      <c r="H216" s="25"/>
      <c r="I216" s="37"/>
      <c r="J216" s="9">
        <f t="shared" si="29"/>
        <v>67516</v>
      </c>
      <c r="K216" s="38">
        <f t="shared" si="30"/>
        <v>616</v>
      </c>
      <c r="L216" s="38">
        <v>780</v>
      </c>
      <c r="M216" s="78">
        <f t="shared" si="32"/>
        <v>1518310</v>
      </c>
      <c r="N216" s="79">
        <f t="shared" si="32"/>
        <v>1125009</v>
      </c>
      <c r="O216" s="79">
        <f t="shared" si="32"/>
        <v>2712531</v>
      </c>
      <c r="P216" s="80">
        <f t="shared" si="31"/>
        <v>11308063</v>
      </c>
      <c r="Q216" s="80">
        <f t="shared" si="31"/>
        <v>5465395</v>
      </c>
      <c r="R216" s="80">
        <f t="shared" si="31"/>
        <v>17137296</v>
      </c>
      <c r="S216" s="84">
        <f>M216/'[21]2014'!M216-1</f>
        <v>-0.116915335497376</v>
      </c>
      <c r="T216" s="84">
        <f>N216/'[21]2014'!N216-1</f>
        <v>0.0651749287285321</v>
      </c>
      <c r="U216" s="84">
        <f>O216/'[21]2014'!O216-1</f>
        <v>-0.0509556636044519</v>
      </c>
      <c r="V216" s="85">
        <f>P216/'[21]2014'!P216-1</f>
        <v>-0.0331463194965133</v>
      </c>
      <c r="W216" s="85">
        <f>Q216/'[21]2014'!Q216-1</f>
        <v>0.144776152322436</v>
      </c>
      <c r="X216" s="85">
        <f>R216/'[21]2014'!R216-1</f>
        <v>0.0168202820198373</v>
      </c>
      <c r="Y216" s="97">
        <f>Y209+0.5*7</f>
        <v>69.9197</v>
      </c>
      <c r="Z216" s="54">
        <f>P216/10000-Y216</f>
        <v>1060.8866</v>
      </c>
      <c r="AA216" s="38">
        <v>3890.092</v>
      </c>
      <c r="AB216" s="38">
        <f>Z216*10000/AA216</f>
        <v>2727.15041186687</v>
      </c>
    </row>
    <row r="217" ht="15" customHeight="1" spans="1:32">
      <c r="A217" s="26">
        <v>42216</v>
      </c>
      <c r="B217" s="21" t="s">
        <v>37</v>
      </c>
      <c r="C217" s="22">
        <v>68521</v>
      </c>
      <c r="D217" s="8">
        <f>28530+11145</f>
        <v>39675</v>
      </c>
      <c r="E217" s="8">
        <v>109509</v>
      </c>
      <c r="F217" s="23">
        <v>5425</v>
      </c>
      <c r="G217" s="24">
        <v>3592</v>
      </c>
      <c r="H217" s="25">
        <v>1902</v>
      </c>
      <c r="I217" s="37">
        <v>1328</v>
      </c>
      <c r="J217" s="9">
        <f t="shared" si="29"/>
        <v>69834</v>
      </c>
      <c r="K217" s="38">
        <f t="shared" si="30"/>
        <v>533</v>
      </c>
      <c r="L217" s="38">
        <v>780</v>
      </c>
      <c r="M217" s="78">
        <f t="shared" si="32"/>
        <v>1586831</v>
      </c>
      <c r="N217" s="79">
        <f t="shared" si="32"/>
        <v>1164684</v>
      </c>
      <c r="O217" s="79">
        <f t="shared" si="32"/>
        <v>2822040</v>
      </c>
      <c r="P217" s="80">
        <f t="shared" si="31"/>
        <v>11376584</v>
      </c>
      <c r="Q217" s="80">
        <f t="shared" si="31"/>
        <v>5505070</v>
      </c>
      <c r="R217" s="80">
        <f t="shared" si="31"/>
        <v>17246805</v>
      </c>
      <c r="S217" s="84">
        <f>M217/'[21]2014'!M217-1</f>
        <v>-0.111146285658873</v>
      </c>
      <c r="T217" s="84">
        <f>N217/'[21]2014'!N217-1</f>
        <v>0.0679853980998457</v>
      </c>
      <c r="U217" s="84">
        <f>O217/'[21]2014'!O217-1</f>
        <v>-0.0473924002434483</v>
      </c>
      <c r="V217" s="85">
        <f>P217/'[21]2014'!P217-1</f>
        <v>-0.0327402258485966</v>
      </c>
      <c r="W217" s="85">
        <f>Q217/'[21]2014'!Q217-1</f>
        <v>0.144844580849862</v>
      </c>
      <c r="X217" s="85">
        <f>R217/'[21]2014'!R217-1</f>
        <v>0.0170260374629665</v>
      </c>
      <c r="Y217" s="99">
        <v>70.772</v>
      </c>
      <c r="Z217" s="98">
        <f>P217/10000-Y217</f>
        <v>1066.8864</v>
      </c>
      <c r="AA217" s="55">
        <v>3890.092</v>
      </c>
      <c r="AB217" s="55">
        <f>Z217*10000/AA217</f>
        <v>2742.57369748582</v>
      </c>
      <c r="AC217" s="94">
        <v>20.132171</v>
      </c>
      <c r="AD217" s="103">
        <v>16.382628</v>
      </c>
      <c r="AE217" s="103"/>
      <c r="AF217" s="103">
        <v>1174.172555</v>
      </c>
    </row>
    <row r="218" ht="15" customHeight="1" spans="1:28">
      <c r="A218" s="21">
        <v>42217</v>
      </c>
      <c r="B218" s="21" t="s">
        <v>38</v>
      </c>
      <c r="C218" s="22">
        <v>66375</v>
      </c>
      <c r="D218" s="8">
        <f>27472+11109</f>
        <v>38581</v>
      </c>
      <c r="E218" s="8">
        <v>106548</v>
      </c>
      <c r="F218" s="23">
        <v>5169</v>
      </c>
      <c r="G218" s="24">
        <v>3617</v>
      </c>
      <c r="H218" s="25">
        <v>1863</v>
      </c>
      <c r="I218" s="37">
        <v>1309</v>
      </c>
      <c r="J218" s="9">
        <f t="shared" si="29"/>
        <v>67967</v>
      </c>
      <c r="K218" s="38">
        <f t="shared" si="30"/>
        <v>842</v>
      </c>
      <c r="L218" s="38">
        <v>750</v>
      </c>
      <c r="M218" s="78">
        <f>C218</f>
        <v>66375</v>
      </c>
      <c r="N218" s="79">
        <f>D218</f>
        <v>38581</v>
      </c>
      <c r="O218" s="79">
        <f>E218</f>
        <v>106548</v>
      </c>
      <c r="P218" s="80">
        <f>P$217+M218</f>
        <v>11442959</v>
      </c>
      <c r="Q218" s="80">
        <f>Q$217+N218</f>
        <v>5543651</v>
      </c>
      <c r="R218" s="80">
        <f>R$217+O218</f>
        <v>17353353</v>
      </c>
      <c r="S218" s="84">
        <f>M218/'[21]2014'!M218-1</f>
        <v>0.176590502189212</v>
      </c>
      <c r="T218" s="84">
        <f>N218/'[21]2014'!N218-1</f>
        <v>0.126617024383122</v>
      </c>
      <c r="U218" s="84">
        <f>O218/'[21]2014'!O218-1</f>
        <v>0.144951052558055</v>
      </c>
      <c r="V218" s="85">
        <f>P218/'[21]2014'!P218-1</f>
        <v>-0.0317409960381607</v>
      </c>
      <c r="W218" s="85">
        <f>Q218/'[21]2014'!Q218-1</f>
        <v>0.14471568843032</v>
      </c>
      <c r="X218" s="85">
        <f>R218/'[21]2014'!R218-1</f>
        <v>0.0177242064627443</v>
      </c>
      <c r="Y218" s="97"/>
      <c r="Z218" s="97"/>
      <c r="AA218" s="38"/>
      <c r="AB218" s="38"/>
    </row>
    <row r="219" ht="15" customHeight="1" spans="1:28">
      <c r="A219" s="21">
        <v>42218</v>
      </c>
      <c r="B219" s="21" t="s">
        <v>1</v>
      </c>
      <c r="C219" s="22">
        <v>64593</v>
      </c>
      <c r="D219" s="8">
        <f>27603+11160</f>
        <v>38763</v>
      </c>
      <c r="E219" s="8">
        <v>104484</v>
      </c>
      <c r="F219" s="23">
        <v>4972</v>
      </c>
      <c r="G219" s="24">
        <v>3539</v>
      </c>
      <c r="H219" s="25">
        <v>1863</v>
      </c>
      <c r="I219" s="37">
        <v>1303</v>
      </c>
      <c r="J219" s="9">
        <f t="shared" si="29"/>
        <v>65721</v>
      </c>
      <c r="K219" s="38">
        <f t="shared" si="30"/>
        <v>378</v>
      </c>
      <c r="L219" s="38">
        <v>750</v>
      </c>
      <c r="M219" s="78">
        <f t="shared" ref="M219:O234" si="34">M218+C219</f>
        <v>130968</v>
      </c>
      <c r="N219" s="79">
        <f t="shared" si="34"/>
        <v>77344</v>
      </c>
      <c r="O219" s="79">
        <f t="shared" si="34"/>
        <v>211032</v>
      </c>
      <c r="P219" s="80">
        <f t="shared" ref="P219:R248" si="35">P$217+M219</f>
        <v>11507552</v>
      </c>
      <c r="Q219" s="80">
        <f t="shared" si="35"/>
        <v>5582414</v>
      </c>
      <c r="R219" s="80">
        <f t="shared" si="35"/>
        <v>17457837</v>
      </c>
      <c r="S219" s="84">
        <f>M219/'[21]2014'!M219-1</f>
        <v>0.187412168961985</v>
      </c>
      <c r="T219" s="84">
        <f>N219/'[21]2014'!N219-1</f>
        <v>0.127759470414978</v>
      </c>
      <c r="U219" s="84">
        <f>O219/'[21]2014'!O219-1</f>
        <v>0.152651242052828</v>
      </c>
      <c r="V219" s="85">
        <f>P219/'[21]2014'!P219-1</f>
        <v>-0.0306948898108363</v>
      </c>
      <c r="W219" s="85">
        <f>Q219/'[21]2014'!Q219-1</f>
        <v>0.144604332020458</v>
      </c>
      <c r="X219" s="85">
        <f>R219/'[21]2014'!R219-1</f>
        <v>0.0184746444840405</v>
      </c>
      <c r="Y219" s="97"/>
      <c r="Z219" s="97"/>
      <c r="AA219" s="38"/>
      <c r="AB219" s="38"/>
    </row>
    <row r="220" ht="15" customHeight="1" spans="1:28">
      <c r="A220" s="21">
        <v>42219</v>
      </c>
      <c r="B220" s="21" t="s">
        <v>39</v>
      </c>
      <c r="C220" s="22">
        <v>75646</v>
      </c>
      <c r="D220" s="8">
        <f>27555+11108</f>
        <v>38663</v>
      </c>
      <c r="E220" s="8">
        <v>115905</v>
      </c>
      <c r="F220" s="23">
        <v>5850</v>
      </c>
      <c r="G220" s="24">
        <v>3624</v>
      </c>
      <c r="H220" s="25">
        <v>1847</v>
      </c>
      <c r="I220" s="37">
        <v>1305</v>
      </c>
      <c r="J220" s="9">
        <f t="shared" si="29"/>
        <v>77242</v>
      </c>
      <c r="K220" s="38">
        <f t="shared" si="30"/>
        <v>846</v>
      </c>
      <c r="L220" s="38">
        <v>750</v>
      </c>
      <c r="M220" s="78">
        <f t="shared" si="34"/>
        <v>206614</v>
      </c>
      <c r="N220" s="79">
        <f t="shared" si="34"/>
        <v>116007</v>
      </c>
      <c r="O220" s="79">
        <f t="shared" si="34"/>
        <v>326937</v>
      </c>
      <c r="P220" s="80">
        <f t="shared" si="35"/>
        <v>11583198</v>
      </c>
      <c r="Q220" s="80">
        <f t="shared" si="35"/>
        <v>5621077</v>
      </c>
      <c r="R220" s="80">
        <f t="shared" si="35"/>
        <v>17573742</v>
      </c>
      <c r="S220" s="84">
        <f>M220/'[21]2014'!M220-1</f>
        <v>0.221216760152967</v>
      </c>
      <c r="T220" s="84">
        <f>N220/'[21]2014'!N220-1</f>
        <v>0.143647225836981</v>
      </c>
      <c r="U220" s="84">
        <f>O220/'[21]2014'!O220-1</f>
        <v>0.180320589190946</v>
      </c>
      <c r="V220" s="85">
        <f>P220/'[21]2014'!P220-1</f>
        <v>-0.0291389553005648</v>
      </c>
      <c r="W220" s="85">
        <f>Q220/'[21]2014'!Q220-1</f>
        <v>0.144819844667937</v>
      </c>
      <c r="X220" s="85">
        <f>R220/'[21]2014'!R220-1</f>
        <v>0.0196503939617021</v>
      </c>
      <c r="Y220" s="97"/>
      <c r="Z220" s="97"/>
      <c r="AA220" s="38"/>
      <c r="AB220" s="38"/>
    </row>
    <row r="221" ht="15" customHeight="1" spans="1:32">
      <c r="A221" s="21">
        <v>42220</v>
      </c>
      <c r="B221" s="15" t="s">
        <v>34</v>
      </c>
      <c r="C221" s="16">
        <v>74627</v>
      </c>
      <c r="D221" s="17">
        <f>28764+11084</f>
        <v>39848</v>
      </c>
      <c r="E221" s="17">
        <v>116518</v>
      </c>
      <c r="F221" s="18">
        <v>5826</v>
      </c>
      <c r="G221" s="19">
        <v>3810</v>
      </c>
      <c r="H221" s="20">
        <v>1856</v>
      </c>
      <c r="I221" s="20">
        <v>1469</v>
      </c>
      <c r="J221" s="33">
        <f t="shared" si="29"/>
        <v>76670</v>
      </c>
      <c r="K221" s="34">
        <f t="shared" si="30"/>
        <v>1293</v>
      </c>
      <c r="L221" s="34">
        <v>750</v>
      </c>
      <c r="M221" s="81">
        <f t="shared" si="34"/>
        <v>281241</v>
      </c>
      <c r="N221" s="82">
        <f t="shared" si="34"/>
        <v>155855</v>
      </c>
      <c r="O221" s="82">
        <f t="shared" si="34"/>
        <v>443455</v>
      </c>
      <c r="P221" s="81">
        <f t="shared" si="35"/>
        <v>11657825</v>
      </c>
      <c r="Q221" s="81">
        <f t="shared" si="35"/>
        <v>5660925</v>
      </c>
      <c r="R221" s="81">
        <f t="shared" si="35"/>
        <v>17690260</v>
      </c>
      <c r="S221" s="86">
        <f>M221/'[21]2014'!M221-1</f>
        <v>0.170160270279266</v>
      </c>
      <c r="T221" s="86">
        <f>N221/'[21]2014'!N221-1</f>
        <v>0.167864341753276</v>
      </c>
      <c r="U221" s="86">
        <f>O221/'[21]2014'!O221-1</f>
        <v>0.156951807480381</v>
      </c>
      <c r="V221" s="86">
        <f>P221/'[21]2014'!P221-1</f>
        <v>-0.0286770791825</v>
      </c>
      <c r="W221" s="86">
        <f>Q221/'[21]2014'!Q221-1</f>
        <v>0.145466199487251</v>
      </c>
      <c r="X221" s="86">
        <f>R221/'[21]2014'!R221-1</f>
        <v>0.0201188139428061</v>
      </c>
      <c r="Y221" s="100">
        <f>Y217+0.5*4</f>
        <v>72.772</v>
      </c>
      <c r="Z221" s="53">
        <f t="shared" ref="Z221" si="36">P221/10000-Y221</f>
        <v>1093.0105</v>
      </c>
      <c r="AA221" s="34"/>
      <c r="AB221" s="34"/>
      <c r="AC221" s="67">
        <f>AC217+SUM(K218:K221)/10000</f>
        <v>20.468071</v>
      </c>
      <c r="AF221" s="2">
        <f>AF217+SUM(J218:J221)/10000</f>
        <v>1202.932555</v>
      </c>
    </row>
    <row r="222" ht="15" customHeight="1" spans="1:28">
      <c r="A222" s="21">
        <v>42221</v>
      </c>
      <c r="B222" s="21" t="s">
        <v>35</v>
      </c>
      <c r="C222" s="70">
        <v>71925</v>
      </c>
      <c r="D222" s="71">
        <f>29718+11071</f>
        <v>40789</v>
      </c>
      <c r="E222" s="71">
        <v>115189</v>
      </c>
      <c r="F222" s="72">
        <v>5811</v>
      </c>
      <c r="G222" s="73">
        <v>3800</v>
      </c>
      <c r="H222" s="25">
        <v>1859</v>
      </c>
      <c r="I222" s="25">
        <v>1511</v>
      </c>
      <c r="J222" s="74">
        <f t="shared" si="29"/>
        <v>74400</v>
      </c>
      <c r="K222" s="75">
        <f t="shared" si="30"/>
        <v>1725</v>
      </c>
      <c r="L222" s="75">
        <v>750</v>
      </c>
      <c r="M222" s="76">
        <f t="shared" si="34"/>
        <v>353166</v>
      </c>
      <c r="N222" s="77">
        <f t="shared" si="34"/>
        <v>196644</v>
      </c>
      <c r="O222" s="77">
        <f t="shared" si="34"/>
        <v>558644</v>
      </c>
      <c r="P222" s="76">
        <f t="shared" si="35"/>
        <v>11729750</v>
      </c>
      <c r="Q222" s="76">
        <f t="shared" si="35"/>
        <v>5701714</v>
      </c>
      <c r="R222" s="76">
        <f t="shared" si="35"/>
        <v>17805449</v>
      </c>
      <c r="S222" s="83">
        <f>M222/'[21]2014'!M222-1</f>
        <v>0.125571285607746</v>
      </c>
      <c r="T222" s="83">
        <f>N222/'[21]2014'!N222-1</f>
        <v>0.168649638073051</v>
      </c>
      <c r="U222" s="83">
        <f>O222/'[21]2014'!O222-1</f>
        <v>0.130972770523332</v>
      </c>
      <c r="V222" s="83">
        <f>P222/'[21]2014'!P222-1</f>
        <v>-0.0286266852394331</v>
      </c>
      <c r="W222" s="83">
        <f>Q222/'[21]2014'!Q222-1</f>
        <v>0.145649425224652</v>
      </c>
      <c r="X222" s="83">
        <f>R222/'[21]2014'!R222-1</f>
        <v>0.0202511064766819</v>
      </c>
      <c r="Y222" s="89"/>
      <c r="Z222" s="101"/>
      <c r="AA222" s="89"/>
      <c r="AB222" s="75"/>
    </row>
    <row r="223" ht="15" customHeight="1" spans="1:28">
      <c r="A223" s="21">
        <v>42222</v>
      </c>
      <c r="B223" s="21" t="s">
        <v>36</v>
      </c>
      <c r="C223" s="22">
        <v>68430</v>
      </c>
      <c r="D223" s="8">
        <f>30559+11080</f>
        <v>41639</v>
      </c>
      <c r="E223" s="8">
        <v>113173</v>
      </c>
      <c r="F223" s="23">
        <v>5493</v>
      </c>
      <c r="G223" s="24">
        <v>3759</v>
      </c>
      <c r="H223" s="25">
        <v>1951</v>
      </c>
      <c r="I223" s="37">
        <v>1421</v>
      </c>
      <c r="J223" s="9">
        <f t="shared" si="29"/>
        <v>71534</v>
      </c>
      <c r="K223" s="38">
        <f t="shared" si="30"/>
        <v>2354</v>
      </c>
      <c r="L223" s="38">
        <v>750</v>
      </c>
      <c r="M223" s="78">
        <f t="shared" si="34"/>
        <v>421596</v>
      </c>
      <c r="N223" s="79">
        <f t="shared" si="34"/>
        <v>238283</v>
      </c>
      <c r="O223" s="79">
        <f t="shared" si="34"/>
        <v>671817</v>
      </c>
      <c r="P223" s="80">
        <f t="shared" si="35"/>
        <v>11798180</v>
      </c>
      <c r="Q223" s="80">
        <f t="shared" si="35"/>
        <v>5743353</v>
      </c>
      <c r="R223" s="80">
        <f t="shared" si="35"/>
        <v>17918622</v>
      </c>
      <c r="S223" s="84">
        <f>M223/'[21]2014'!M223-1</f>
        <v>0.0917820351465994</v>
      </c>
      <c r="T223" s="84">
        <f>N223/'[21]2014'!N223-1</f>
        <v>0.150214322951864</v>
      </c>
      <c r="U223" s="84">
        <f>O223/'[21]2014'!O223-1</f>
        <v>0.105924398037108</v>
      </c>
      <c r="V223" s="85">
        <f>P223/'[21]2014'!P223-1</f>
        <v>-0.0287819206556537</v>
      </c>
      <c r="W223" s="85">
        <f>Q223/'[21]2014'!Q223-1</f>
        <v>0.145066366204408</v>
      </c>
      <c r="X223" s="85">
        <f>R223/'[21]2014'!R223-1</f>
        <v>0.0201004179820834</v>
      </c>
      <c r="Y223" s="97">
        <f>Y217+0.5*6</f>
        <v>73.772</v>
      </c>
      <c r="Z223" s="54">
        <f>P223/10000-Y223</f>
        <v>1106.046</v>
      </c>
      <c r="AA223" s="38">
        <v>3890.092</v>
      </c>
      <c r="AB223" s="38">
        <f>Z223*10000/AA223</f>
        <v>2843.23866890552</v>
      </c>
    </row>
    <row r="224" ht="15" customHeight="1" spans="1:28">
      <c r="A224" s="21">
        <v>42223</v>
      </c>
      <c r="B224" s="21" t="s">
        <v>37</v>
      </c>
      <c r="C224" s="22">
        <v>64931</v>
      </c>
      <c r="D224" s="8">
        <v>40557</v>
      </c>
      <c r="E224" s="8">
        <v>109119</v>
      </c>
      <c r="F224" s="23">
        <v>5448</v>
      </c>
      <c r="G224" s="24">
        <v>3753</v>
      </c>
      <c r="H224" s="25">
        <v>1893</v>
      </c>
      <c r="I224" s="37">
        <v>1475</v>
      </c>
      <c r="J224" s="9">
        <f t="shared" si="29"/>
        <v>68562</v>
      </c>
      <c r="K224" s="38">
        <f t="shared" si="30"/>
        <v>2881</v>
      </c>
      <c r="L224" s="38">
        <v>750</v>
      </c>
      <c r="M224" s="78">
        <f t="shared" si="34"/>
        <v>486527</v>
      </c>
      <c r="N224" s="79">
        <f t="shared" si="34"/>
        <v>278840</v>
      </c>
      <c r="O224" s="79">
        <f t="shared" si="34"/>
        <v>780936</v>
      </c>
      <c r="P224" s="80">
        <f t="shared" si="35"/>
        <v>11863111</v>
      </c>
      <c r="Q224" s="80">
        <f t="shared" si="35"/>
        <v>5783910</v>
      </c>
      <c r="R224" s="80">
        <f t="shared" si="35"/>
        <v>18027741</v>
      </c>
      <c r="S224" s="84">
        <f>M224/'[21]2014'!M224-1</f>
        <v>0.0639795657279818</v>
      </c>
      <c r="T224" s="84">
        <f>N224/'[21]2014'!N224-1</f>
        <v>0.145552173073526</v>
      </c>
      <c r="U224" s="84">
        <f>O224/'[21]2014'!O224-1</f>
        <v>0.0898449111515205</v>
      </c>
      <c r="V224" s="85">
        <f>P224/'[21]2014'!P224-1</f>
        <v>-0.0291206667338781</v>
      </c>
      <c r="W224" s="85">
        <f>Q224/'[21]2014'!Q224-1</f>
        <v>0.144878673533697</v>
      </c>
      <c r="X224" s="85">
        <f>R224/'[21]2014'!R224-1</f>
        <v>0.0199782273727258</v>
      </c>
      <c r="Y224" s="97"/>
      <c r="Z224" s="54"/>
      <c r="AA224" s="38"/>
      <c r="AB224" s="38"/>
    </row>
    <row r="225" ht="15" customHeight="1" spans="1:28">
      <c r="A225" s="21">
        <v>42224</v>
      </c>
      <c r="B225" s="21" t="s">
        <v>38</v>
      </c>
      <c r="C225" s="22">
        <v>57747</v>
      </c>
      <c r="D225" s="8">
        <v>36800</v>
      </c>
      <c r="E225" s="8">
        <v>98909</v>
      </c>
      <c r="F225" s="23">
        <v>4861</v>
      </c>
      <c r="G225" s="24">
        <v>3558</v>
      </c>
      <c r="H225" s="25">
        <v>1893</v>
      </c>
      <c r="I225" s="37">
        <v>1179</v>
      </c>
      <c r="J225" s="9">
        <f t="shared" si="29"/>
        <v>62109</v>
      </c>
      <c r="K225" s="38">
        <f t="shared" si="30"/>
        <v>3612</v>
      </c>
      <c r="L225" s="38">
        <v>750</v>
      </c>
      <c r="M225" s="78">
        <f t="shared" si="34"/>
        <v>544274</v>
      </c>
      <c r="N225" s="79">
        <f t="shared" si="34"/>
        <v>315640</v>
      </c>
      <c r="O225" s="79">
        <f t="shared" si="34"/>
        <v>879845</v>
      </c>
      <c r="P225" s="80">
        <f t="shared" si="35"/>
        <v>11920858</v>
      </c>
      <c r="Q225" s="80">
        <f t="shared" si="35"/>
        <v>5820710</v>
      </c>
      <c r="R225" s="80">
        <f t="shared" si="35"/>
        <v>18126650</v>
      </c>
      <c r="S225" s="84">
        <f>M225/'[21]2014'!M225-1</f>
        <v>0.0472285503186283</v>
      </c>
      <c r="T225" s="84">
        <f>N225/'[21]2014'!N225-1</f>
        <v>0.124314312174966</v>
      </c>
      <c r="U225" s="84">
        <f>O225/'[21]2014'!O225-1</f>
        <v>0.0752344546256669</v>
      </c>
      <c r="V225" s="85">
        <f>P225/'[21]2014'!P225-1</f>
        <v>-0.0293560806536358</v>
      </c>
      <c r="W225" s="85">
        <f>Q225/'[21]2014'!Q225-1</f>
        <v>0.143712077036078</v>
      </c>
      <c r="X225" s="85">
        <f>R225/'[21]2014'!R225-1</f>
        <v>0.0197054895523099</v>
      </c>
      <c r="Y225" s="97"/>
      <c r="Z225" s="54"/>
      <c r="AA225" s="38"/>
      <c r="AB225" s="38"/>
    </row>
    <row r="226" ht="15" customHeight="1" spans="1:28">
      <c r="A226" s="21">
        <v>42225</v>
      </c>
      <c r="B226" s="21" t="s">
        <v>1</v>
      </c>
      <c r="C226" s="22">
        <v>43820</v>
      </c>
      <c r="D226" s="8">
        <f>25602+10943</f>
        <v>36545</v>
      </c>
      <c r="E226" s="8">
        <v>84323</v>
      </c>
      <c r="F226" s="23">
        <v>4049</v>
      </c>
      <c r="G226" s="24">
        <v>3101</v>
      </c>
      <c r="H226" s="25">
        <v>1918</v>
      </c>
      <c r="I226" s="37">
        <v>1179</v>
      </c>
      <c r="J226" s="9">
        <f t="shared" si="29"/>
        <v>47778</v>
      </c>
      <c r="K226" s="38">
        <f t="shared" si="30"/>
        <v>3208</v>
      </c>
      <c r="L226" s="38">
        <v>750</v>
      </c>
      <c r="M226" s="78">
        <f t="shared" si="34"/>
        <v>588094</v>
      </c>
      <c r="N226" s="79">
        <f t="shared" si="34"/>
        <v>352185</v>
      </c>
      <c r="O226" s="79">
        <f t="shared" si="34"/>
        <v>964168</v>
      </c>
      <c r="P226" s="80">
        <f t="shared" si="35"/>
        <v>11964678</v>
      </c>
      <c r="Q226" s="80">
        <f t="shared" si="35"/>
        <v>5857255</v>
      </c>
      <c r="R226" s="80">
        <f t="shared" si="35"/>
        <v>18210973</v>
      </c>
      <c r="S226" s="84">
        <f>M226/'[21]2014'!M226-1</f>
        <v>0.0113448564652956</v>
      </c>
      <c r="T226" s="84">
        <f>N226/'[21]2014'!N226-1</f>
        <v>0.119832240586586</v>
      </c>
      <c r="U226" s="84">
        <f>O226/'[21]2014'!O226-1</f>
        <v>0.0527322595297159</v>
      </c>
      <c r="V226" s="85">
        <f>P226/'[21]2014'!P226-1</f>
        <v>-0.0306633393762265</v>
      </c>
      <c r="W226" s="85">
        <f>Q226/'[21]2014'!Q226-1</f>
        <v>0.143309109391609</v>
      </c>
      <c r="X226" s="85">
        <f>R226/'[21]2014'!R226-1</f>
        <v>0.0188556460488245</v>
      </c>
      <c r="Y226" s="97"/>
      <c r="Z226" s="54"/>
      <c r="AA226" s="38"/>
      <c r="AB226" s="38"/>
    </row>
    <row r="227" ht="15" customHeight="1" spans="1:32">
      <c r="A227" s="21">
        <v>42226</v>
      </c>
      <c r="B227" s="21" t="s">
        <v>39</v>
      </c>
      <c r="C227" s="22">
        <v>45853</v>
      </c>
      <c r="D227" s="8">
        <f>26241+10783</f>
        <v>37024</v>
      </c>
      <c r="E227" s="8">
        <v>87119</v>
      </c>
      <c r="F227" s="23">
        <v>4527</v>
      </c>
      <c r="G227" s="24">
        <v>2758</v>
      </c>
      <c r="H227" s="25">
        <v>1858</v>
      </c>
      <c r="I227" s="37">
        <v>1087</v>
      </c>
      <c r="J227" s="9">
        <f t="shared" si="29"/>
        <v>50095</v>
      </c>
      <c r="K227" s="38">
        <f t="shared" si="30"/>
        <v>3492</v>
      </c>
      <c r="L227" s="38">
        <v>750</v>
      </c>
      <c r="M227" s="78">
        <f t="shared" si="34"/>
        <v>633947</v>
      </c>
      <c r="N227" s="79">
        <f t="shared" si="34"/>
        <v>389209</v>
      </c>
      <c r="O227" s="79">
        <f t="shared" si="34"/>
        <v>1051287</v>
      </c>
      <c r="P227" s="80">
        <f t="shared" si="35"/>
        <v>12010531</v>
      </c>
      <c r="Q227" s="80">
        <f t="shared" si="35"/>
        <v>5894279</v>
      </c>
      <c r="R227" s="80">
        <f t="shared" si="35"/>
        <v>18298092</v>
      </c>
      <c r="S227" s="84">
        <f>M227/'[21]2014'!M227-1</f>
        <v>-0.00289875587851329</v>
      </c>
      <c r="T227" s="84">
        <f>N227/'[21]2014'!N227-1</f>
        <v>0.115720342505611</v>
      </c>
      <c r="U227" s="84">
        <f>O227/'[21]2014'!O227-1</f>
        <v>0.0452174224279609</v>
      </c>
      <c r="V227" s="85">
        <f>P227/'[21]2014'!P227-1</f>
        <v>-0.0312098383249272</v>
      </c>
      <c r="W227" s="85">
        <f>Q227/'[21]2014'!Q227-1</f>
        <v>0.142874654398092</v>
      </c>
      <c r="X227" s="85">
        <f>R227/'[21]2014'!R227-1</f>
        <v>0.0186044875166067</v>
      </c>
      <c r="Y227" s="97">
        <v>75.835</v>
      </c>
      <c r="Z227" s="54">
        <f>P227/10000-Y227</f>
        <v>1125.2181</v>
      </c>
      <c r="AA227" s="38">
        <v>3890.092</v>
      </c>
      <c r="AB227" s="38">
        <f>Z227*10000/AA227</f>
        <v>2892.52310742265</v>
      </c>
      <c r="AC227" s="94">
        <v>22.193431</v>
      </c>
      <c r="AD227" s="103">
        <v>17.13447</v>
      </c>
      <c r="AE227" s="103"/>
      <c r="AF227" s="103">
        <v>1240.381372</v>
      </c>
    </row>
    <row r="228" ht="15" customHeight="1" spans="1:32">
      <c r="A228" s="21">
        <v>42227</v>
      </c>
      <c r="B228" s="15" t="s">
        <v>34</v>
      </c>
      <c r="C228" s="16">
        <v>46828</v>
      </c>
      <c r="D228" s="17">
        <f>27954+11028</f>
        <v>38982</v>
      </c>
      <c r="E228" s="17">
        <v>90249</v>
      </c>
      <c r="F228" s="18">
        <v>4673</v>
      </c>
      <c r="G228" s="19">
        <v>2871</v>
      </c>
      <c r="H228" s="20">
        <v>1883</v>
      </c>
      <c r="I228" s="20">
        <v>1271</v>
      </c>
      <c r="J228" s="33">
        <f t="shared" si="29"/>
        <v>51267</v>
      </c>
      <c r="K228" s="34">
        <f t="shared" si="30"/>
        <v>3689</v>
      </c>
      <c r="L228" s="34">
        <v>750</v>
      </c>
      <c r="M228" s="81">
        <f t="shared" si="34"/>
        <v>680775</v>
      </c>
      <c r="N228" s="82">
        <f t="shared" si="34"/>
        <v>428191</v>
      </c>
      <c r="O228" s="82">
        <f t="shared" si="34"/>
        <v>1141536</v>
      </c>
      <c r="P228" s="81">
        <f t="shared" si="35"/>
        <v>12057359</v>
      </c>
      <c r="Q228" s="81">
        <f t="shared" si="35"/>
        <v>5933261</v>
      </c>
      <c r="R228" s="81">
        <f t="shared" si="35"/>
        <v>18388341</v>
      </c>
      <c r="S228" s="86">
        <f>M228/'[21]2014'!M228-1</f>
        <v>-0.0136225924654111</v>
      </c>
      <c r="T228" s="86">
        <f>N228/'[21]2014'!N228-1</f>
        <v>0.111355950239691</v>
      </c>
      <c r="U228" s="86">
        <f>O228/'[21]2014'!O228-1</f>
        <v>0.0395716899360066</v>
      </c>
      <c r="V228" s="86">
        <f>P228/'[21]2014'!P228-1</f>
        <v>-0.0316805792176978</v>
      </c>
      <c r="W228" s="86">
        <f>Q228/'[21]2014'!Q228-1</f>
        <v>0.142360353071437</v>
      </c>
      <c r="X228" s="86">
        <f>R228/'[21]2014'!R228-1</f>
        <v>0.0183971484221233</v>
      </c>
      <c r="Y228" s="100">
        <f>Y227+0.5</f>
        <v>76.335</v>
      </c>
      <c r="Z228" s="53">
        <f>P228/10000-Y228</f>
        <v>1129.4009</v>
      </c>
      <c r="AA228" s="34"/>
      <c r="AB228" s="34"/>
      <c r="AC228" s="67">
        <f>AC227+K228/10000</f>
        <v>22.562331</v>
      </c>
      <c r="AD228" s="2">
        <f>AD227+L228/10000</f>
        <v>17.20947</v>
      </c>
      <c r="AF228" s="2">
        <f>AF227+J228/10000</f>
        <v>1245.508072</v>
      </c>
    </row>
    <row r="229" ht="15" customHeight="1" spans="1:28">
      <c r="A229" s="21">
        <v>42228</v>
      </c>
      <c r="B229" s="21" t="s">
        <v>35</v>
      </c>
      <c r="C229" s="70">
        <v>49650</v>
      </c>
      <c r="D229" s="71">
        <f>27070+10965</f>
        <v>38035</v>
      </c>
      <c r="E229" s="71">
        <v>91832</v>
      </c>
      <c r="F229" s="72">
        <v>4742.3</v>
      </c>
      <c r="G229" s="73">
        <v>2970</v>
      </c>
      <c r="H229" s="25">
        <v>1852</v>
      </c>
      <c r="I229" s="25">
        <v>1257</v>
      </c>
      <c r="J229" s="74">
        <f t="shared" si="29"/>
        <v>53797</v>
      </c>
      <c r="K229" s="75">
        <f t="shared" si="30"/>
        <v>3397</v>
      </c>
      <c r="L229" s="75">
        <v>750</v>
      </c>
      <c r="M229" s="76">
        <f t="shared" si="34"/>
        <v>730425</v>
      </c>
      <c r="N229" s="77">
        <f t="shared" si="34"/>
        <v>466226</v>
      </c>
      <c r="O229" s="77">
        <f t="shared" si="34"/>
        <v>1233368</v>
      </c>
      <c r="P229" s="76">
        <f t="shared" si="35"/>
        <v>12107009</v>
      </c>
      <c r="Q229" s="76">
        <f t="shared" si="35"/>
        <v>5971296</v>
      </c>
      <c r="R229" s="76">
        <f t="shared" si="35"/>
        <v>18480173</v>
      </c>
      <c r="S229" s="83">
        <f>M229/'[21]2014'!M229-1</f>
        <v>-0.0129271842495382</v>
      </c>
      <c r="T229" s="83">
        <f>N229/'[21]2014'!N229-1</f>
        <v>0.101486049093959</v>
      </c>
      <c r="U229" s="83">
        <f>O229/'[21]2014'!O229-1</f>
        <v>0.0389817815453382</v>
      </c>
      <c r="V229" s="83">
        <f>P229/'[21]2014'!P229-1</f>
        <v>-0.0315674632800522</v>
      </c>
      <c r="W229" s="83">
        <f>Q229/'[21]2014'!Q229-1</f>
        <v>0.141336761162283</v>
      </c>
      <c r="X229" s="83">
        <f>R229/'[21]2014'!R229-1</f>
        <v>0.0184624258416117</v>
      </c>
      <c r="Y229" s="89"/>
      <c r="Z229" s="101"/>
      <c r="AA229" s="89"/>
      <c r="AB229" s="75"/>
    </row>
    <row r="230" ht="15" customHeight="1" spans="1:28">
      <c r="A230" s="21">
        <v>42229</v>
      </c>
      <c r="B230" s="21" t="s">
        <v>36</v>
      </c>
      <c r="C230" s="22">
        <v>49119</v>
      </c>
      <c r="D230" s="8">
        <f>27436+10980</f>
        <v>38416</v>
      </c>
      <c r="E230" s="8">
        <v>91913</v>
      </c>
      <c r="F230" s="23">
        <v>4790.9</v>
      </c>
      <c r="G230" s="24">
        <v>3023</v>
      </c>
      <c r="H230" s="25">
        <v>1857</v>
      </c>
      <c r="I230" s="37">
        <v>1287</v>
      </c>
      <c r="J230" s="9">
        <f t="shared" si="29"/>
        <v>53497</v>
      </c>
      <c r="K230" s="38">
        <f t="shared" si="30"/>
        <v>3628</v>
      </c>
      <c r="L230" s="38">
        <v>750</v>
      </c>
      <c r="M230" s="78">
        <f t="shared" si="34"/>
        <v>779544</v>
      </c>
      <c r="N230" s="79">
        <f t="shared" si="34"/>
        <v>504642</v>
      </c>
      <c r="O230" s="79">
        <f t="shared" si="34"/>
        <v>1325281</v>
      </c>
      <c r="P230" s="80">
        <f t="shared" si="35"/>
        <v>12156128</v>
      </c>
      <c r="Q230" s="80">
        <f t="shared" si="35"/>
        <v>6009712</v>
      </c>
      <c r="R230" s="80">
        <f t="shared" si="35"/>
        <v>18572086</v>
      </c>
      <c r="S230" s="84">
        <f>M230/'[21]2014'!M230-1</f>
        <v>-0.0161794326849781</v>
      </c>
      <c r="T230" s="84">
        <f>N230/'[21]2014'!N230-1</f>
        <v>0.0936788198094132</v>
      </c>
      <c r="U230" s="84">
        <f>O230/'[21]2014'!O230-1</f>
        <v>0.0358411004943626</v>
      </c>
      <c r="V230" s="85">
        <f>P230/'[21]2014'!P230-1</f>
        <v>-0.0316949695518909</v>
      </c>
      <c r="W230" s="85">
        <f>Q230/'[21]2014'!Q230-1</f>
        <v>0.140364734202303</v>
      </c>
      <c r="X230" s="85">
        <f>R230/'[21]2014'!R230-1</f>
        <v>0.0183459804643544</v>
      </c>
      <c r="Y230" s="97">
        <f>Y227+0.5*3</f>
        <v>77.335</v>
      </c>
      <c r="Z230" s="54">
        <f>P230/10000-Y230</f>
        <v>1138.2778</v>
      </c>
      <c r="AA230" s="38">
        <v>3890.092</v>
      </c>
      <c r="AB230" s="38">
        <f>Z230*10000/AA230</f>
        <v>2926.09480701228</v>
      </c>
    </row>
    <row r="231" ht="15" customHeight="1" spans="1:28">
      <c r="A231" s="21">
        <v>42230</v>
      </c>
      <c r="B231" s="21" t="s">
        <v>37</v>
      </c>
      <c r="C231" s="22">
        <v>47190</v>
      </c>
      <c r="D231" s="8">
        <f>27597+10971</f>
        <v>38568</v>
      </c>
      <c r="E231" s="8">
        <v>90336</v>
      </c>
      <c r="F231" s="23">
        <v>4654</v>
      </c>
      <c r="G231" s="24">
        <v>2982</v>
      </c>
      <c r="H231" s="25">
        <v>1916</v>
      </c>
      <c r="I231" s="37">
        <v>1284</v>
      </c>
      <c r="J231" s="9">
        <f t="shared" si="29"/>
        <v>51768</v>
      </c>
      <c r="K231" s="38">
        <f t="shared" si="30"/>
        <v>3828</v>
      </c>
      <c r="L231" s="38">
        <v>750</v>
      </c>
      <c r="M231" s="78">
        <f t="shared" si="34"/>
        <v>826734</v>
      </c>
      <c r="N231" s="79">
        <f t="shared" si="34"/>
        <v>543210</v>
      </c>
      <c r="O231" s="79">
        <f t="shared" si="34"/>
        <v>1415617</v>
      </c>
      <c r="P231" s="80">
        <f t="shared" si="35"/>
        <v>12203318</v>
      </c>
      <c r="Q231" s="80">
        <f t="shared" si="35"/>
        <v>6048280</v>
      </c>
      <c r="R231" s="80">
        <f t="shared" si="35"/>
        <v>18662422</v>
      </c>
      <c r="S231" s="84">
        <f>M231/'[21]2014'!M231-1</f>
        <v>-0.0192372026810606</v>
      </c>
      <c r="T231" s="84">
        <f>N231/'[21]2014'!N231-1</f>
        <v>0.0896650224368167</v>
      </c>
      <c r="U231" s="84">
        <f>O231/'[21]2014'!O231-1</f>
        <v>0.033743023450262</v>
      </c>
      <c r="V231" s="85">
        <f>P231/'[21]2014'!P231-1</f>
        <v>-0.0318371935294371</v>
      </c>
      <c r="W231" s="85">
        <f>Q231/'[21]2014'!Q231-1</f>
        <v>0.139661393407843</v>
      </c>
      <c r="X231" s="85">
        <f>R231/'[21]2014'!R231-1</f>
        <v>0.0182751117829851</v>
      </c>
      <c r="Y231" s="97"/>
      <c r="Z231" s="54"/>
      <c r="AA231" s="38"/>
      <c r="AB231" s="38"/>
    </row>
    <row r="232" ht="15" customHeight="1" spans="1:28">
      <c r="A232" s="21">
        <v>42231</v>
      </c>
      <c r="B232" s="21" t="s">
        <v>38</v>
      </c>
      <c r="C232" s="22">
        <v>48403</v>
      </c>
      <c r="D232" s="8">
        <f>26234+11013</f>
        <v>37247</v>
      </c>
      <c r="E232" s="8">
        <v>90425</v>
      </c>
      <c r="F232" s="23">
        <v>4617</v>
      </c>
      <c r="G232" s="24">
        <v>2957</v>
      </c>
      <c r="H232" s="25">
        <v>1937</v>
      </c>
      <c r="I232" s="37">
        <v>977</v>
      </c>
      <c r="J232" s="9">
        <f t="shared" si="29"/>
        <v>53178</v>
      </c>
      <c r="K232" s="38">
        <f t="shared" si="30"/>
        <v>4025</v>
      </c>
      <c r="L232" s="38">
        <v>750</v>
      </c>
      <c r="M232" s="78">
        <f t="shared" si="34"/>
        <v>875137</v>
      </c>
      <c r="N232" s="79">
        <f t="shared" si="34"/>
        <v>580457</v>
      </c>
      <c r="O232" s="79">
        <f t="shared" si="34"/>
        <v>1506042</v>
      </c>
      <c r="P232" s="80">
        <f t="shared" si="35"/>
        <v>12251721</v>
      </c>
      <c r="Q232" s="80">
        <f t="shared" si="35"/>
        <v>6085527</v>
      </c>
      <c r="R232" s="80">
        <f t="shared" si="35"/>
        <v>18752847</v>
      </c>
      <c r="S232" s="84">
        <f>M232/'[21]2014'!M232-1</f>
        <v>-0.0169407942773567</v>
      </c>
      <c r="T232" s="84">
        <f>N232/'[21]2014'!N232-1</f>
        <v>0.0826230327627304</v>
      </c>
      <c r="U232" s="84">
        <f>O232/'[21]2014'!O232-1</f>
        <v>0.0339370414435172</v>
      </c>
      <c r="V232" s="85">
        <f>P232/'[21]2014'!P232-1</f>
        <v>-0.0316285383614626</v>
      </c>
      <c r="W232" s="85">
        <f>Q232/'[21]2014'!Q232-1</f>
        <v>0.138602812290629</v>
      </c>
      <c r="X232" s="85">
        <f>R232/'[21]2014'!R232-1</f>
        <v>0.018363704677099</v>
      </c>
      <c r="Y232" s="97"/>
      <c r="Z232" s="54"/>
      <c r="AA232" s="38"/>
      <c r="AB232" s="38"/>
    </row>
    <row r="233" ht="15" customHeight="1" spans="1:28">
      <c r="A233" s="21">
        <v>42232</v>
      </c>
      <c r="B233" s="21" t="s">
        <v>1</v>
      </c>
      <c r="C233" s="22">
        <v>39352</v>
      </c>
      <c r="D233" s="8">
        <f>27661+10956</f>
        <v>38617</v>
      </c>
      <c r="E233" s="8">
        <v>82454</v>
      </c>
      <c r="F233" s="23">
        <v>4068</v>
      </c>
      <c r="G233" s="24">
        <v>2921</v>
      </c>
      <c r="H233" s="25">
        <v>1964</v>
      </c>
      <c r="I233" s="37">
        <v>1278</v>
      </c>
      <c r="J233" s="9">
        <f t="shared" si="29"/>
        <v>43837</v>
      </c>
      <c r="K233" s="38">
        <f t="shared" si="30"/>
        <v>3735</v>
      </c>
      <c r="L233" s="38">
        <v>750</v>
      </c>
      <c r="M233" s="78">
        <f t="shared" si="34"/>
        <v>914489</v>
      </c>
      <c r="N233" s="79">
        <f t="shared" si="34"/>
        <v>619074</v>
      </c>
      <c r="O233" s="79">
        <f t="shared" si="34"/>
        <v>1588496</v>
      </c>
      <c r="P233" s="80">
        <f t="shared" si="35"/>
        <v>12291073</v>
      </c>
      <c r="Q233" s="80">
        <f t="shared" si="35"/>
        <v>6124144</v>
      </c>
      <c r="R233" s="80">
        <f t="shared" si="35"/>
        <v>18835301</v>
      </c>
      <c r="S233" s="84">
        <f>M233/'[21]2014'!M233-1</f>
        <v>-0.0218197259992641</v>
      </c>
      <c r="T233" s="84">
        <f>N233/'[21]2014'!N233-1</f>
        <v>0.0801633137333588</v>
      </c>
      <c r="U233" s="84">
        <f>O233/'[21]2014'!O233-1</f>
        <v>0.0308743926521866</v>
      </c>
      <c r="V233" s="85">
        <f>P233/'[21]2014'!P233-1</f>
        <v>-0.0319361142560071</v>
      </c>
      <c r="W233" s="85">
        <f>Q233/'[21]2014'!Q233-1</f>
        <v>0.137956284144273</v>
      </c>
      <c r="X233" s="85">
        <f>R233/'[21]2014'!R233-1</f>
        <v>0.0181795714162918</v>
      </c>
      <c r="Y233" s="97"/>
      <c r="Z233" s="54"/>
      <c r="AA233" s="38"/>
      <c r="AB233" s="38"/>
    </row>
    <row r="234" ht="15" customHeight="1" spans="1:28">
      <c r="A234" s="21">
        <v>42233</v>
      </c>
      <c r="B234" s="21" t="s">
        <v>39</v>
      </c>
      <c r="C234" s="22">
        <v>47428</v>
      </c>
      <c r="D234" s="8">
        <f>27660+10765</f>
        <v>38425</v>
      </c>
      <c r="E234" s="8">
        <v>90650</v>
      </c>
      <c r="F234" s="23">
        <v>4732</v>
      </c>
      <c r="G234" s="24">
        <v>2762</v>
      </c>
      <c r="H234" s="25">
        <v>1933</v>
      </c>
      <c r="I234" s="37">
        <v>1221</v>
      </c>
      <c r="J234" s="9">
        <f t="shared" si="29"/>
        <v>52225</v>
      </c>
      <c r="K234" s="38">
        <f t="shared" si="30"/>
        <v>4047</v>
      </c>
      <c r="L234" s="38">
        <v>750</v>
      </c>
      <c r="M234" s="78">
        <f t="shared" si="34"/>
        <v>961917</v>
      </c>
      <c r="N234" s="79">
        <f t="shared" si="34"/>
        <v>657499</v>
      </c>
      <c r="O234" s="79">
        <f t="shared" si="34"/>
        <v>1679146</v>
      </c>
      <c r="P234" s="80">
        <f t="shared" si="35"/>
        <v>12338501</v>
      </c>
      <c r="Q234" s="80">
        <f t="shared" si="35"/>
        <v>6162569</v>
      </c>
      <c r="R234" s="80">
        <f t="shared" si="35"/>
        <v>18925951</v>
      </c>
      <c r="S234" s="84">
        <f>M234/'[21]2014'!M234-1</f>
        <v>-0.0114169611089528</v>
      </c>
      <c r="T234" s="84">
        <f>N234/'[21]2014'!N234-1</f>
        <v>0.0776393188981346</v>
      </c>
      <c r="U234" s="84">
        <f>O234/'[21]2014'!O234-1</f>
        <v>0.0373109110800995</v>
      </c>
      <c r="V234" s="85">
        <f>P234/'[21]2014'!P234-1</f>
        <v>-0.031110968145535</v>
      </c>
      <c r="W234" s="85">
        <f>Q234/'[21]2014'!Q234-1</f>
        <v>0.137277478812227</v>
      </c>
      <c r="X234" s="85">
        <f>R234/'[21]2014'!R234-1</f>
        <v>0.018793622537383</v>
      </c>
      <c r="Y234" s="97"/>
      <c r="Z234" s="54"/>
      <c r="AA234" s="38"/>
      <c r="AB234" s="38"/>
    </row>
    <row r="235" ht="15" customHeight="1" spans="1:32">
      <c r="A235" s="21">
        <v>42234</v>
      </c>
      <c r="B235" s="15" t="s">
        <v>34</v>
      </c>
      <c r="C235" s="16">
        <v>48457</v>
      </c>
      <c r="D235" s="17">
        <v>40174</v>
      </c>
      <c r="E235" s="17">
        <v>93762</v>
      </c>
      <c r="F235" s="18">
        <v>4793</v>
      </c>
      <c r="G235" s="19">
        <v>3007</v>
      </c>
      <c r="H235" s="20"/>
      <c r="I235" s="20"/>
      <c r="J235" s="33">
        <f t="shared" si="29"/>
        <v>53588</v>
      </c>
      <c r="K235" s="34">
        <f t="shared" si="30"/>
        <v>4381</v>
      </c>
      <c r="L235" s="34">
        <v>750</v>
      </c>
      <c r="M235" s="81">
        <f t="shared" ref="M235:O248" si="37">M234+C235</f>
        <v>1010374</v>
      </c>
      <c r="N235" s="82">
        <f t="shared" si="37"/>
        <v>697673</v>
      </c>
      <c r="O235" s="82">
        <f t="shared" si="37"/>
        <v>1772908</v>
      </c>
      <c r="P235" s="81">
        <f t="shared" si="35"/>
        <v>12386958</v>
      </c>
      <c r="Q235" s="81">
        <f t="shared" si="35"/>
        <v>6202743</v>
      </c>
      <c r="R235" s="81">
        <f t="shared" si="35"/>
        <v>19019713</v>
      </c>
      <c r="S235" s="86">
        <f>M235/'[21]2014'!M235-1</f>
        <v>-0.00339804245136455</v>
      </c>
      <c r="T235" s="86">
        <f>N235/'[21]2014'!N235-1</f>
        <v>0.0773142228892965</v>
      </c>
      <c r="U235" s="86">
        <f>O235/'[21]2014'!O235-1</f>
        <v>0.0424798784474769</v>
      </c>
      <c r="V235" s="86">
        <f>P235/'[21]2014'!P235-1</f>
        <v>-0.0304117296072195</v>
      </c>
      <c r="W235" s="86">
        <f>Q235/'[21]2014'!Q235-1</f>
        <v>0.136829276155777</v>
      </c>
      <c r="X235" s="86">
        <f>R235/'[21]2014'!R235-1</f>
        <v>0.0193460457085866</v>
      </c>
      <c r="Y235" s="100">
        <f>Y237-0.5*2</f>
        <v>77.6398</v>
      </c>
      <c r="Z235" s="53">
        <f t="shared" ref="Z235" si="38">P235/10000-Y235</f>
        <v>1161.056</v>
      </c>
      <c r="AA235" s="34">
        <v>3890</v>
      </c>
      <c r="AB235" s="34">
        <f t="shared" ref="AB235" si="39">Z235*10000/AA235</f>
        <v>2984.71979434447</v>
      </c>
      <c r="AC235" s="67">
        <f>AC228+SUM(K229:K235)/10000</f>
        <v>25.266431</v>
      </c>
      <c r="AD235" s="2">
        <f>AD228+SUM(L229:L235)/10000</f>
        <v>17.73447</v>
      </c>
      <c r="AF235" s="2">
        <f>AF228+SUM(J229:J235)/10000</f>
        <v>1281.697072</v>
      </c>
    </row>
    <row r="236" ht="15" customHeight="1" spans="1:28">
      <c r="A236" s="21">
        <v>42235</v>
      </c>
      <c r="B236" s="21" t="s">
        <v>35</v>
      </c>
      <c r="C236" s="70">
        <v>51554</v>
      </c>
      <c r="D236" s="71">
        <f>30166+11011</f>
        <v>41177</v>
      </c>
      <c r="E236" s="71">
        <v>97407</v>
      </c>
      <c r="F236" s="72">
        <v>4921.5</v>
      </c>
      <c r="G236" s="73">
        <v>3099</v>
      </c>
      <c r="H236" s="25">
        <v>2095.4</v>
      </c>
      <c r="I236" s="25">
        <v>1329.6</v>
      </c>
      <c r="J236" s="74">
        <f t="shared" si="29"/>
        <v>56230</v>
      </c>
      <c r="K236" s="75">
        <f t="shared" si="30"/>
        <v>3926</v>
      </c>
      <c r="L236" s="75">
        <v>750</v>
      </c>
      <c r="M236" s="76">
        <f t="shared" si="37"/>
        <v>1061928</v>
      </c>
      <c r="N236" s="77">
        <f t="shared" si="37"/>
        <v>738850</v>
      </c>
      <c r="O236" s="77">
        <f t="shared" si="37"/>
        <v>1870315</v>
      </c>
      <c r="P236" s="76">
        <f t="shared" si="35"/>
        <v>12438512</v>
      </c>
      <c r="Q236" s="76">
        <f t="shared" si="35"/>
        <v>6243920</v>
      </c>
      <c r="R236" s="76">
        <f t="shared" si="35"/>
        <v>19117120</v>
      </c>
      <c r="S236" s="83">
        <f>M236/'[21]2014'!M236-1</f>
        <v>0.00918017083100509</v>
      </c>
      <c r="T236" s="83">
        <f>N236/'[21]2014'!N236-1</f>
        <v>0.0787391228172634</v>
      </c>
      <c r="U236" s="83">
        <f>O236/'[21]2014'!O236-1</f>
        <v>0.0504531352149191</v>
      </c>
      <c r="V236" s="83">
        <f>P236/'[21]2014'!P236-1</f>
        <v>-0.0292977623154957</v>
      </c>
      <c r="W236" s="83">
        <f>Q236/'[21]2014'!Q236-1</f>
        <v>0.13660265877049</v>
      </c>
      <c r="X236" s="83">
        <f>R236/'[21]2014'!R236-1</f>
        <v>0.0202021839867979</v>
      </c>
      <c r="Y236" s="89"/>
      <c r="Z236" s="101"/>
      <c r="AA236" s="89"/>
      <c r="AB236" s="75"/>
    </row>
    <row r="237" ht="15" customHeight="1" spans="1:28">
      <c r="A237" s="21">
        <v>42236</v>
      </c>
      <c r="B237" s="21" t="s">
        <v>36</v>
      </c>
      <c r="C237" s="22">
        <v>53505</v>
      </c>
      <c r="D237" s="8">
        <f>30828+11705</f>
        <v>42533</v>
      </c>
      <c r="E237" s="8">
        <v>100123</v>
      </c>
      <c r="F237" s="23">
        <v>5110.5</v>
      </c>
      <c r="G237" s="24">
        <v>3257.9</v>
      </c>
      <c r="H237" s="25"/>
      <c r="I237" s="37"/>
      <c r="J237" s="9">
        <f t="shared" si="29"/>
        <v>57590</v>
      </c>
      <c r="K237" s="38">
        <f t="shared" si="30"/>
        <v>3335</v>
      </c>
      <c r="L237" s="38">
        <v>750</v>
      </c>
      <c r="M237" s="78">
        <f t="shared" si="37"/>
        <v>1115433</v>
      </c>
      <c r="N237" s="79">
        <f t="shared" si="37"/>
        <v>781383</v>
      </c>
      <c r="O237" s="79">
        <f t="shared" si="37"/>
        <v>1970438</v>
      </c>
      <c r="P237" s="80">
        <f t="shared" si="35"/>
        <v>12492017</v>
      </c>
      <c r="Q237" s="80">
        <f t="shared" si="35"/>
        <v>6286453</v>
      </c>
      <c r="R237" s="80">
        <f t="shared" si="35"/>
        <v>19217243</v>
      </c>
      <c r="S237" s="84">
        <f>M237/'[21]2014'!M237-1</f>
        <v>0.0226856393659061</v>
      </c>
      <c r="T237" s="84">
        <f>N237/'[21]2014'!N237-1</f>
        <v>0.0834814705939448</v>
      </c>
      <c r="U237" s="84">
        <f>O237/'[21]2014'!O237-1</f>
        <v>0.0599371494781642</v>
      </c>
      <c r="V237" s="85">
        <f>P237/'[21]2014'!P237-1</f>
        <v>-0.0280476193773678</v>
      </c>
      <c r="W237" s="85">
        <f>Q237/'[21]2014'!Q237-1</f>
        <v>0.136841740156851</v>
      </c>
      <c r="X237" s="85">
        <f>R237/'[21]2014'!R237-1</f>
        <v>0.0212653942026921</v>
      </c>
      <c r="Y237" s="97">
        <v>78.6398</v>
      </c>
      <c r="Z237" s="54">
        <f>P237/10000-Y237</f>
        <v>1170.5619</v>
      </c>
      <c r="AA237" s="38">
        <f>3890.092+6*20/(212+20)</f>
        <v>3890.60924137931</v>
      </c>
      <c r="AB237" s="38">
        <f>(Z237-0.8152)*10000/AA237</f>
        <v>3006.59004137177</v>
      </c>
    </row>
    <row r="238" ht="15" customHeight="1" spans="1:28">
      <c r="A238" s="21">
        <v>42237</v>
      </c>
      <c r="B238" s="21" t="s">
        <v>37</v>
      </c>
      <c r="C238" s="22">
        <v>47949</v>
      </c>
      <c r="D238" s="8">
        <v>43786</v>
      </c>
      <c r="E238" s="8">
        <v>95495</v>
      </c>
      <c r="F238" s="23">
        <v>4845.2</v>
      </c>
      <c r="G238" s="24">
        <v>3229</v>
      </c>
      <c r="H238" s="25">
        <v>2154.6</v>
      </c>
      <c r="I238" s="37">
        <v>1427.9</v>
      </c>
      <c r="J238" s="9">
        <f t="shared" si="29"/>
        <v>51709</v>
      </c>
      <c r="K238" s="38">
        <f t="shared" si="30"/>
        <v>3010</v>
      </c>
      <c r="L238" s="38">
        <v>750</v>
      </c>
      <c r="M238" s="78">
        <f t="shared" si="37"/>
        <v>1163382</v>
      </c>
      <c r="N238" s="79">
        <f t="shared" si="37"/>
        <v>825169</v>
      </c>
      <c r="O238" s="79">
        <f t="shared" si="37"/>
        <v>2065933</v>
      </c>
      <c r="P238" s="80">
        <f t="shared" si="35"/>
        <v>12539966</v>
      </c>
      <c r="Q238" s="80">
        <f t="shared" si="35"/>
        <v>6330239</v>
      </c>
      <c r="R238" s="80">
        <f t="shared" si="35"/>
        <v>19312738</v>
      </c>
      <c r="S238" s="84">
        <f>M238/'[21]2014'!M238-1</f>
        <v>0.029325707794029</v>
      </c>
      <c r="T238" s="84">
        <f>N238/'[21]2014'!N238-1</f>
        <v>0.087399814982223</v>
      </c>
      <c r="U238" s="84">
        <f>O238/'[21]2014'!O238-1</f>
        <v>0.0644903162246777</v>
      </c>
      <c r="V238" s="85">
        <f>P238/'[21]2014'!P238-1</f>
        <v>-0.027298885796863</v>
      </c>
      <c r="W238" s="85">
        <f>Q238/'[21]2014'!Q238-1</f>
        <v>0.137014790746615</v>
      </c>
      <c r="X238" s="85">
        <f>R238/'[21]2014'!R238-1</f>
        <v>0.0219002680214135</v>
      </c>
      <c r="Y238" s="97"/>
      <c r="Z238" s="54"/>
      <c r="AA238" s="38"/>
      <c r="AB238" s="38"/>
    </row>
    <row r="239" ht="15" customHeight="1" spans="1:28">
      <c r="A239" s="21">
        <v>42238</v>
      </c>
      <c r="B239" s="21" t="s">
        <v>38</v>
      </c>
      <c r="C239" s="22">
        <v>45682</v>
      </c>
      <c r="D239" s="8">
        <v>41366</v>
      </c>
      <c r="E239" s="8">
        <v>90447</v>
      </c>
      <c r="F239" s="23">
        <v>4560</v>
      </c>
      <c r="G239" s="24">
        <v>3155</v>
      </c>
      <c r="H239" s="25"/>
      <c r="I239" s="37"/>
      <c r="J239" s="9">
        <f t="shared" si="29"/>
        <v>49081</v>
      </c>
      <c r="K239" s="38">
        <f t="shared" si="30"/>
        <v>2649</v>
      </c>
      <c r="L239" s="38">
        <v>750</v>
      </c>
      <c r="M239" s="78">
        <f t="shared" si="37"/>
        <v>1209064</v>
      </c>
      <c r="N239" s="79">
        <f t="shared" si="37"/>
        <v>866535</v>
      </c>
      <c r="O239" s="79">
        <f t="shared" si="37"/>
        <v>2156380</v>
      </c>
      <c r="P239" s="80">
        <f t="shared" si="35"/>
        <v>12585648</v>
      </c>
      <c r="Q239" s="80">
        <f t="shared" si="35"/>
        <v>6371605</v>
      </c>
      <c r="R239" s="80">
        <f t="shared" si="35"/>
        <v>19403185</v>
      </c>
      <c r="S239" s="84">
        <f>M239/'[21]2014'!M239-1</f>
        <v>0.0298074728209949</v>
      </c>
      <c r="T239" s="84">
        <f>N239/'[21]2014'!N239-1</f>
        <v>0.0873059491364643</v>
      </c>
      <c r="U239" s="84">
        <f>O239/'[21]2014'!O239-1</f>
        <v>0.0636535783711902</v>
      </c>
      <c r="V239" s="85">
        <f>P239/'[21]2014'!P239-1</f>
        <v>-0.0270632951417347</v>
      </c>
      <c r="W239" s="85">
        <f>Q239/'[21]2014'!Q239-1</f>
        <v>0.136664131015905</v>
      </c>
      <c r="X239" s="85">
        <f>R239/'[21]2014'!R239-1</f>
        <v>0.0220051006791153</v>
      </c>
      <c r="Y239" s="97"/>
      <c r="Z239" s="54"/>
      <c r="AA239" s="38"/>
      <c r="AB239" s="38"/>
    </row>
    <row r="240" ht="15" customHeight="1" spans="1:28">
      <c r="A240" s="21">
        <v>42239</v>
      </c>
      <c r="B240" s="21" t="s">
        <v>1</v>
      </c>
      <c r="C240" s="22">
        <v>38096</v>
      </c>
      <c r="D240" s="8">
        <v>40418</v>
      </c>
      <c r="E240" s="8">
        <v>82067</v>
      </c>
      <c r="F240" s="23">
        <v>4016</v>
      </c>
      <c r="G240" s="24">
        <v>2955</v>
      </c>
      <c r="H240" s="25"/>
      <c r="I240" s="37"/>
      <c r="J240" s="9">
        <f t="shared" si="29"/>
        <v>41649</v>
      </c>
      <c r="K240" s="38">
        <f t="shared" si="30"/>
        <v>2803</v>
      </c>
      <c r="L240" s="38">
        <v>750</v>
      </c>
      <c r="M240" s="78">
        <f t="shared" si="37"/>
        <v>1247160</v>
      </c>
      <c r="N240" s="79">
        <f t="shared" si="37"/>
        <v>906953</v>
      </c>
      <c r="O240" s="79">
        <f t="shared" si="37"/>
        <v>2238447</v>
      </c>
      <c r="P240" s="80">
        <f t="shared" si="35"/>
        <v>12623744</v>
      </c>
      <c r="Q240" s="80">
        <f t="shared" si="35"/>
        <v>6412023</v>
      </c>
      <c r="R240" s="80">
        <f t="shared" si="35"/>
        <v>19485252</v>
      </c>
      <c r="S240" s="84">
        <f>M240/'[21]2014'!M240-1</f>
        <v>0.021889556678097</v>
      </c>
      <c r="T240" s="84">
        <f>N240/'[21]2014'!N240-1</f>
        <v>0.0867165679544586</v>
      </c>
      <c r="U240" s="84">
        <f>O240/'[21]2014'!O240-1</f>
        <v>0.0578322078192119</v>
      </c>
      <c r="V240" s="85">
        <f>P240/'[21]2014'!P240-1</f>
        <v>-0.0276044927099407</v>
      </c>
      <c r="W240" s="85">
        <f>Q240/'[21]2014'!Q240-1</f>
        <v>0.136247876653257</v>
      </c>
      <c r="X240" s="85">
        <f>R240/'[21]2014'!R240-1</f>
        <v>0.0215530402541488</v>
      </c>
      <c r="Y240" s="97"/>
      <c r="Z240" s="54"/>
      <c r="AA240" s="38"/>
      <c r="AB240" s="38"/>
    </row>
    <row r="241" ht="15" customHeight="1" spans="1:28">
      <c r="A241" s="21">
        <v>42240</v>
      </c>
      <c r="B241" s="21" t="s">
        <v>39</v>
      </c>
      <c r="C241" s="22">
        <v>40516</v>
      </c>
      <c r="D241" s="8">
        <f>30946+11198</f>
        <v>42144</v>
      </c>
      <c r="E241" s="8">
        <v>85411</v>
      </c>
      <c r="F241" s="23">
        <v>4480</v>
      </c>
      <c r="G241" s="24">
        <v>8810</v>
      </c>
      <c r="H241" s="25"/>
      <c r="I241" s="37"/>
      <c r="J241" s="9">
        <f t="shared" si="29"/>
        <v>43267</v>
      </c>
      <c r="K241" s="38">
        <f t="shared" si="30"/>
        <v>2001</v>
      </c>
      <c r="L241" s="38">
        <v>750</v>
      </c>
      <c r="M241" s="78">
        <f t="shared" si="37"/>
        <v>1287676</v>
      </c>
      <c r="N241" s="79">
        <f t="shared" si="37"/>
        <v>949097</v>
      </c>
      <c r="O241" s="79">
        <f t="shared" si="37"/>
        <v>2323858</v>
      </c>
      <c r="P241" s="80">
        <f t="shared" si="35"/>
        <v>12664260</v>
      </c>
      <c r="Q241" s="80">
        <f t="shared" si="35"/>
        <v>6454167</v>
      </c>
      <c r="R241" s="80">
        <f t="shared" si="35"/>
        <v>19570663</v>
      </c>
      <c r="S241" s="84">
        <f>M241/'[21]2014'!M241-1</f>
        <v>0.0154989302244517</v>
      </c>
      <c r="T241" s="84">
        <f>N241/'[21]2014'!N241-1</f>
        <v>0.0899914784929565</v>
      </c>
      <c r="U241" s="84">
        <f>O241/'[21]2014'!O241-1</f>
        <v>0.0541414550127626</v>
      </c>
      <c r="V241" s="85">
        <f>P241/'[21]2014'!P241-1</f>
        <v>-0.0280456877791408</v>
      </c>
      <c r="W241" s="85">
        <f>Q241/'[21]2014'!Q241-1</f>
        <v>0.136434639681098</v>
      </c>
      <c r="X241" s="85">
        <f>R241/'[21]2014'!R241-1</f>
        <v>0.0212958723662748</v>
      </c>
      <c r="Y241" s="97"/>
      <c r="Z241" s="54"/>
      <c r="AA241" s="38"/>
      <c r="AB241" s="38"/>
    </row>
    <row r="242" ht="15" customHeight="1" spans="1:32">
      <c r="A242" s="21">
        <v>42241</v>
      </c>
      <c r="B242" s="15" t="s">
        <v>34</v>
      </c>
      <c r="C242" s="16">
        <v>41751</v>
      </c>
      <c r="D242" s="17">
        <f>33704+11133</f>
        <v>44837</v>
      </c>
      <c r="E242" s="17">
        <v>88556</v>
      </c>
      <c r="F242" s="18">
        <v>4474.4</v>
      </c>
      <c r="G242" s="19">
        <v>2881.2</v>
      </c>
      <c r="H242" s="20">
        <v>2157.5</v>
      </c>
      <c r="I242" s="20">
        <v>1525.6</v>
      </c>
      <c r="J242" s="33">
        <f t="shared" si="29"/>
        <v>43719</v>
      </c>
      <c r="K242" s="34">
        <f t="shared" si="30"/>
        <v>1218</v>
      </c>
      <c r="L242" s="34">
        <v>750</v>
      </c>
      <c r="M242" s="81">
        <f t="shared" si="37"/>
        <v>1329427</v>
      </c>
      <c r="N242" s="82">
        <f t="shared" si="37"/>
        <v>993934</v>
      </c>
      <c r="O242" s="82">
        <f t="shared" si="37"/>
        <v>2412414</v>
      </c>
      <c r="P242" s="81">
        <f t="shared" si="35"/>
        <v>12706011</v>
      </c>
      <c r="Q242" s="81">
        <f t="shared" si="35"/>
        <v>6499004</v>
      </c>
      <c r="R242" s="81">
        <f t="shared" si="35"/>
        <v>19659219</v>
      </c>
      <c r="S242" s="86">
        <f>M242/'[21]2014'!M242-1</f>
        <v>0.00887126945665173</v>
      </c>
      <c r="T242" s="86">
        <f>N242/'[21]2014'!N242-1</f>
        <v>0.0944300382635506</v>
      </c>
      <c r="U242" s="86">
        <f>O242/'[21]2014'!O242-1</f>
        <v>0.0505702676926696</v>
      </c>
      <c r="V242" s="86">
        <f>P242/'[21]2014'!P242-1</f>
        <v>-0.0285479077905016</v>
      </c>
      <c r="W242" s="86">
        <f>Q242/'[21]2014'!Q242-1</f>
        <v>0.13683561869105</v>
      </c>
      <c r="X242" s="86">
        <f>R242/'[21]2014'!R242-1</f>
        <v>0.0210265472587232</v>
      </c>
      <c r="Y242" s="100">
        <f>Y244-(Y244-Y237)/7*2</f>
        <v>80.1398</v>
      </c>
      <c r="Z242" s="53">
        <f t="shared" ref="Z242" si="40">P242/10000-Y242</f>
        <v>1190.4613</v>
      </c>
      <c r="AA242" s="34">
        <v>3891</v>
      </c>
      <c r="AB242" s="34">
        <f>Z242*10000/AA242</f>
        <v>3059.52531482909</v>
      </c>
      <c r="AC242" s="67">
        <f t="shared" ref="AC242" si="41">AC235+SUM(K236:K242)/10000</f>
        <v>27.160631</v>
      </c>
      <c r="AD242" s="2">
        <f t="shared" ref="AD242" si="42">AD235+SUM(L236:L242)/10000</f>
        <v>18.25947</v>
      </c>
      <c r="AF242" s="2">
        <f t="shared" ref="AF242" si="43">AF235+SUM(J236:J242)/10000</f>
        <v>1316.021572</v>
      </c>
    </row>
    <row r="243" ht="15" customHeight="1" spans="1:28">
      <c r="A243" s="21">
        <v>42242</v>
      </c>
      <c r="B243" s="21" t="s">
        <v>35</v>
      </c>
      <c r="C243" s="70">
        <v>43297</v>
      </c>
      <c r="D243" s="71">
        <f>33533+11266</f>
        <v>44799</v>
      </c>
      <c r="E243" s="71">
        <v>90382</v>
      </c>
      <c r="F243" s="72">
        <v>4598.1</v>
      </c>
      <c r="G243" s="73">
        <v>3016.4</v>
      </c>
      <c r="H243" s="25"/>
      <c r="I243" s="25"/>
      <c r="J243" s="74">
        <f t="shared" si="29"/>
        <v>45583</v>
      </c>
      <c r="K243" s="75">
        <f t="shared" si="30"/>
        <v>1536</v>
      </c>
      <c r="L243" s="75">
        <v>750</v>
      </c>
      <c r="M243" s="76">
        <f t="shared" si="37"/>
        <v>1372724</v>
      </c>
      <c r="N243" s="77">
        <f t="shared" si="37"/>
        <v>1038733</v>
      </c>
      <c r="O243" s="77">
        <f t="shared" si="37"/>
        <v>2502796</v>
      </c>
      <c r="P243" s="76">
        <f t="shared" si="35"/>
        <v>12749308</v>
      </c>
      <c r="Q243" s="76">
        <f t="shared" si="35"/>
        <v>6543803</v>
      </c>
      <c r="R243" s="76">
        <f t="shared" si="35"/>
        <v>19749601</v>
      </c>
      <c r="S243" s="83">
        <f>M243/'[21]2014'!M243-1</f>
        <v>0.00645566195646508</v>
      </c>
      <c r="T243" s="83">
        <f>N243/'[21]2014'!N243-1</f>
        <v>0.0968055642081278</v>
      </c>
      <c r="U243" s="83">
        <f>O243/'[21]2014'!O243-1</f>
        <v>0.0489531826148766</v>
      </c>
      <c r="V243" s="83">
        <f>P243/'[21]2014'!P243-1</f>
        <v>-0.028667262533046</v>
      </c>
      <c r="W243" s="83">
        <f>Q243/'[21]2014'!Q243-1</f>
        <v>0.136940056453623</v>
      </c>
      <c r="X243" s="83">
        <f>R243/'[21]2014'!R243-1</f>
        <v>0.0209640906306556</v>
      </c>
      <c r="Y243" s="89"/>
      <c r="Z243" s="101"/>
      <c r="AA243" s="89"/>
      <c r="AB243" s="75"/>
    </row>
    <row r="244" ht="15" customHeight="1" spans="1:28">
      <c r="A244" s="21">
        <v>42243</v>
      </c>
      <c r="B244" s="21" t="s">
        <v>36</v>
      </c>
      <c r="C244" s="22">
        <v>45291</v>
      </c>
      <c r="D244" s="8">
        <f>33502+11259</f>
        <v>44761</v>
      </c>
      <c r="E244" s="8">
        <v>91999</v>
      </c>
      <c r="F244" s="23">
        <v>4666.6</v>
      </c>
      <c r="G244" s="24">
        <v>3050</v>
      </c>
      <c r="H244" s="25">
        <v>2158.2</v>
      </c>
      <c r="I244" s="37">
        <v>1650.2</v>
      </c>
      <c r="J244" s="9">
        <f t="shared" si="29"/>
        <v>47238</v>
      </c>
      <c r="K244" s="38">
        <f t="shared" si="30"/>
        <v>1197</v>
      </c>
      <c r="L244" s="38">
        <v>750</v>
      </c>
      <c r="M244" s="78">
        <f t="shared" si="37"/>
        <v>1418015</v>
      </c>
      <c r="N244" s="79">
        <f t="shared" si="37"/>
        <v>1083494</v>
      </c>
      <c r="O244" s="79">
        <f t="shared" si="37"/>
        <v>2594795</v>
      </c>
      <c r="P244" s="80">
        <f t="shared" si="35"/>
        <v>12794599</v>
      </c>
      <c r="Q244" s="80">
        <f t="shared" si="35"/>
        <v>6588564</v>
      </c>
      <c r="R244" s="80">
        <f t="shared" si="35"/>
        <v>19841600</v>
      </c>
      <c r="S244" s="84">
        <f>M244/'[21]2014'!M244-1</f>
        <v>0.00501082607755787</v>
      </c>
      <c r="T244" s="84">
        <f>N244/'[21]2014'!N244-1</f>
        <v>0.0994291257486002</v>
      </c>
      <c r="U244" s="84">
        <f>O244/'[21]2014'!O244-1</f>
        <v>0.0484651399215548</v>
      </c>
      <c r="V244" s="85">
        <f>P244/'[21]2014'!P244-1</f>
        <v>-0.028696633580666</v>
      </c>
      <c r="W244" s="85">
        <f>Q244/'[21]2014'!Q244-1</f>
        <v>0.137119937296</v>
      </c>
      <c r="X244" s="85">
        <f>R244/'[21]2014'!R244-1</f>
        <v>0.0210299167302597</v>
      </c>
      <c r="Y244" s="97">
        <f>Y237+0.3*7</f>
        <v>80.7398</v>
      </c>
      <c r="Z244" s="54">
        <f>P244/10000-Y244</f>
        <v>1198.7201</v>
      </c>
      <c r="AA244" s="38">
        <f>3890.092+6*27/(212+27)</f>
        <v>3890.76982426778</v>
      </c>
      <c r="AB244" s="38">
        <f>(Z244-0.8152)*10000/AA244</f>
        <v>3078.83774704004</v>
      </c>
    </row>
    <row r="245" ht="15" customHeight="1" spans="1:28">
      <c r="A245" s="21">
        <v>42244</v>
      </c>
      <c r="B245" s="21" t="s">
        <v>37</v>
      </c>
      <c r="C245" s="22">
        <v>45290</v>
      </c>
      <c r="D245" s="8">
        <f>33447+11230</f>
        <v>44677</v>
      </c>
      <c r="E245" s="8">
        <v>92483</v>
      </c>
      <c r="F245" s="23">
        <v>4756.9</v>
      </c>
      <c r="G245" s="24">
        <v>3101</v>
      </c>
      <c r="H245" s="25"/>
      <c r="I245" s="37"/>
      <c r="J245" s="9">
        <f t="shared" si="29"/>
        <v>47806</v>
      </c>
      <c r="K245" s="38">
        <f t="shared" si="30"/>
        <v>1766</v>
      </c>
      <c r="L245" s="38">
        <v>750</v>
      </c>
      <c r="M245" s="78">
        <f t="shared" si="37"/>
        <v>1463305</v>
      </c>
      <c r="N245" s="79">
        <f t="shared" si="37"/>
        <v>1128171</v>
      </c>
      <c r="O245" s="79">
        <f t="shared" si="37"/>
        <v>2687278</v>
      </c>
      <c r="P245" s="80">
        <f t="shared" si="35"/>
        <v>12839889</v>
      </c>
      <c r="Q245" s="80">
        <f t="shared" si="35"/>
        <v>6633241</v>
      </c>
      <c r="R245" s="80">
        <f t="shared" si="35"/>
        <v>19934083</v>
      </c>
      <c r="S245" s="84">
        <f>M245/'[21]2014'!M245-1</f>
        <v>0.0019411559292557</v>
      </c>
      <c r="T245" s="84">
        <f>N245/'[21]2014'!N245-1</f>
        <v>0.101968395491991</v>
      </c>
      <c r="U245" s="84">
        <f>O245/'[21]2014'!O245-1</f>
        <v>0.0464168505916491</v>
      </c>
      <c r="V245" s="85">
        <f>P245/'[21]2014'!P245-1</f>
        <v>-0.0289094433528304</v>
      </c>
      <c r="W245" s="85">
        <f>Q245/'[21]2014'!Q245-1</f>
        <v>0.137318338513891</v>
      </c>
      <c r="X245" s="85">
        <f>R245/'[21]2014'!R245-1</f>
        <v>0.0208915118891504</v>
      </c>
      <c r="Y245" s="97"/>
      <c r="Z245" s="54"/>
      <c r="AA245" s="38"/>
      <c r="AB245" s="38"/>
    </row>
    <row r="246" ht="15" customHeight="1" spans="1:28">
      <c r="A246" s="21">
        <v>42245</v>
      </c>
      <c r="B246" s="21" t="s">
        <v>38</v>
      </c>
      <c r="C246" s="22">
        <v>44662</v>
      </c>
      <c r="D246" s="8">
        <f>31763+11158</f>
        <v>42921</v>
      </c>
      <c r="E246" s="8">
        <v>89103</v>
      </c>
      <c r="F246" s="23">
        <v>4485</v>
      </c>
      <c r="G246" s="24">
        <v>3049.2</v>
      </c>
      <c r="H246" s="25"/>
      <c r="I246" s="37"/>
      <c r="J246" s="9">
        <f t="shared" si="29"/>
        <v>46182</v>
      </c>
      <c r="K246" s="38">
        <f t="shared" si="30"/>
        <v>770</v>
      </c>
      <c r="L246" s="38">
        <v>750</v>
      </c>
      <c r="M246" s="78">
        <f t="shared" si="37"/>
        <v>1507967</v>
      </c>
      <c r="N246" s="79">
        <f t="shared" si="37"/>
        <v>1171092</v>
      </c>
      <c r="O246" s="79">
        <f t="shared" si="37"/>
        <v>2776381</v>
      </c>
      <c r="P246" s="80">
        <f t="shared" si="35"/>
        <v>12884551</v>
      </c>
      <c r="Q246" s="80">
        <f t="shared" si="35"/>
        <v>6676162</v>
      </c>
      <c r="R246" s="80">
        <f t="shared" si="35"/>
        <v>20023186</v>
      </c>
      <c r="S246" s="84">
        <f>M246/'[21]2014'!M246-1</f>
        <v>-0.00134106670763823</v>
      </c>
      <c r="T246" s="84">
        <f>N246/'[21]2014'!N246-1</f>
        <v>0.102211496922803</v>
      </c>
      <c r="U246" s="84">
        <f>O246/'[21]2014'!O246-1</f>
        <v>0.043474518812286</v>
      </c>
      <c r="V246" s="85">
        <f>P246/'[21]2014'!P246-1</f>
        <v>-0.0291677642941112</v>
      </c>
      <c r="W246" s="85">
        <f>Q246/'[21]2014'!Q246-1</f>
        <v>0.137129228177276</v>
      </c>
      <c r="X246" s="85">
        <f>R246/'[21]2014'!R246-1</f>
        <v>0.0206129919520965</v>
      </c>
      <c r="Y246" s="97"/>
      <c r="Z246" s="54"/>
      <c r="AA246" s="38"/>
      <c r="AB246" s="38"/>
    </row>
    <row r="247" ht="15" customHeight="1" spans="1:28">
      <c r="A247" s="21">
        <v>42246</v>
      </c>
      <c r="B247" s="21" t="s">
        <v>1</v>
      </c>
      <c r="C247" s="22">
        <v>40081</v>
      </c>
      <c r="D247" s="8">
        <f>31578+11219</f>
        <v>42797</v>
      </c>
      <c r="E247" s="8">
        <v>84490</v>
      </c>
      <c r="F247" s="23">
        <v>4143.9</v>
      </c>
      <c r="G247" s="24">
        <v>2990.1</v>
      </c>
      <c r="H247" s="25"/>
      <c r="I247" s="37"/>
      <c r="J247" s="9">
        <f t="shared" si="29"/>
        <v>41693</v>
      </c>
      <c r="K247" s="38">
        <f t="shared" si="30"/>
        <v>1162</v>
      </c>
      <c r="L247" s="38">
        <v>450</v>
      </c>
      <c r="M247" s="78">
        <f t="shared" si="37"/>
        <v>1548048</v>
      </c>
      <c r="N247" s="79">
        <f t="shared" si="37"/>
        <v>1213889</v>
      </c>
      <c r="O247" s="79">
        <f t="shared" si="37"/>
        <v>2860871</v>
      </c>
      <c r="P247" s="80">
        <f t="shared" si="35"/>
        <v>12924632</v>
      </c>
      <c r="Q247" s="80">
        <f t="shared" si="35"/>
        <v>6718959</v>
      </c>
      <c r="R247" s="80">
        <f t="shared" si="35"/>
        <v>20107676</v>
      </c>
      <c r="S247" s="84">
        <f>M247/'[21]2014'!M247-1</f>
        <v>-0.00524031890441023</v>
      </c>
      <c r="T247" s="84">
        <f>N247/'[21]2014'!N247-1</f>
        <v>0.102739477141045</v>
      </c>
      <c r="U247" s="84">
        <f>O247/'[21]2014'!O247-1</f>
        <v>0.0405982564010046</v>
      </c>
      <c r="V247" s="85">
        <f>P247/'[21]2014'!P247-1</f>
        <v>-0.0295268404597285</v>
      </c>
      <c r="W247" s="85">
        <f>Q247/'[21]2014'!Q247-1</f>
        <v>0.137001264145315</v>
      </c>
      <c r="X247" s="85">
        <f>R247/'[21]2014'!R247-1</f>
        <v>0.0203144614780777</v>
      </c>
      <c r="Y247" s="97"/>
      <c r="Z247" s="54"/>
      <c r="AA247" s="38"/>
      <c r="AB247" s="38"/>
    </row>
    <row r="248" s="1" customFormat="1" ht="15" customHeight="1" spans="1:32">
      <c r="A248" s="26">
        <v>42247</v>
      </c>
      <c r="B248" s="21" t="s">
        <v>39</v>
      </c>
      <c r="C248" s="22">
        <v>46788</v>
      </c>
      <c r="D248" s="8">
        <f>30780+11230</f>
        <v>42010</v>
      </c>
      <c r="E248" s="8">
        <v>90030</v>
      </c>
      <c r="F248" s="23">
        <v>4643.3</v>
      </c>
      <c r="G248" s="24">
        <v>2896.7</v>
      </c>
      <c r="H248" s="25"/>
      <c r="I248" s="37"/>
      <c r="J248" s="9">
        <f t="shared" si="29"/>
        <v>48020</v>
      </c>
      <c r="K248" s="38">
        <f t="shared" si="30"/>
        <v>1232</v>
      </c>
      <c r="L248" s="38">
        <v>0</v>
      </c>
      <c r="M248" s="78">
        <f t="shared" si="37"/>
        <v>1594836</v>
      </c>
      <c r="N248" s="79">
        <f t="shared" si="37"/>
        <v>1255899</v>
      </c>
      <c r="O248" s="79">
        <f t="shared" si="37"/>
        <v>2950901</v>
      </c>
      <c r="P248" s="80">
        <f t="shared" si="35"/>
        <v>12971420</v>
      </c>
      <c r="Q248" s="80">
        <f t="shared" si="35"/>
        <v>6760969</v>
      </c>
      <c r="R248" s="80">
        <f t="shared" si="35"/>
        <v>20197706</v>
      </c>
      <c r="S248" s="84">
        <f>M248/'[21]2014'!M248-1</f>
        <v>-0.00342121000230577</v>
      </c>
      <c r="T248" s="84">
        <f>N248/'[21]2014'!N248-1</f>
        <v>0.104443367662358</v>
      </c>
      <c r="U248" s="84">
        <f>O248/'[21]2014'!O248-1</f>
        <v>0.0412968691941165</v>
      </c>
      <c r="V248" s="85">
        <f>P248/'[21]2014'!P248-1</f>
        <v>-0.029228802929943</v>
      </c>
      <c r="W248" s="85">
        <f>Q248/'[21]2014'!Q248-1</f>
        <v>0.137117736593516</v>
      </c>
      <c r="X248" s="85">
        <f>R248/'[21]2014'!R248-1</f>
        <v>0.0205012087350378</v>
      </c>
      <c r="Y248" s="97">
        <v>80.9688</v>
      </c>
      <c r="Z248" s="54">
        <f>P248/10000-Y248</f>
        <v>1216.1732</v>
      </c>
      <c r="AA248" s="38">
        <f>3890.092+12*62/(181+62)</f>
        <v>3893.15372839506</v>
      </c>
      <c r="AB248" s="38">
        <f>(Z248-1.0947)*10000/AA248</f>
        <v>3121.06478389928</v>
      </c>
      <c r="AC248" s="90">
        <v>28.0109</v>
      </c>
      <c r="AD248" s="1">
        <v>18.5204</v>
      </c>
      <c r="AF248" s="1">
        <v>1343.6737</v>
      </c>
    </row>
    <row r="249" ht="15" customHeight="1" spans="1:32">
      <c r="A249" s="21">
        <v>42248</v>
      </c>
      <c r="B249" s="15" t="s">
        <v>34</v>
      </c>
      <c r="C249" s="16">
        <v>47992</v>
      </c>
      <c r="D249" s="17">
        <v>42311</v>
      </c>
      <c r="E249" s="17">
        <v>91503</v>
      </c>
      <c r="F249" s="18">
        <v>4591.7</v>
      </c>
      <c r="G249" s="19">
        <v>3030.7</v>
      </c>
      <c r="H249" s="20">
        <v>2025.3</v>
      </c>
      <c r="I249" s="20">
        <v>1527.7</v>
      </c>
      <c r="J249" s="33">
        <f t="shared" si="29"/>
        <v>49192</v>
      </c>
      <c r="K249" s="34">
        <f t="shared" si="30"/>
        <v>1200</v>
      </c>
      <c r="L249" s="34">
        <v>0</v>
      </c>
      <c r="M249" s="81">
        <f>C249</f>
        <v>47992</v>
      </c>
      <c r="N249" s="82">
        <f>D249</f>
        <v>42311</v>
      </c>
      <c r="O249" s="82">
        <f>E249</f>
        <v>91503</v>
      </c>
      <c r="P249" s="81">
        <f t="shared" ref="P249:R264" si="44">P$248+M249</f>
        <v>13019412</v>
      </c>
      <c r="Q249" s="81">
        <f t="shared" si="44"/>
        <v>6803280</v>
      </c>
      <c r="R249" s="81">
        <f t="shared" si="44"/>
        <v>20289209</v>
      </c>
      <c r="S249" s="86">
        <f>M249/'[21]2014'!M249-1</f>
        <v>0.0423299958734227</v>
      </c>
      <c r="T249" s="86">
        <f>N249/'[21]2014'!N249-1</f>
        <v>0.0915305832881872</v>
      </c>
      <c r="U249" s="86">
        <f>O249/'[21]2014'!O249-1</f>
        <v>0.0400431916344623</v>
      </c>
      <c r="V249" s="86">
        <f>P249/'[21]2014'!P249-1</f>
        <v>-0.0289830707202119</v>
      </c>
      <c r="W249" s="86">
        <f>Q249/'[21]2014'!Q249-1</f>
        <v>0.136822456511229</v>
      </c>
      <c r="X249" s="86">
        <f>R249/'[21]2014'!R249-1</f>
        <v>0.0205876931392137</v>
      </c>
      <c r="Y249" s="100">
        <f>Y248+0.2</f>
        <v>81.1688</v>
      </c>
      <c r="Z249" s="53">
        <f>P249/10000-Y249</f>
        <v>1220.7724</v>
      </c>
      <c r="AA249" s="34"/>
      <c r="AB249" s="34"/>
      <c r="AC249" s="67">
        <f>AC248+SUM(K249:K249)/10000</f>
        <v>28.1309</v>
      </c>
      <c r="AD249" s="2">
        <f>AD248+SUM(L249:L249)/10000</f>
        <v>18.5204</v>
      </c>
      <c r="AF249" s="2">
        <f>AF248+SUM(J249:J249)/10000</f>
        <v>1348.5929</v>
      </c>
    </row>
    <row r="250" ht="15" customHeight="1" spans="1:28">
      <c r="A250" s="21">
        <v>42249</v>
      </c>
      <c r="B250" s="21" t="s">
        <v>35</v>
      </c>
      <c r="C250" s="70">
        <v>49490</v>
      </c>
      <c r="D250" s="71">
        <v>42653</v>
      </c>
      <c r="E250" s="71">
        <v>92735</v>
      </c>
      <c r="F250" s="72">
        <v>4740.5</v>
      </c>
      <c r="G250" s="73">
        <v>3095.8</v>
      </c>
      <c r="H250" s="25"/>
      <c r="I250" s="25"/>
      <c r="J250" s="74">
        <f t="shared" si="29"/>
        <v>50082</v>
      </c>
      <c r="K250" s="75">
        <f t="shared" si="30"/>
        <v>592</v>
      </c>
      <c r="L250" s="75">
        <v>0</v>
      </c>
      <c r="M250" s="76">
        <f t="shared" ref="M250:O265" si="45">C250+M249</f>
        <v>97482</v>
      </c>
      <c r="N250" s="77">
        <f t="shared" si="45"/>
        <v>84964</v>
      </c>
      <c r="O250" s="77">
        <f t="shared" si="45"/>
        <v>184238</v>
      </c>
      <c r="P250" s="76">
        <f t="shared" si="44"/>
        <v>13068902</v>
      </c>
      <c r="Q250" s="76">
        <f t="shared" si="44"/>
        <v>6845933</v>
      </c>
      <c r="R250" s="76">
        <f t="shared" si="44"/>
        <v>20381944</v>
      </c>
      <c r="S250" s="83">
        <f>M250/'[21]2014'!M250-1</f>
        <v>0.00173666416614426</v>
      </c>
      <c r="T250" s="83">
        <f>N250/'[21]2014'!N250-1</f>
        <v>0.0916613131183348</v>
      </c>
      <c r="U250" s="83">
        <f>O250/'[21]2014'!O250-1</f>
        <v>0.0156897768369058</v>
      </c>
      <c r="V250" s="83">
        <f>P250/'[21]2014'!P250-1</f>
        <v>-0.0290049171934177</v>
      </c>
      <c r="W250" s="83">
        <f>Q250/'[21]2014'!Q250-1</f>
        <v>0.136530395073021</v>
      </c>
      <c r="X250" s="83">
        <f>R250/'[21]2014'!R250-1</f>
        <v>0.0204575127236761</v>
      </c>
      <c r="Y250" s="89"/>
      <c r="Z250" s="101"/>
      <c r="AA250" s="89"/>
      <c r="AB250" s="75"/>
    </row>
    <row r="251" ht="15" customHeight="1" spans="1:28">
      <c r="A251" s="21">
        <v>42250</v>
      </c>
      <c r="B251" s="21" t="s">
        <v>36</v>
      </c>
      <c r="C251" s="22">
        <v>40927</v>
      </c>
      <c r="D251" s="8">
        <v>33881</v>
      </c>
      <c r="E251" s="8">
        <v>75147</v>
      </c>
      <c r="F251" s="23">
        <v>3383.7</v>
      </c>
      <c r="G251" s="24">
        <v>2900.3</v>
      </c>
      <c r="H251" s="25"/>
      <c r="I251" s="37"/>
      <c r="J251" s="9">
        <f t="shared" si="29"/>
        <v>41266</v>
      </c>
      <c r="K251" s="38">
        <f t="shared" si="30"/>
        <v>339</v>
      </c>
      <c r="L251" s="38">
        <v>0</v>
      </c>
      <c r="M251" s="78">
        <f t="shared" si="45"/>
        <v>138409</v>
      </c>
      <c r="N251" s="79">
        <f t="shared" si="45"/>
        <v>118845</v>
      </c>
      <c r="O251" s="79">
        <f t="shared" si="45"/>
        <v>259385</v>
      </c>
      <c r="P251" s="80">
        <f t="shared" si="44"/>
        <v>13109829</v>
      </c>
      <c r="Q251" s="80">
        <f t="shared" si="44"/>
        <v>6879814</v>
      </c>
      <c r="R251" s="80">
        <f t="shared" si="44"/>
        <v>20457091</v>
      </c>
      <c r="S251" s="84">
        <f>M251/'[21]2014'!M251-1</f>
        <v>-0.0350940791812776</v>
      </c>
      <c r="T251" s="84">
        <f>N251/'[21]2014'!N251-1</f>
        <v>0.0160992459089278</v>
      </c>
      <c r="U251" s="84">
        <f>O251/'[21]2014'!O251-1</f>
        <v>-0.0371394632317458</v>
      </c>
      <c r="V251" s="85">
        <f>P251/'[21]2014'!P251-1</f>
        <v>-0.0292910988804439</v>
      </c>
      <c r="W251" s="85">
        <f>Q251/'[21]2014'!Q251-1</f>
        <v>0.134783028155042</v>
      </c>
      <c r="X251" s="85">
        <f>R251/'[21]2014'!R251-1</f>
        <v>0.0197271915049155</v>
      </c>
      <c r="Y251" s="97">
        <f>Y248+0.21*3</f>
        <v>81.5988</v>
      </c>
      <c r="Z251" s="54">
        <f>P251/10000-Y251</f>
        <v>1229.3841</v>
      </c>
      <c r="AA251" s="38">
        <f>3890.092+12*(A251-"2015年6月30日")/(A251-"2015年1月1日"+1)</f>
        <v>3893.26273170732</v>
      </c>
      <c r="AB251" s="38">
        <f>(Z251-1.0947)*10000/AA251</f>
        <v>3154.9101220337</v>
      </c>
    </row>
    <row r="252" ht="15" customHeight="1" spans="1:28">
      <c r="A252" s="21">
        <v>42251</v>
      </c>
      <c r="B252" s="21" t="s">
        <v>37</v>
      </c>
      <c r="C252" s="22">
        <v>48736</v>
      </c>
      <c r="D252" s="8">
        <v>35247</v>
      </c>
      <c r="E252" s="8">
        <v>84958</v>
      </c>
      <c r="F252" s="23">
        <v>4268.9</v>
      </c>
      <c r="G252" s="24">
        <v>2610.2</v>
      </c>
      <c r="H252" s="25"/>
      <c r="I252" s="37"/>
      <c r="J252" s="9">
        <f t="shared" si="29"/>
        <v>49711</v>
      </c>
      <c r="K252" s="38">
        <f t="shared" si="30"/>
        <v>975</v>
      </c>
      <c r="L252" s="38">
        <v>0</v>
      </c>
      <c r="M252" s="78">
        <f t="shared" si="45"/>
        <v>187145</v>
      </c>
      <c r="N252" s="79">
        <f t="shared" si="45"/>
        <v>154092</v>
      </c>
      <c r="O252" s="79">
        <f t="shared" si="45"/>
        <v>344343</v>
      </c>
      <c r="P252" s="80">
        <f t="shared" si="44"/>
        <v>13158565</v>
      </c>
      <c r="Q252" s="80">
        <f t="shared" si="44"/>
        <v>6915061</v>
      </c>
      <c r="R252" s="80">
        <f t="shared" si="44"/>
        <v>20542049</v>
      </c>
      <c r="S252" s="84">
        <f>M252/'[21]2014'!M252-1</f>
        <v>-0.0154874821794002</v>
      </c>
      <c r="T252" s="84">
        <f>N252/'[21]2014'!N252-1</f>
        <v>-0.0149081982304505</v>
      </c>
      <c r="U252" s="84">
        <f>O252/'[21]2014'!O252-1</f>
        <v>-0.0372686783738219</v>
      </c>
      <c r="V252" s="85">
        <f>P252/'[21]2014'!P252-1</f>
        <v>-0.0290360592996984</v>
      </c>
      <c r="W252" s="85">
        <f>Q252/'[21]2014'!Q252-1</f>
        <v>0.13322065466604</v>
      </c>
      <c r="X252" s="85">
        <f>R252/'[21]2014'!R252-1</f>
        <v>0.0194757438047903</v>
      </c>
      <c r="Y252" s="97"/>
      <c r="Z252" s="54"/>
      <c r="AA252" s="38"/>
      <c r="AB252" s="38"/>
    </row>
    <row r="253" ht="15" customHeight="1" spans="1:28">
      <c r="A253" s="21">
        <v>42252</v>
      </c>
      <c r="B253" s="21" t="s">
        <v>38</v>
      </c>
      <c r="C253" s="22">
        <v>52279</v>
      </c>
      <c r="D253" s="8">
        <v>36459</v>
      </c>
      <c r="E253" s="8">
        <v>90443</v>
      </c>
      <c r="F253" s="23">
        <v>4591.7</v>
      </c>
      <c r="G253" s="24">
        <v>3014.5</v>
      </c>
      <c r="H253" s="25"/>
      <c r="I253" s="37"/>
      <c r="J253" s="9">
        <f t="shared" si="29"/>
        <v>53984</v>
      </c>
      <c r="K253" s="38">
        <f t="shared" si="30"/>
        <v>1705</v>
      </c>
      <c r="L253" s="38">
        <v>0</v>
      </c>
      <c r="M253" s="78">
        <f t="shared" si="45"/>
        <v>239424</v>
      </c>
      <c r="N253" s="79">
        <f t="shared" si="45"/>
        <v>190551</v>
      </c>
      <c r="O253" s="79">
        <f t="shared" si="45"/>
        <v>434786</v>
      </c>
      <c r="P253" s="80">
        <f t="shared" si="44"/>
        <v>13210844</v>
      </c>
      <c r="Q253" s="80">
        <f t="shared" si="44"/>
        <v>6951520</v>
      </c>
      <c r="R253" s="80">
        <f t="shared" si="44"/>
        <v>20632492</v>
      </c>
      <c r="S253" s="84">
        <f>M253/'[21]2014'!M253-1</f>
        <v>-0.00189678963143913</v>
      </c>
      <c r="T253" s="84">
        <f>N253/'[21]2014'!N253-1</f>
        <v>-0.0264748407269086</v>
      </c>
      <c r="U253" s="84">
        <f>O253/'[21]2014'!O253-1</f>
        <v>-0.0294890367569426</v>
      </c>
      <c r="V253" s="85">
        <f>P253/'[21]2014'!P253-1</f>
        <v>-0.0287467821517902</v>
      </c>
      <c r="W253" s="85">
        <f>Q253/'[21]2014'!Q253-1</f>
        <v>0.131903899868697</v>
      </c>
      <c r="X253" s="85">
        <f>R253/'[21]2014'!R253-1</f>
        <v>0.0193947096344163</v>
      </c>
      <c r="Y253" s="97"/>
      <c r="Z253" s="54"/>
      <c r="AA253" s="38"/>
      <c r="AB253" s="38"/>
    </row>
    <row r="254" ht="15" customHeight="1" spans="1:28">
      <c r="A254" s="21">
        <v>42253</v>
      </c>
      <c r="B254" s="21" t="s">
        <v>1</v>
      </c>
      <c r="C254" s="22">
        <v>49015</v>
      </c>
      <c r="D254" s="8">
        <f>28549+10637</f>
        <v>39186</v>
      </c>
      <c r="E254" s="8">
        <v>88788</v>
      </c>
      <c r="F254" s="23">
        <v>4473.5</v>
      </c>
      <c r="G254" s="24">
        <v>3033.3</v>
      </c>
      <c r="H254" s="25"/>
      <c r="I254" s="37"/>
      <c r="J254" s="9">
        <f t="shared" si="29"/>
        <v>49602</v>
      </c>
      <c r="K254" s="38">
        <f t="shared" si="30"/>
        <v>587</v>
      </c>
      <c r="L254" s="38">
        <v>0</v>
      </c>
      <c r="M254" s="78">
        <f t="shared" si="45"/>
        <v>288439</v>
      </c>
      <c r="N254" s="79">
        <f t="shared" si="45"/>
        <v>229737</v>
      </c>
      <c r="O254" s="79">
        <f t="shared" si="45"/>
        <v>523574</v>
      </c>
      <c r="P254" s="80">
        <f t="shared" si="44"/>
        <v>13259859</v>
      </c>
      <c r="Q254" s="80">
        <f t="shared" si="44"/>
        <v>6990706</v>
      </c>
      <c r="R254" s="80">
        <f t="shared" si="44"/>
        <v>20721280</v>
      </c>
      <c r="S254" s="84">
        <f>M254/'[21]2014'!M254-1</f>
        <v>-0.00793817305079669</v>
      </c>
      <c r="T254" s="84">
        <f>N254/'[21]2014'!N254-1</f>
        <v>-0.0187588893302411</v>
      </c>
      <c r="U254" s="84">
        <f>O254/'[21]2014'!O254-1</f>
        <v>-0.0283889309520629</v>
      </c>
      <c r="V254" s="85">
        <f>P254/'[21]2014'!P254-1</f>
        <v>-0.0287753997929637</v>
      </c>
      <c r="W254" s="85">
        <f>Q254/'[21]2014'!Q254-1</f>
        <v>0.131212201566317</v>
      </c>
      <c r="X254" s="85">
        <f>R254/'[21]2014'!R254-1</f>
        <v>0.019205366833827</v>
      </c>
      <c r="Y254" s="97"/>
      <c r="Z254" s="54"/>
      <c r="AA254" s="38"/>
      <c r="AB254" s="38"/>
    </row>
    <row r="255" ht="15" customHeight="1" spans="1:28">
      <c r="A255" s="21">
        <v>42254</v>
      </c>
      <c r="B255" s="21" t="s">
        <v>39</v>
      </c>
      <c r="C255" s="22">
        <v>46535</v>
      </c>
      <c r="D255" s="8">
        <f>31504+10967</f>
        <v>42471</v>
      </c>
      <c r="E255" s="8">
        <v>89755</v>
      </c>
      <c r="F255" s="23">
        <v>4589.7</v>
      </c>
      <c r="G255" s="24">
        <v>2944.8</v>
      </c>
      <c r="H255" s="25"/>
      <c r="I255" s="37"/>
      <c r="J255" s="9">
        <f t="shared" si="29"/>
        <v>47284</v>
      </c>
      <c r="K255" s="38">
        <f t="shared" si="30"/>
        <v>749</v>
      </c>
      <c r="L255" s="38">
        <v>0</v>
      </c>
      <c r="M255" s="78">
        <f t="shared" si="45"/>
        <v>334974</v>
      </c>
      <c r="N255" s="79">
        <f t="shared" si="45"/>
        <v>272208</v>
      </c>
      <c r="O255" s="79">
        <f t="shared" si="45"/>
        <v>613329</v>
      </c>
      <c r="P255" s="80">
        <f t="shared" si="44"/>
        <v>13306394</v>
      </c>
      <c r="Q255" s="80">
        <f t="shared" si="44"/>
        <v>7033177</v>
      </c>
      <c r="R255" s="80">
        <f t="shared" si="44"/>
        <v>20811035</v>
      </c>
      <c r="S255" s="84">
        <f>M255/'[21]2014'!M255-1</f>
        <v>-0.00160649512835565</v>
      </c>
      <c r="T255" s="84">
        <f>N255/'[21]2014'!N255-1</f>
        <v>0.00247850185059018</v>
      </c>
      <c r="U255" s="84">
        <f>O255/'[21]2014'!O255-1</f>
        <v>-0.0153810341782922</v>
      </c>
      <c r="V255" s="85">
        <f>P255/'[21]2014'!P255-1</f>
        <v>-0.0285522085294077</v>
      </c>
      <c r="W255" s="85">
        <f>Q255/'[21]2014'!Q255-1</f>
        <v>0.131237434038478</v>
      </c>
      <c r="X255" s="85">
        <f>R255/'[21]2014'!R255-1</f>
        <v>0.0194063488612721</v>
      </c>
      <c r="Y255" s="97"/>
      <c r="Z255" s="54"/>
      <c r="AA255" s="38"/>
      <c r="AB255" s="38"/>
    </row>
    <row r="256" ht="15" customHeight="1" spans="1:32">
      <c r="A256" s="21">
        <v>42255</v>
      </c>
      <c r="B256" s="15" t="s">
        <v>34</v>
      </c>
      <c r="C256" s="16">
        <v>46320</v>
      </c>
      <c r="D256" s="17">
        <f>33029+10954</f>
        <v>43983</v>
      </c>
      <c r="E256" s="17">
        <v>91085</v>
      </c>
      <c r="F256" s="18">
        <v>4615.4</v>
      </c>
      <c r="G256" s="19">
        <v>3043.2</v>
      </c>
      <c r="H256" s="20">
        <v>2113.5</v>
      </c>
      <c r="I256" s="20">
        <v>1555.5</v>
      </c>
      <c r="J256" s="33">
        <f t="shared" si="29"/>
        <v>47102</v>
      </c>
      <c r="K256" s="34">
        <f t="shared" si="30"/>
        <v>782</v>
      </c>
      <c r="L256" s="34">
        <v>0</v>
      </c>
      <c r="M256" s="81">
        <f t="shared" si="45"/>
        <v>381294</v>
      </c>
      <c r="N256" s="82">
        <f t="shared" si="45"/>
        <v>316191</v>
      </c>
      <c r="O256" s="82">
        <f t="shared" si="45"/>
        <v>704414</v>
      </c>
      <c r="P256" s="81">
        <f t="shared" si="44"/>
        <v>13352714</v>
      </c>
      <c r="Q256" s="81">
        <f t="shared" si="44"/>
        <v>7077160</v>
      </c>
      <c r="R256" s="81">
        <f t="shared" si="44"/>
        <v>20902120</v>
      </c>
      <c r="S256" s="86">
        <f>M256/'[21]2014'!M256-1</f>
        <v>0.0416588124410933</v>
      </c>
      <c r="T256" s="86">
        <f>N256/'[21]2014'!N256-1</f>
        <v>0.0296530276633504</v>
      </c>
      <c r="U256" s="86">
        <f>O256/'[21]2014'!O256-1</f>
        <v>0.02091648767649</v>
      </c>
      <c r="V256" s="86">
        <f>P256/'[21]2014'!P256-1</f>
        <v>-0.0273386499380501</v>
      </c>
      <c r="W256" s="86">
        <f>Q256/'[21]2014'!Q256-1</f>
        <v>0.131839966340797</v>
      </c>
      <c r="X256" s="86">
        <f>R256/'[21]2014'!R256-1</f>
        <v>0.0205151983837835</v>
      </c>
      <c r="Y256" s="100">
        <v>82.65</v>
      </c>
      <c r="Z256" s="100">
        <f>P256/10000-Y256</f>
        <v>1252.6214</v>
      </c>
      <c r="AA256" s="34">
        <f>3890.092+12*(A256-"2015年6月30日")/(A256-"2015年1月1日"+1)</f>
        <v>3893.43861354582</v>
      </c>
      <c r="AB256" s="34">
        <f>(Z256-1.0947)*10000/AA256</f>
        <v>3214.45083440063</v>
      </c>
      <c r="AC256" s="67">
        <f>AC249+SUM(K250:K256)/10000</f>
        <v>28.7038</v>
      </c>
      <c r="AD256" s="2">
        <f>AD249+SUM(L250:L256)/10000</f>
        <v>18.5204</v>
      </c>
      <c r="AF256" s="2">
        <f>AF249+SUM(J250:J256)/10000</f>
        <v>1382.496</v>
      </c>
    </row>
    <row r="257" ht="15" customHeight="1" spans="1:28">
      <c r="A257" s="21">
        <v>42256</v>
      </c>
      <c r="B257" s="21" t="s">
        <v>35</v>
      </c>
      <c r="C257" s="70">
        <v>43922</v>
      </c>
      <c r="D257" s="71">
        <f>34639+10974</f>
        <v>45613</v>
      </c>
      <c r="E257" s="71">
        <v>90328</v>
      </c>
      <c r="F257" s="72">
        <v>4560.4</v>
      </c>
      <c r="G257" s="73">
        <v>3503.7</v>
      </c>
      <c r="H257" s="25">
        <v>2116.1</v>
      </c>
      <c r="I257" s="25">
        <v>1557.1</v>
      </c>
      <c r="J257" s="74">
        <f t="shared" ref="J257:J320" si="46">E257-D257</f>
        <v>44715</v>
      </c>
      <c r="K257" s="75">
        <f t="shared" si="30"/>
        <v>793</v>
      </c>
      <c r="L257" s="75">
        <v>0</v>
      </c>
      <c r="M257" s="76">
        <f t="shared" si="45"/>
        <v>425216</v>
      </c>
      <c r="N257" s="77">
        <f t="shared" si="45"/>
        <v>361804</v>
      </c>
      <c r="O257" s="77">
        <f t="shared" si="45"/>
        <v>794742</v>
      </c>
      <c r="P257" s="76">
        <f t="shared" si="44"/>
        <v>13396636</v>
      </c>
      <c r="Q257" s="76">
        <f t="shared" si="44"/>
        <v>7122773</v>
      </c>
      <c r="R257" s="76">
        <f t="shared" si="44"/>
        <v>20992448</v>
      </c>
      <c r="S257" s="83">
        <f>M257/'[21]2014'!M257-1</f>
        <v>0.0274094405999923</v>
      </c>
      <c r="T257" s="83">
        <f>N257/'[21]2014'!N257-1</f>
        <v>0.0568526702907335</v>
      </c>
      <c r="U257" s="83">
        <f>O257/'[21]2014'!O257-1</f>
        <v>0.0248084146676415</v>
      </c>
      <c r="V257" s="83">
        <f>P257/'[21]2014'!P257-1</f>
        <v>-0.0275272027348341</v>
      </c>
      <c r="W257" s="83">
        <f>Q257/'[21]2014'!Q257-1</f>
        <v>0.132747855411602</v>
      </c>
      <c r="X257" s="83">
        <f>R257/'[21]2014'!R257-1</f>
        <v>0.0206636134617477</v>
      </c>
      <c r="Y257" s="89"/>
      <c r="Z257" s="101"/>
      <c r="AA257" s="89"/>
      <c r="AB257" s="75"/>
    </row>
    <row r="258" ht="15" customHeight="1" spans="1:28">
      <c r="A258" s="21">
        <v>42257</v>
      </c>
      <c r="B258" s="21" t="s">
        <v>36</v>
      </c>
      <c r="C258" s="22">
        <v>45271</v>
      </c>
      <c r="D258" s="8">
        <f>32760+10950</f>
        <v>43710</v>
      </c>
      <c r="E258" s="8">
        <v>89485</v>
      </c>
      <c r="F258" s="23">
        <v>4612.3</v>
      </c>
      <c r="G258" s="24">
        <v>3052.8</v>
      </c>
      <c r="H258" s="25">
        <v>2115.3</v>
      </c>
      <c r="I258" s="37">
        <v>1527.7</v>
      </c>
      <c r="J258" s="9">
        <f t="shared" si="46"/>
        <v>45775</v>
      </c>
      <c r="K258" s="38">
        <f t="shared" si="30"/>
        <v>504</v>
      </c>
      <c r="L258" s="38">
        <v>0</v>
      </c>
      <c r="M258" s="78">
        <f t="shared" si="45"/>
        <v>470487</v>
      </c>
      <c r="N258" s="79">
        <f t="shared" si="45"/>
        <v>405514</v>
      </c>
      <c r="O258" s="79">
        <f t="shared" si="45"/>
        <v>884227</v>
      </c>
      <c r="P258" s="80">
        <f t="shared" si="44"/>
        <v>13441907</v>
      </c>
      <c r="Q258" s="80">
        <f t="shared" si="44"/>
        <v>7166483</v>
      </c>
      <c r="R258" s="80">
        <f t="shared" si="44"/>
        <v>21081933</v>
      </c>
      <c r="S258" s="84">
        <f>M258/'[21]2014'!M258-1</f>
        <v>0.0122440812743656</v>
      </c>
      <c r="T258" s="84">
        <f>N258/'[21]2014'!N258-1</f>
        <v>0.0633225387751892</v>
      </c>
      <c r="U258" s="84">
        <f>O258/'[21]2014'!O258-1</f>
        <v>0.0197449908085054</v>
      </c>
      <c r="V258" s="85">
        <f>P258/'[21]2014'!P258-1</f>
        <v>-0.0278346646053976</v>
      </c>
      <c r="W258" s="85">
        <f>Q258/'[21]2014'!Q258-1</f>
        <v>0.132669722540383</v>
      </c>
      <c r="X258" s="85">
        <f>R258/'[21]2014'!R258-1</f>
        <v>0.0204694686017255</v>
      </c>
      <c r="Y258" s="97">
        <v>83.1</v>
      </c>
      <c r="Z258" s="54">
        <f>P258/10000-Y258</f>
        <v>1261.0907</v>
      </c>
      <c r="AA258" s="38">
        <f>3890.092+12*(A258-"2015年6月30日")/(A258-"2015年1月1日"+1)</f>
        <v>3893.50701976285</v>
      </c>
      <c r="AB258" s="38">
        <f>(Z258-2.5818)*10000/AA258</f>
        <v>3232.32729159599</v>
      </c>
    </row>
    <row r="259" ht="15" customHeight="1" spans="1:28">
      <c r="A259" s="21">
        <v>42258</v>
      </c>
      <c r="B259" s="21" t="s">
        <v>37</v>
      </c>
      <c r="C259" s="22">
        <v>45780</v>
      </c>
      <c r="D259" s="8">
        <f>33332+10959</f>
        <v>44291</v>
      </c>
      <c r="E259" s="8">
        <v>90971</v>
      </c>
      <c r="F259" s="23">
        <v>4612</v>
      </c>
      <c r="G259" s="24">
        <v>3053</v>
      </c>
      <c r="H259" s="25"/>
      <c r="I259" s="37"/>
      <c r="J259" s="9">
        <f t="shared" si="46"/>
        <v>46680</v>
      </c>
      <c r="K259" s="38">
        <f t="shared" si="30"/>
        <v>900</v>
      </c>
      <c r="L259" s="38">
        <v>0</v>
      </c>
      <c r="M259" s="78">
        <f t="shared" si="45"/>
        <v>516267</v>
      </c>
      <c r="N259" s="79">
        <f t="shared" si="45"/>
        <v>449805</v>
      </c>
      <c r="O259" s="79">
        <f t="shared" si="45"/>
        <v>975198</v>
      </c>
      <c r="P259" s="80">
        <f t="shared" si="44"/>
        <v>13487687</v>
      </c>
      <c r="Q259" s="80">
        <f t="shared" si="44"/>
        <v>7210774</v>
      </c>
      <c r="R259" s="80">
        <f t="shared" si="44"/>
        <v>21172904</v>
      </c>
      <c r="S259" s="84">
        <f>M259/'[21]2014'!M259-1</f>
        <v>0.00585470968043622</v>
      </c>
      <c r="T259" s="84">
        <f>N259/'[21]2014'!N259-1</f>
        <v>0.0695890997289199</v>
      </c>
      <c r="U259" s="84">
        <f>O259/'[21]2014'!O259-1</f>
        <v>0.0193746387181275</v>
      </c>
      <c r="V259" s="85">
        <f>P259/'[21]2014'!P259-1</f>
        <v>-0.0279310208111681</v>
      </c>
      <c r="W259" s="85">
        <f>Q259/'[21]2014'!Q259-1</f>
        <v>0.1326569463507</v>
      </c>
      <c r="X259" s="85">
        <f>R259/'[21]2014'!R259-1</f>
        <v>0.0204492656003519</v>
      </c>
      <c r="Y259" s="97"/>
      <c r="Z259" s="54"/>
      <c r="AA259" s="38"/>
      <c r="AB259" s="38"/>
    </row>
    <row r="260" ht="15" customHeight="1" spans="1:28">
      <c r="A260" s="21">
        <v>42259</v>
      </c>
      <c r="B260" s="21" t="s">
        <v>38</v>
      </c>
      <c r="C260" s="22">
        <v>41404</v>
      </c>
      <c r="D260" s="8">
        <f>33798+10934</f>
        <v>44732</v>
      </c>
      <c r="E260" s="8">
        <v>86478</v>
      </c>
      <c r="F260" s="23">
        <v>4448.1</v>
      </c>
      <c r="G260" s="24">
        <v>3066</v>
      </c>
      <c r="H260" s="25"/>
      <c r="I260" s="37"/>
      <c r="J260" s="9">
        <f t="shared" si="46"/>
        <v>41746</v>
      </c>
      <c r="K260" s="38">
        <f t="shared" si="30"/>
        <v>342</v>
      </c>
      <c r="L260" s="38">
        <v>0</v>
      </c>
      <c r="M260" s="78">
        <f t="shared" si="45"/>
        <v>557671</v>
      </c>
      <c r="N260" s="79">
        <f t="shared" si="45"/>
        <v>494537</v>
      </c>
      <c r="O260" s="79">
        <f t="shared" si="45"/>
        <v>1061676</v>
      </c>
      <c r="P260" s="80">
        <f t="shared" si="44"/>
        <v>13529091</v>
      </c>
      <c r="Q260" s="80">
        <f t="shared" si="44"/>
        <v>7255506</v>
      </c>
      <c r="R260" s="80">
        <f t="shared" si="44"/>
        <v>21259382</v>
      </c>
      <c r="S260" s="84">
        <f>M260/'[21]2014'!M260-1</f>
        <v>-0.0151870747398331</v>
      </c>
      <c r="T260" s="84">
        <f>N260/'[21]2014'!N260-1</f>
        <v>0.07693698049028</v>
      </c>
      <c r="U260" s="84">
        <f>O260/'[21]2014'!O260-1</f>
        <v>0.0109149286858952</v>
      </c>
      <c r="V260" s="85">
        <f>P260/'[21]2014'!P260-1</f>
        <v>-0.0286579181438783</v>
      </c>
      <c r="W260" s="85">
        <f>Q260/'[21]2014'!Q260-1</f>
        <v>0.132803014485393</v>
      </c>
      <c r="X260" s="85">
        <f>R260/'[21]2014'!R260-1</f>
        <v>0.0200181668693213</v>
      </c>
      <c r="Y260" s="97"/>
      <c r="Z260" s="54"/>
      <c r="AA260" s="38"/>
      <c r="AB260" s="38"/>
    </row>
    <row r="261" ht="15" customHeight="1" spans="1:28">
      <c r="A261" s="21">
        <v>42260</v>
      </c>
      <c r="B261" s="21" t="s">
        <v>1</v>
      </c>
      <c r="C261" s="22">
        <v>35881</v>
      </c>
      <c r="D261" s="8">
        <f>33124+10905</f>
        <v>44029</v>
      </c>
      <c r="E261" s="8">
        <v>80133</v>
      </c>
      <c r="F261" s="23">
        <v>3936.6</v>
      </c>
      <c r="G261" s="24">
        <v>2870.3</v>
      </c>
      <c r="H261" s="25">
        <v>2117.7</v>
      </c>
      <c r="I261" s="37">
        <v>1576.8</v>
      </c>
      <c r="J261" s="9">
        <f t="shared" si="46"/>
        <v>36104</v>
      </c>
      <c r="K261" s="38">
        <f t="shared" si="30"/>
        <v>223</v>
      </c>
      <c r="L261" s="38">
        <v>0</v>
      </c>
      <c r="M261" s="78">
        <f t="shared" si="45"/>
        <v>593552</v>
      </c>
      <c r="N261" s="79">
        <f t="shared" si="45"/>
        <v>538566</v>
      </c>
      <c r="O261" s="79">
        <f t="shared" si="45"/>
        <v>1141809</v>
      </c>
      <c r="P261" s="80">
        <f t="shared" si="44"/>
        <v>13564972</v>
      </c>
      <c r="Q261" s="80">
        <f t="shared" si="44"/>
        <v>7299535</v>
      </c>
      <c r="R261" s="80">
        <f t="shared" si="44"/>
        <v>21339515</v>
      </c>
      <c r="S261" s="84">
        <f>M261/'[21]2014'!M261-1</f>
        <v>-0.0385501926780714</v>
      </c>
      <c r="T261" s="84">
        <f>N261/'[21]2014'!N261-1</f>
        <v>0.0843821792504686</v>
      </c>
      <c r="U261" s="84">
        <f>O261/'[21]2014'!O261-1</f>
        <v>0.00134089872662857</v>
      </c>
      <c r="V261" s="85">
        <f>P261/'[21]2014'!P261-1</f>
        <v>-0.0296404514944009</v>
      </c>
      <c r="W261" s="85">
        <f>Q261/'[21]2014'!Q261-1</f>
        <v>0.133052228451354</v>
      </c>
      <c r="X261" s="85">
        <f>R261/'[21]2014'!R261-1</f>
        <v>0.0194574536616103</v>
      </c>
      <c r="Y261" s="97"/>
      <c r="Z261" s="54"/>
      <c r="AA261" s="38"/>
      <c r="AB261" s="38"/>
    </row>
    <row r="262" ht="15" customHeight="1" spans="1:28">
      <c r="A262" s="21">
        <v>42261</v>
      </c>
      <c r="B262" s="21" t="s">
        <v>39</v>
      </c>
      <c r="C262" s="22">
        <v>39298</v>
      </c>
      <c r="D262" s="8">
        <f>34058+10968</f>
        <v>45026</v>
      </c>
      <c r="E262" s="8">
        <v>84651</v>
      </c>
      <c r="F262" s="23">
        <v>4367.8</v>
      </c>
      <c r="G262" s="24">
        <v>2812.6</v>
      </c>
      <c r="H262" s="25">
        <v>2215.1</v>
      </c>
      <c r="I262" s="37">
        <v>1596.5</v>
      </c>
      <c r="J262" s="9">
        <f t="shared" si="46"/>
        <v>39625</v>
      </c>
      <c r="K262" s="38">
        <f t="shared" si="30"/>
        <v>327</v>
      </c>
      <c r="L262" s="38">
        <v>0</v>
      </c>
      <c r="M262" s="78">
        <f t="shared" si="45"/>
        <v>632850</v>
      </c>
      <c r="N262" s="79">
        <f t="shared" si="45"/>
        <v>583592</v>
      </c>
      <c r="O262" s="79">
        <f t="shared" si="45"/>
        <v>1226460</v>
      </c>
      <c r="P262" s="80">
        <f t="shared" si="44"/>
        <v>13604270</v>
      </c>
      <c r="Q262" s="80">
        <f t="shared" si="44"/>
        <v>7344561</v>
      </c>
      <c r="R262" s="80">
        <f t="shared" si="44"/>
        <v>21424166</v>
      </c>
      <c r="S262" s="84">
        <f>M262/'[21]2014'!M262-1</f>
        <v>-0.0456449681655452</v>
      </c>
      <c r="T262" s="84">
        <f>N262/'[21]2014'!N262-1</f>
        <v>0.0931821289620434</v>
      </c>
      <c r="U262" s="84">
        <f>O262/'[21]2014'!O262-1</f>
        <v>0.00146652469575326</v>
      </c>
      <c r="V262" s="85">
        <f>P262/'[21]2014'!P262-1</f>
        <v>-0.0300049728299403</v>
      </c>
      <c r="W262" s="85">
        <f>Q262/'[21]2014'!Q262-1</f>
        <v>0.133497905357407</v>
      </c>
      <c r="X262" s="85">
        <f>R262/'[21]2014'!R262-1</f>
        <v>0.019392034086622</v>
      </c>
      <c r="Y262" s="97"/>
      <c r="Z262" s="54"/>
      <c r="AA262" s="38"/>
      <c r="AB262" s="38"/>
    </row>
    <row r="263" ht="15" customHeight="1" spans="1:32">
      <c r="A263" s="21">
        <v>42262</v>
      </c>
      <c r="B263" s="15" t="s">
        <v>34</v>
      </c>
      <c r="C263" s="16">
        <v>39590</v>
      </c>
      <c r="D263" s="17">
        <f>32725+11047</f>
        <v>43772</v>
      </c>
      <c r="E263" s="17">
        <v>83654</v>
      </c>
      <c r="F263" s="18">
        <v>4284.8</v>
      </c>
      <c r="G263" s="19">
        <v>2888.6</v>
      </c>
      <c r="H263" s="20">
        <v>2106.7</v>
      </c>
      <c r="I263" s="20">
        <v>1603.5</v>
      </c>
      <c r="J263" s="33">
        <f t="shared" si="46"/>
        <v>39882</v>
      </c>
      <c r="K263" s="34">
        <f t="shared" si="30"/>
        <v>292</v>
      </c>
      <c r="L263" s="34">
        <v>0</v>
      </c>
      <c r="M263" s="81">
        <f t="shared" si="45"/>
        <v>672440</v>
      </c>
      <c r="N263" s="82">
        <f t="shared" si="45"/>
        <v>627364</v>
      </c>
      <c r="O263" s="82">
        <f t="shared" si="45"/>
        <v>1310114</v>
      </c>
      <c r="P263" s="81">
        <f t="shared" si="44"/>
        <v>13643860</v>
      </c>
      <c r="Q263" s="81">
        <f t="shared" si="44"/>
        <v>7388333</v>
      </c>
      <c r="R263" s="81">
        <f t="shared" si="44"/>
        <v>21507820</v>
      </c>
      <c r="S263" s="86">
        <f>M263/'[21]2014'!M263-1</f>
        <v>-0.0562709200249812</v>
      </c>
      <c r="T263" s="86">
        <f>N263/'[21]2014'!N263-1</f>
        <v>0.0973945441982911</v>
      </c>
      <c r="U263" s="86">
        <f>O263/'[21]2014'!O263-1</f>
        <v>-0.0023537833011601</v>
      </c>
      <c r="V263" s="86">
        <f>P263/'[21]2014'!P263-1</f>
        <v>-0.0305978350000788</v>
      </c>
      <c r="W263" s="86">
        <f>Q263/'[21]2014'!Q263-1</f>
        <v>0.133633343926016</v>
      </c>
      <c r="X263" s="86">
        <f>R263/'[21]2014'!R263-1</f>
        <v>0.0190791251798301</v>
      </c>
      <c r="Y263" s="100">
        <v>84.15</v>
      </c>
      <c r="Z263" s="53">
        <f>P263/10000-Y263</f>
        <v>1280.236</v>
      </c>
      <c r="AA263" s="34">
        <f>3890.092+12*(A263-"2015年6月30日")/(A263-"2015年1月1日"+1)</f>
        <v>3893.67339534884</v>
      </c>
      <c r="AB263" s="34">
        <f>(Z263-2.5818)*10000/AA263</f>
        <v>3281.35945230079</v>
      </c>
      <c r="AC263" s="67">
        <f>AC256+SUM(K257:K263)/10000</f>
        <v>29.0419</v>
      </c>
      <c r="AD263" s="2">
        <f>AD256+SUM(L257:L263)/10000</f>
        <v>18.5204</v>
      </c>
      <c r="AF263" s="2">
        <f>AF256+SUM(J257:J263)/10000</f>
        <v>1411.9487</v>
      </c>
    </row>
    <row r="264" ht="15" customHeight="1" spans="1:28">
      <c r="A264" s="21">
        <v>42263</v>
      </c>
      <c r="B264" s="21" t="s">
        <v>35</v>
      </c>
      <c r="C264" s="70">
        <v>40162</v>
      </c>
      <c r="D264" s="71">
        <f>32415+11065</f>
        <v>43480</v>
      </c>
      <c r="E264" s="71">
        <v>84042</v>
      </c>
      <c r="F264" s="72">
        <v>4246.7</v>
      </c>
      <c r="G264" s="73">
        <v>2840.4</v>
      </c>
      <c r="H264" s="25"/>
      <c r="I264" s="25"/>
      <c r="J264" s="74">
        <f t="shared" si="46"/>
        <v>40562</v>
      </c>
      <c r="K264" s="75">
        <f t="shared" si="30"/>
        <v>400</v>
      </c>
      <c r="L264" s="75">
        <v>0</v>
      </c>
      <c r="M264" s="76">
        <f t="shared" si="45"/>
        <v>712602</v>
      </c>
      <c r="N264" s="77">
        <f t="shared" si="45"/>
        <v>670844</v>
      </c>
      <c r="O264" s="77">
        <f t="shared" si="45"/>
        <v>1394156</v>
      </c>
      <c r="P264" s="76">
        <f t="shared" si="44"/>
        <v>13684022</v>
      </c>
      <c r="Q264" s="76">
        <f t="shared" si="44"/>
        <v>7431813</v>
      </c>
      <c r="R264" s="76">
        <f t="shared" si="44"/>
        <v>21591862</v>
      </c>
      <c r="S264" s="83">
        <f>M264/'[21]2014'!M264-1</f>
        <v>-0.0644903810556552</v>
      </c>
      <c r="T264" s="83">
        <f>N264/'[21]2014'!N264-1</f>
        <v>0.102051343550351</v>
      </c>
      <c r="U264" s="83">
        <f>O264/'[21]2014'!O264-1</f>
        <v>-0.00534158840731913</v>
      </c>
      <c r="V264" s="83">
        <f>P264/'[21]2014'!P264-1</f>
        <v>-0.0311305467980851</v>
      </c>
      <c r="W264" s="83">
        <f>Q264/'[21]2014'!Q264-1</f>
        <v>0.133861050711335</v>
      </c>
      <c r="X264" s="83">
        <f>R264/'[21]2014'!R264-1</f>
        <v>0.0187920893531142</v>
      </c>
      <c r="Y264" s="89"/>
      <c r="Z264" s="101"/>
      <c r="AA264" s="89"/>
      <c r="AB264" s="75"/>
    </row>
    <row r="265" ht="15" customHeight="1" spans="1:28">
      <c r="A265" s="21">
        <v>42264</v>
      </c>
      <c r="B265" s="21" t="s">
        <v>36</v>
      </c>
      <c r="C265" s="22">
        <v>41900</v>
      </c>
      <c r="D265" s="8">
        <v>43300</v>
      </c>
      <c r="E265" s="8">
        <v>85700</v>
      </c>
      <c r="F265" s="23">
        <v>4336.8</v>
      </c>
      <c r="G265" s="24">
        <v>2875.3</v>
      </c>
      <c r="H265" s="25">
        <v>2088.2</v>
      </c>
      <c r="I265" s="37">
        <v>1574.2</v>
      </c>
      <c r="J265" s="9">
        <f t="shared" si="46"/>
        <v>42400</v>
      </c>
      <c r="K265" s="38">
        <f t="shared" si="30"/>
        <v>500</v>
      </c>
      <c r="L265" s="38">
        <v>0</v>
      </c>
      <c r="M265" s="78">
        <f t="shared" si="45"/>
        <v>754502</v>
      </c>
      <c r="N265" s="79">
        <f t="shared" si="45"/>
        <v>714144</v>
      </c>
      <c r="O265" s="79">
        <f t="shared" si="45"/>
        <v>1479856</v>
      </c>
      <c r="P265" s="80">
        <f t="shared" ref="P265:R278" si="47">P$248+M265</f>
        <v>13725922</v>
      </c>
      <c r="Q265" s="80">
        <f t="shared" si="47"/>
        <v>7475113</v>
      </c>
      <c r="R265" s="80">
        <f t="shared" si="47"/>
        <v>21677562</v>
      </c>
      <c r="S265" s="84">
        <f>M265/'[21]2014'!M265-1</f>
        <v>-0.0742568001148434</v>
      </c>
      <c r="T265" s="84">
        <f>N265/'[21]2014'!N265-1</f>
        <v>0.104636216409357</v>
      </c>
      <c r="U265" s="84">
        <f>O265/'[21]2014'!O265-1</f>
        <v>-0.0096402168028209</v>
      </c>
      <c r="V265" s="85">
        <f>P265/'[21]2014'!P265-1</f>
        <v>-0.0318174225087965</v>
      </c>
      <c r="W265" s="85">
        <f>Q265/'[21]2014'!Q265-1</f>
        <v>0.133932276156316</v>
      </c>
      <c r="X265" s="85">
        <f>R265/'[21]2014'!R265-1</f>
        <v>0.0183853242934744</v>
      </c>
      <c r="Y265" s="97">
        <f>Y258+0.21*7</f>
        <v>84.57</v>
      </c>
      <c r="Z265" s="54">
        <f>P265/10000-Y265</f>
        <v>1288.0222</v>
      </c>
      <c r="AA265" s="38">
        <f>3890.092+12*(A265-"2015年6月30日")/(A265-"2015年1月1日"+1)</f>
        <v>3893.73815384615</v>
      </c>
      <c r="AB265" s="38">
        <f>(Z265-4.03)*10000/AA265</f>
        <v>3297.58229564487</v>
      </c>
    </row>
    <row r="266" ht="15" customHeight="1" spans="1:28">
      <c r="A266" s="21">
        <v>42265</v>
      </c>
      <c r="B266" s="21" t="s">
        <v>37</v>
      </c>
      <c r="C266" s="22">
        <v>43300</v>
      </c>
      <c r="D266" s="8">
        <f>31600+11000</f>
        <v>42600</v>
      </c>
      <c r="E266" s="8">
        <v>86700</v>
      </c>
      <c r="F266" s="23">
        <v>4414</v>
      </c>
      <c r="G266" s="24">
        <v>2945</v>
      </c>
      <c r="H266" s="25"/>
      <c r="I266" s="37"/>
      <c r="J266" s="9">
        <f t="shared" si="46"/>
        <v>44100</v>
      </c>
      <c r="K266" s="38">
        <f t="shared" si="30"/>
        <v>800</v>
      </c>
      <c r="L266" s="38">
        <v>0</v>
      </c>
      <c r="M266" s="78">
        <f t="shared" ref="M266:O278" si="48">C266+M265</f>
        <v>797802</v>
      </c>
      <c r="N266" s="79">
        <f t="shared" si="48"/>
        <v>756744</v>
      </c>
      <c r="O266" s="79">
        <f t="shared" si="48"/>
        <v>1566556</v>
      </c>
      <c r="P266" s="80">
        <f t="shared" si="47"/>
        <v>13769222</v>
      </c>
      <c r="Q266" s="80">
        <f t="shared" si="47"/>
        <v>7517713</v>
      </c>
      <c r="R266" s="80">
        <f t="shared" si="47"/>
        <v>21764262</v>
      </c>
      <c r="S266" s="84">
        <f>M266/'[21]2014'!M266-1</f>
        <v>-0.0785356399529682</v>
      </c>
      <c r="T266" s="84">
        <f>N266/'[21]2014'!N266-1</f>
        <v>0.105877160806847</v>
      </c>
      <c r="U266" s="84">
        <f>O266/'[21]2014'!O266-1</f>
        <v>-0.0115642532828901</v>
      </c>
      <c r="V266" s="85">
        <f>P266/'[21]2014'!P266-1</f>
        <v>-0.0322292557992064</v>
      </c>
      <c r="W266" s="85">
        <f>Q266/'[21]2014'!Q266-1</f>
        <v>0.133893346396782</v>
      </c>
      <c r="X266" s="85">
        <f>R266/'[21]2014'!R266-1</f>
        <v>0.0181238667742745</v>
      </c>
      <c r="Y266" s="97"/>
      <c r="Z266" s="54"/>
      <c r="AA266" s="38"/>
      <c r="AB266" s="38"/>
    </row>
    <row r="267" ht="15" customHeight="1" spans="1:28">
      <c r="A267" s="21">
        <v>42266</v>
      </c>
      <c r="B267" s="21" t="s">
        <v>38</v>
      </c>
      <c r="C267" s="22">
        <v>42400</v>
      </c>
      <c r="D267" s="8">
        <f>31000+11000</f>
        <v>42000</v>
      </c>
      <c r="E267" s="8">
        <v>85200</v>
      </c>
      <c r="F267" s="23">
        <v>4320</v>
      </c>
      <c r="G267" s="24">
        <v>2932</v>
      </c>
      <c r="H267" s="25"/>
      <c r="I267" s="37"/>
      <c r="J267" s="9">
        <f t="shared" si="46"/>
        <v>43200</v>
      </c>
      <c r="K267" s="38">
        <f t="shared" ref="K267:K330" si="49">J267-C267-L267</f>
        <v>800</v>
      </c>
      <c r="L267" s="38">
        <v>0</v>
      </c>
      <c r="M267" s="78">
        <f t="shared" si="48"/>
        <v>840202</v>
      </c>
      <c r="N267" s="79">
        <f t="shared" si="48"/>
        <v>798744</v>
      </c>
      <c r="O267" s="79">
        <f t="shared" si="48"/>
        <v>1651756</v>
      </c>
      <c r="P267" s="80">
        <f t="shared" si="47"/>
        <v>13811622</v>
      </c>
      <c r="Q267" s="80">
        <f t="shared" si="47"/>
        <v>7559713</v>
      </c>
      <c r="R267" s="80">
        <f t="shared" si="47"/>
        <v>21849462</v>
      </c>
      <c r="S267" s="84">
        <f>M267/'[21]2014'!M267-1</f>
        <v>-0.0755450222365992</v>
      </c>
      <c r="T267" s="84">
        <f>N267/'[21]2014'!N267-1</f>
        <v>0.104543493412101</v>
      </c>
      <c r="U267" s="84">
        <f>O267/'[21]2014'!O267-1</f>
        <v>-0.0103781848421703</v>
      </c>
      <c r="V267" s="85">
        <f>P267/'[21]2014'!P267-1</f>
        <v>-0.0321785285225873</v>
      </c>
      <c r="W267" s="85">
        <f>Q267/'[21]2014'!Q267-1</f>
        <v>0.133585513702653</v>
      </c>
      <c r="X267" s="85">
        <f>R267/'[21]2014'!R267-1</f>
        <v>0.0180996404926632</v>
      </c>
      <c r="Y267" s="97"/>
      <c r="Z267" s="54"/>
      <c r="AA267" s="38"/>
      <c r="AB267" s="38"/>
    </row>
    <row r="268" ht="15" customHeight="1" spans="1:28">
      <c r="A268" s="21">
        <v>42267</v>
      </c>
      <c r="B268" s="21" t="s">
        <v>1</v>
      </c>
      <c r="C268" s="22">
        <v>36830</v>
      </c>
      <c r="D268" s="8">
        <v>42988</v>
      </c>
      <c r="E268" s="8">
        <v>80527</v>
      </c>
      <c r="F268" s="23">
        <v>3980</v>
      </c>
      <c r="G268" s="24">
        <v>2863</v>
      </c>
      <c r="H268" s="25"/>
      <c r="I268" s="37"/>
      <c r="J268" s="9">
        <f t="shared" si="46"/>
        <v>37539</v>
      </c>
      <c r="K268" s="38">
        <f t="shared" si="49"/>
        <v>709</v>
      </c>
      <c r="L268" s="38">
        <v>0</v>
      </c>
      <c r="M268" s="78">
        <f t="shared" si="48"/>
        <v>877032</v>
      </c>
      <c r="N268" s="79">
        <f t="shared" si="48"/>
        <v>841732</v>
      </c>
      <c r="O268" s="79">
        <f t="shared" si="48"/>
        <v>1732283</v>
      </c>
      <c r="P268" s="80">
        <f t="shared" si="47"/>
        <v>13848452</v>
      </c>
      <c r="Q268" s="80">
        <f t="shared" si="47"/>
        <v>7602701</v>
      </c>
      <c r="R268" s="80">
        <f t="shared" si="47"/>
        <v>21929989</v>
      </c>
      <c r="S268" s="84">
        <f>M268/'[21]2014'!M268-1</f>
        <v>-0.0770610148801381</v>
      </c>
      <c r="T268" s="84">
        <f>N268/'[21]2014'!N268-1</f>
        <v>0.105958837874201</v>
      </c>
      <c r="U268" s="84">
        <f>O268/'[21]2014'!O268-1</f>
        <v>-0.0105135749410661</v>
      </c>
      <c r="V268" s="85">
        <f>P268/'[21]2014'!P268-1</f>
        <v>-0.0324046199321222</v>
      </c>
      <c r="W268" s="85">
        <f>Q268/'[21]2014'!Q268-1</f>
        <v>0.133581820622491</v>
      </c>
      <c r="X268" s="85">
        <f>R268/'[21]2014'!R268-1</f>
        <v>0.0179807539394472</v>
      </c>
      <c r="Y268" s="97">
        <v>85.6414</v>
      </c>
      <c r="Z268" s="54">
        <f>P268/10000-Y268</f>
        <v>1299.2038</v>
      </c>
      <c r="AA268" s="38">
        <f>3890.092+12*(A268-"2015年6月30日")/(A268-"2015年1月1日"+1)+100*(A268-"2015年9月14日")/(A268-"2015年1月1日"+1)</f>
        <v>3896.11481368821</v>
      </c>
      <c r="AB268" s="38">
        <f>(Z268-3.38)*10000/AA268</f>
        <v>3325.93843345526</v>
      </c>
    </row>
    <row r="269" ht="15" customHeight="1" spans="1:28">
      <c r="A269" s="21">
        <v>42268</v>
      </c>
      <c r="B269" s="21" t="s">
        <v>39</v>
      </c>
      <c r="C269" s="22">
        <v>40878</v>
      </c>
      <c r="D269" s="8">
        <v>41801</v>
      </c>
      <c r="E269" s="8">
        <v>84025</v>
      </c>
      <c r="F269" s="23">
        <v>4317</v>
      </c>
      <c r="G269" s="24">
        <v>2718</v>
      </c>
      <c r="H269" s="25"/>
      <c r="I269" s="37"/>
      <c r="J269" s="9">
        <f t="shared" si="46"/>
        <v>42224</v>
      </c>
      <c r="K269" s="38">
        <f t="shared" si="49"/>
        <v>1346</v>
      </c>
      <c r="L269" s="38">
        <v>0</v>
      </c>
      <c r="M269" s="78">
        <f t="shared" si="48"/>
        <v>917910</v>
      </c>
      <c r="N269" s="79">
        <f t="shared" si="48"/>
        <v>883533</v>
      </c>
      <c r="O269" s="79">
        <f t="shared" si="48"/>
        <v>1816308</v>
      </c>
      <c r="P269" s="80">
        <f t="shared" si="47"/>
        <v>13889330</v>
      </c>
      <c r="Q269" s="80">
        <f t="shared" si="47"/>
        <v>7644502</v>
      </c>
      <c r="R269" s="80">
        <f t="shared" si="47"/>
        <v>22014014</v>
      </c>
      <c r="S269" s="84">
        <f>M269/'[21]2014'!M269-1</f>
        <v>-0.0684001400581545</v>
      </c>
      <c r="T269" s="84">
        <f>N269/'[21]2014'!N269-1</f>
        <v>0.106971971539291</v>
      </c>
      <c r="U269" s="84">
        <f>O269/'[21]2014'!O269-1</f>
        <v>-0.00532575260140422</v>
      </c>
      <c r="V269" s="85">
        <f>P269/'[21]2014'!P269-1</f>
        <v>-0.0319189097390639</v>
      </c>
      <c r="W269" s="85">
        <f>Q269/'[21]2014'!Q269-1</f>
        <v>0.133549908605014</v>
      </c>
      <c r="X269" s="85">
        <f>R269/'[21]2014'!R269-1</f>
        <v>0.0183196504515619</v>
      </c>
      <c r="Y269" s="97"/>
      <c r="Z269" s="54"/>
      <c r="AA269" s="38"/>
      <c r="AB269" s="38"/>
    </row>
    <row r="270" ht="15" customHeight="1" spans="1:28">
      <c r="A270" s="21">
        <v>42269</v>
      </c>
      <c r="B270" s="15" t="s">
        <v>34</v>
      </c>
      <c r="C270" s="16">
        <v>43666</v>
      </c>
      <c r="D270" s="17">
        <f>31122+9523</f>
        <v>40645</v>
      </c>
      <c r="E270" s="17">
        <v>84974</v>
      </c>
      <c r="F270" s="18">
        <v>4355</v>
      </c>
      <c r="G270" s="19">
        <v>2899</v>
      </c>
      <c r="H270" s="20"/>
      <c r="I270" s="20"/>
      <c r="J270" s="33">
        <f t="shared" si="46"/>
        <v>44329</v>
      </c>
      <c r="K270" s="34">
        <f t="shared" si="49"/>
        <v>663</v>
      </c>
      <c r="L270" s="34">
        <v>0</v>
      </c>
      <c r="M270" s="81">
        <f t="shared" si="48"/>
        <v>961576</v>
      </c>
      <c r="N270" s="82">
        <f t="shared" si="48"/>
        <v>924178</v>
      </c>
      <c r="O270" s="82">
        <f t="shared" si="48"/>
        <v>1901282</v>
      </c>
      <c r="P270" s="81">
        <f t="shared" si="47"/>
        <v>13932996</v>
      </c>
      <c r="Q270" s="81">
        <f t="shared" si="47"/>
        <v>7685147</v>
      </c>
      <c r="R270" s="81">
        <f t="shared" si="47"/>
        <v>22098988</v>
      </c>
      <c r="S270" s="86">
        <f>M270/'[21]2014'!M270-1</f>
        <v>-0.0612515461522165</v>
      </c>
      <c r="T270" s="86">
        <f>N270/'[21]2014'!N270-1</f>
        <v>0.110353130016051</v>
      </c>
      <c r="U270" s="86">
        <f>O270/'[21]2014'!O270-1</f>
        <v>-0.000840304779962553</v>
      </c>
      <c r="V270" s="86">
        <f>P270/'[21]2014'!P270-1</f>
        <v>-0.031508851281779</v>
      </c>
      <c r="W270" s="86">
        <f>Q270/'[21]2014'!Q270-1</f>
        <v>0.133831100992676</v>
      </c>
      <c r="X270" s="86">
        <f>R270/'[21]2014'!R270-1</f>
        <v>0.0186293174123948</v>
      </c>
      <c r="Y270" s="100">
        <v>86.1</v>
      </c>
      <c r="Z270" s="100">
        <f>P270/10000-Y270</f>
        <v>1307.1996</v>
      </c>
      <c r="AA270" s="100">
        <f>3890.092+12*(A270-"2015年6月30日")/(A270-"2015年1月1日"+1)+100*(A270-"2015年9月14日")/(A270-"2015年1月1日"+1)</f>
        <v>3896.91464150943</v>
      </c>
      <c r="AB270" s="100">
        <f>(Z270-3.38)*10000/AA270</f>
        <v>3345.77408011939</v>
      </c>
    </row>
    <row r="271" ht="15" customHeight="1" spans="1:28">
      <c r="A271" s="21">
        <v>42270</v>
      </c>
      <c r="B271" s="21" t="s">
        <v>35</v>
      </c>
      <c r="C271" s="70">
        <v>43959</v>
      </c>
      <c r="D271" s="71">
        <f>31607+5993</f>
        <v>37600</v>
      </c>
      <c r="E271" s="71">
        <v>86232</v>
      </c>
      <c r="F271" s="72">
        <v>4387</v>
      </c>
      <c r="G271" s="73">
        <v>2913</v>
      </c>
      <c r="H271" s="25"/>
      <c r="I271" s="25"/>
      <c r="J271" s="74">
        <f t="shared" si="46"/>
        <v>48632</v>
      </c>
      <c r="K271" s="75">
        <f t="shared" si="49"/>
        <v>4673</v>
      </c>
      <c r="L271" s="75">
        <v>0</v>
      </c>
      <c r="M271" s="76">
        <f t="shared" si="48"/>
        <v>1005535</v>
      </c>
      <c r="N271" s="77">
        <f t="shared" si="48"/>
        <v>961778</v>
      </c>
      <c r="O271" s="77">
        <f t="shared" si="48"/>
        <v>1987514</v>
      </c>
      <c r="P271" s="76">
        <f t="shared" si="47"/>
        <v>13976955</v>
      </c>
      <c r="Q271" s="76">
        <f t="shared" si="47"/>
        <v>7722747</v>
      </c>
      <c r="R271" s="76">
        <f t="shared" si="47"/>
        <v>22185220</v>
      </c>
      <c r="S271" s="83">
        <f>M271/'[21]2014'!M271-1</f>
        <v>-0.0561786468203573</v>
      </c>
      <c r="T271" s="83">
        <f>N271/'[21]2014'!N271-1</f>
        <v>0.107068572369156</v>
      </c>
      <c r="U271" s="83">
        <f>O271/'[21]2014'!O271-1</f>
        <v>0.0020433978787584</v>
      </c>
      <c r="V271" s="83">
        <f>P271/'[21]2014'!P271-1</f>
        <v>-0.0312189113287015</v>
      </c>
      <c r="W271" s="83">
        <f>Q271/'[21]2014'!Q271-1</f>
        <v>0.133286837163417</v>
      </c>
      <c r="X271" s="83">
        <f>R271/'[21]2014'!R271-1</f>
        <v>0.0188199383905372</v>
      </c>
      <c r="Y271" s="89"/>
      <c r="Z271" s="101"/>
      <c r="AA271" s="89"/>
      <c r="AB271" s="75"/>
    </row>
    <row r="272" ht="15" customHeight="1" spans="1:28">
      <c r="A272" s="21">
        <v>42271</v>
      </c>
      <c r="B272" s="21" t="s">
        <v>36</v>
      </c>
      <c r="C272" s="22">
        <v>44092</v>
      </c>
      <c r="D272" s="8">
        <v>41574</v>
      </c>
      <c r="E272" s="8">
        <v>87067</v>
      </c>
      <c r="F272" s="23">
        <v>4386</v>
      </c>
      <c r="G272" s="24">
        <v>2912</v>
      </c>
      <c r="H272" s="25"/>
      <c r="I272" s="37"/>
      <c r="J272" s="9">
        <f t="shared" si="46"/>
        <v>45493</v>
      </c>
      <c r="K272" s="38">
        <f t="shared" si="49"/>
        <v>1401</v>
      </c>
      <c r="L272" s="38">
        <v>0</v>
      </c>
      <c r="M272" s="78">
        <f t="shared" si="48"/>
        <v>1049627</v>
      </c>
      <c r="N272" s="79">
        <f t="shared" si="48"/>
        <v>1003352</v>
      </c>
      <c r="O272" s="79">
        <f t="shared" si="48"/>
        <v>2074581</v>
      </c>
      <c r="P272" s="80">
        <f t="shared" si="47"/>
        <v>14021047</v>
      </c>
      <c r="Q272" s="80">
        <f t="shared" si="47"/>
        <v>7764321</v>
      </c>
      <c r="R272" s="80">
        <f t="shared" si="47"/>
        <v>22272287</v>
      </c>
      <c r="S272" s="84">
        <f>M272/'[21]2014'!M272-1</f>
        <v>-0.0550838798539811</v>
      </c>
      <c r="T272" s="84">
        <f>N272/'[21]2014'!N272-1</f>
        <v>0.107045644371329</v>
      </c>
      <c r="U272" s="84">
        <f>O272/'[21]2014'!O272-1</f>
        <v>0.00302563961238156</v>
      </c>
      <c r="V272" s="85">
        <f>P272/'[21]2014'!P272-1</f>
        <v>-0.0312132308271142</v>
      </c>
      <c r="W272" s="85">
        <f>Q272/'[21]2014'!Q272-1</f>
        <v>0.133140041022235</v>
      </c>
      <c r="X272" s="85">
        <f>R272/'[21]2014'!R272-1</f>
        <v>0.0188477469392812</v>
      </c>
      <c r="Y272" s="97">
        <f>Y268+0.25*4</f>
        <v>86.6414</v>
      </c>
      <c r="Z272" s="54">
        <f>P272/10000-Y272</f>
        <v>1315.4633</v>
      </c>
      <c r="AA272" s="38">
        <f>3890.092+12*(A272-"2015年6月30日")/(A272-"2015年1月1日"+1)+100*(A272-"2015年9月14日")/(A272-"2015年1月1日"+1)</f>
        <v>3897.70248689139</v>
      </c>
      <c r="AB272" s="38">
        <f>(Z272-3.38)*10000/AA272</f>
        <v>3366.29926068691</v>
      </c>
    </row>
    <row r="273" ht="15" customHeight="1" spans="1:28">
      <c r="A273" s="21">
        <v>42272</v>
      </c>
      <c r="B273" s="21" t="s">
        <v>37</v>
      </c>
      <c r="C273" s="22">
        <v>42884</v>
      </c>
      <c r="D273" s="8">
        <f>31814+9801</f>
        <v>41615</v>
      </c>
      <c r="E273" s="8">
        <v>86294</v>
      </c>
      <c r="F273" s="23">
        <v>4386</v>
      </c>
      <c r="G273" s="24">
        <v>2950</v>
      </c>
      <c r="H273" s="25"/>
      <c r="I273" s="37"/>
      <c r="J273" s="9">
        <f t="shared" si="46"/>
        <v>44679</v>
      </c>
      <c r="K273" s="38">
        <f t="shared" si="49"/>
        <v>1795</v>
      </c>
      <c r="L273" s="38">
        <v>0</v>
      </c>
      <c r="M273" s="78">
        <f t="shared" si="48"/>
        <v>1092511</v>
      </c>
      <c r="N273" s="79">
        <f t="shared" si="48"/>
        <v>1044967</v>
      </c>
      <c r="O273" s="79">
        <f t="shared" si="48"/>
        <v>2160875</v>
      </c>
      <c r="P273" s="80">
        <f t="shared" si="47"/>
        <v>14063931</v>
      </c>
      <c r="Q273" s="80">
        <f t="shared" si="47"/>
        <v>7805936</v>
      </c>
      <c r="R273" s="80">
        <f t="shared" si="47"/>
        <v>22358581</v>
      </c>
      <c r="S273" s="84">
        <f>M273/'[21]2014'!M273-1</f>
        <v>-0.0544231346790827</v>
      </c>
      <c r="T273" s="84">
        <f>N273/'[21]2014'!N273-1</f>
        <v>0.106047359374074</v>
      </c>
      <c r="U273" s="84">
        <f>O273/'[21]2014'!O273-1</f>
        <v>0.00357471607084969</v>
      </c>
      <c r="V273" s="85">
        <f>P273/'[21]2014'!P273-1</f>
        <v>-0.0312339397513496</v>
      </c>
      <c r="W273" s="85">
        <f>Q273/'[21]2014'!Q273-1</f>
        <v>0.132857578592712</v>
      </c>
      <c r="X273" s="85">
        <f>R273/'[21]2014'!R273-1</f>
        <v>0.0188404411907213</v>
      </c>
      <c r="Y273" s="97"/>
      <c r="Z273" s="54"/>
      <c r="AA273" s="38"/>
      <c r="AB273" s="38"/>
    </row>
    <row r="274" ht="15" customHeight="1" spans="1:28">
      <c r="A274" s="21">
        <v>42273</v>
      </c>
      <c r="B274" s="21" t="s">
        <v>38</v>
      </c>
      <c r="C274" s="22">
        <v>41480</v>
      </c>
      <c r="D274" s="8">
        <f>29230+9669</f>
        <v>38899</v>
      </c>
      <c r="E274" s="8">
        <v>82387</v>
      </c>
      <c r="F274" s="23">
        <v>4145</v>
      </c>
      <c r="G274" s="24">
        <v>2908</v>
      </c>
      <c r="H274" s="25"/>
      <c r="I274" s="37"/>
      <c r="J274" s="9">
        <f t="shared" si="46"/>
        <v>43488</v>
      </c>
      <c r="K274" s="38">
        <f t="shared" si="49"/>
        <v>2008</v>
      </c>
      <c r="L274" s="38">
        <v>0</v>
      </c>
      <c r="M274" s="78">
        <f t="shared" si="48"/>
        <v>1133991</v>
      </c>
      <c r="N274" s="79">
        <f t="shared" si="48"/>
        <v>1083866</v>
      </c>
      <c r="O274" s="79">
        <f t="shared" si="48"/>
        <v>2243262</v>
      </c>
      <c r="P274" s="80">
        <f t="shared" si="47"/>
        <v>14105411</v>
      </c>
      <c r="Q274" s="80">
        <f t="shared" si="47"/>
        <v>7844835</v>
      </c>
      <c r="R274" s="80">
        <f t="shared" si="47"/>
        <v>22440968</v>
      </c>
      <c r="S274" s="84">
        <f>M274/'[21]2014'!M274-1</f>
        <v>-0.0563883184273679</v>
      </c>
      <c r="T274" s="84">
        <f>N274/'[21]2014'!N274-1</f>
        <v>0.102123782582258</v>
      </c>
      <c r="U274" s="84">
        <f>O274/'[21]2014'!O274-1</f>
        <v>0.00167581376096271</v>
      </c>
      <c r="V274" s="85">
        <f>P274/'[21]2014'!P274-1</f>
        <v>-0.0314699258799523</v>
      </c>
      <c r="W274" s="85">
        <f>Q274/'[21]2014'!Q274-1</f>
        <v>0.132151140637041</v>
      </c>
      <c r="X274" s="85">
        <f>R274/'[21]2014'!R274-1</f>
        <v>0.018587597525374</v>
      </c>
      <c r="Y274" s="97"/>
      <c r="Z274" s="54"/>
      <c r="AA274" s="38"/>
      <c r="AB274" s="38"/>
    </row>
    <row r="275" ht="15" customHeight="1" spans="1:28">
      <c r="A275" s="21">
        <v>42274</v>
      </c>
      <c r="B275" s="21" t="s">
        <v>1</v>
      </c>
      <c r="C275" s="22">
        <v>32943</v>
      </c>
      <c r="D275" s="8">
        <f>20242+9591</f>
        <v>29833</v>
      </c>
      <c r="E275" s="8">
        <v>64964</v>
      </c>
      <c r="F275" s="23">
        <v>3000</v>
      </c>
      <c r="G275" s="24">
        <v>2501</v>
      </c>
      <c r="H275" s="25"/>
      <c r="I275" s="37"/>
      <c r="J275" s="9">
        <f t="shared" si="46"/>
        <v>35131</v>
      </c>
      <c r="K275" s="38">
        <f t="shared" si="49"/>
        <v>2188</v>
      </c>
      <c r="L275" s="38">
        <v>0</v>
      </c>
      <c r="M275" s="78">
        <f t="shared" si="48"/>
        <v>1166934</v>
      </c>
      <c r="N275" s="79">
        <f t="shared" si="48"/>
        <v>1113699</v>
      </c>
      <c r="O275" s="79">
        <f t="shared" si="48"/>
        <v>2308226</v>
      </c>
      <c r="P275" s="80">
        <f t="shared" si="47"/>
        <v>14138354</v>
      </c>
      <c r="Q275" s="80">
        <f t="shared" si="47"/>
        <v>7874668</v>
      </c>
      <c r="R275" s="80">
        <f t="shared" si="47"/>
        <v>22505932</v>
      </c>
      <c r="S275" s="84">
        <f>M275/'[21]2014'!M275-1</f>
        <v>-0.0669514211605318</v>
      </c>
      <c r="T275" s="84">
        <f>N275/'[21]2014'!N275-1</f>
        <v>0.0901666624248962</v>
      </c>
      <c r="U275" s="84">
        <f>O275/'[21]2014'!O275-1</f>
        <v>-0.00858980553855404</v>
      </c>
      <c r="V275" s="85">
        <f>P275/'[21]2014'!P275-1</f>
        <v>-0.0324574093529525</v>
      </c>
      <c r="W275" s="85">
        <f>Q275/'[21]2014'!Q275-1</f>
        <v>0.130233490535944</v>
      </c>
      <c r="X275" s="85">
        <f>R275/'[21]2014'!R275-1</f>
        <v>0.0174392783749473</v>
      </c>
      <c r="Y275" s="97">
        <f>Y272+0.2*3</f>
        <v>87.2414</v>
      </c>
      <c r="Z275" s="54">
        <f>P275/10000-Y275</f>
        <v>1326.594</v>
      </c>
      <c r="AA275" s="38">
        <f>3890.092+12*(A275-"2015年6月30日")/(A275-"2015年1月1日"+1)+100*(A275-"2015年9月14日")/(A275-"2015年1月1日"+1)</f>
        <v>3898.86237037037</v>
      </c>
      <c r="AB275" s="38">
        <f>(Z275-3.38)*10000/AA275</f>
        <v>3393.84639492751</v>
      </c>
    </row>
    <row r="276" ht="15" customHeight="1" spans="1:28">
      <c r="A276" s="21">
        <v>42275</v>
      </c>
      <c r="B276" s="21" t="s">
        <v>39</v>
      </c>
      <c r="C276" s="22">
        <v>38490</v>
      </c>
      <c r="D276" s="8">
        <f>26769+9838</f>
        <v>36607</v>
      </c>
      <c r="E276" s="8">
        <v>77299</v>
      </c>
      <c r="F276" s="23">
        <v>4056</v>
      </c>
      <c r="G276" s="24">
        <v>2703</v>
      </c>
      <c r="H276" s="25"/>
      <c r="I276" s="37"/>
      <c r="J276" s="9">
        <f t="shared" si="46"/>
        <v>40692</v>
      </c>
      <c r="K276" s="38">
        <f t="shared" si="49"/>
        <v>2202</v>
      </c>
      <c r="L276" s="38">
        <v>0</v>
      </c>
      <c r="M276" s="78">
        <f t="shared" si="48"/>
        <v>1205424</v>
      </c>
      <c r="N276" s="79">
        <f t="shared" si="48"/>
        <v>1150306</v>
      </c>
      <c r="O276" s="79">
        <f t="shared" si="48"/>
        <v>2385525</v>
      </c>
      <c r="P276" s="80">
        <f t="shared" si="47"/>
        <v>14176844</v>
      </c>
      <c r="Q276" s="80">
        <f t="shared" si="47"/>
        <v>7911275</v>
      </c>
      <c r="R276" s="80">
        <f t="shared" si="47"/>
        <v>22583231</v>
      </c>
      <c r="S276" s="84">
        <f>M276/'[21]2014'!M276-1</f>
        <v>-0.0733473909490582</v>
      </c>
      <c r="T276" s="84">
        <f>N276/'[21]2014'!N276-1</f>
        <v>0.0853571431941207</v>
      </c>
      <c r="U276" s="84">
        <f>O276/'[21]2014'!O276-1</f>
        <v>-0.0135977770518646</v>
      </c>
      <c r="V276" s="85">
        <f>P276/'[21]2014'!P276-1</f>
        <v>-0.0331428607219797</v>
      </c>
      <c r="W276" s="85">
        <f>Q276/'[21]2014'!Q276-1</f>
        <v>0.129287086045416</v>
      </c>
      <c r="X276" s="85">
        <f>R276/'[21]2014'!R276-1</f>
        <v>0.0167882865328943</v>
      </c>
      <c r="Y276" s="97"/>
      <c r="Z276" s="54"/>
      <c r="AA276" s="38"/>
      <c r="AB276" s="38"/>
    </row>
    <row r="277" ht="15" customHeight="1" spans="1:28">
      <c r="A277" s="21">
        <v>42276</v>
      </c>
      <c r="B277" s="15" t="s">
        <v>34</v>
      </c>
      <c r="C277" s="16">
        <v>40171</v>
      </c>
      <c r="D277" s="17">
        <v>39378</v>
      </c>
      <c r="E277" s="17">
        <v>80068</v>
      </c>
      <c r="F277" s="18">
        <v>4123</v>
      </c>
      <c r="G277" s="19">
        <v>2703</v>
      </c>
      <c r="H277" s="20"/>
      <c r="I277" s="20"/>
      <c r="J277" s="33">
        <f t="shared" si="46"/>
        <v>40690</v>
      </c>
      <c r="K277" s="34">
        <f t="shared" si="49"/>
        <v>519</v>
      </c>
      <c r="L277" s="34">
        <v>0</v>
      </c>
      <c r="M277" s="81">
        <f t="shared" si="48"/>
        <v>1245595</v>
      </c>
      <c r="N277" s="82">
        <f t="shared" si="48"/>
        <v>1189684</v>
      </c>
      <c r="O277" s="82">
        <f t="shared" si="48"/>
        <v>2465593</v>
      </c>
      <c r="P277" s="81">
        <f t="shared" si="47"/>
        <v>14217015</v>
      </c>
      <c r="Q277" s="81">
        <f t="shared" si="47"/>
        <v>7950653</v>
      </c>
      <c r="R277" s="81">
        <f t="shared" si="47"/>
        <v>22663299</v>
      </c>
      <c r="S277" s="86">
        <f>M277/'[21]2014'!M277-1</f>
        <v>-0.0789226546301034</v>
      </c>
      <c r="T277" s="86">
        <f>N277/'[21]2014'!N277-1</f>
        <v>0.0830244983308799</v>
      </c>
      <c r="U277" s="86">
        <f>O277/'[21]2014'!O277-1</f>
        <v>-0.017872414668063</v>
      </c>
      <c r="V277" s="86">
        <f>P277/'[21]2014'!P277-1</f>
        <v>-0.0337959379663313</v>
      </c>
      <c r="W277" s="86">
        <f>Q277/'[21]2014'!Q277-1</f>
        <v>0.12868234490151</v>
      </c>
      <c r="X277" s="86">
        <f>R277/'[21]2014'!R277-1</f>
        <v>0.0161816982906478</v>
      </c>
      <c r="Y277" s="100"/>
      <c r="Z277" s="53"/>
      <c r="AA277" s="34"/>
      <c r="AB277" s="34"/>
    </row>
    <row r="278" s="1" customFormat="1" ht="15" customHeight="1" spans="1:32">
      <c r="A278" s="26">
        <v>42277</v>
      </c>
      <c r="B278" s="21" t="s">
        <v>35</v>
      </c>
      <c r="C278" s="70">
        <v>39439</v>
      </c>
      <c r="D278" s="71">
        <v>35306</v>
      </c>
      <c r="E278" s="71">
        <v>76914</v>
      </c>
      <c r="F278" s="72">
        <v>4030</v>
      </c>
      <c r="G278" s="73">
        <v>2540</v>
      </c>
      <c r="H278" s="25"/>
      <c r="I278" s="25"/>
      <c r="J278" s="74">
        <f t="shared" si="46"/>
        <v>41608</v>
      </c>
      <c r="K278" s="75">
        <f t="shared" si="49"/>
        <v>1935</v>
      </c>
      <c r="L278" s="75">
        <v>234</v>
      </c>
      <c r="M278" s="76">
        <f t="shared" si="48"/>
        <v>1285034</v>
      </c>
      <c r="N278" s="77">
        <f t="shared" si="48"/>
        <v>1224990</v>
      </c>
      <c r="O278" s="77">
        <f t="shared" si="48"/>
        <v>2542507</v>
      </c>
      <c r="P278" s="76">
        <f t="shared" si="47"/>
        <v>14256454</v>
      </c>
      <c r="Q278" s="76">
        <f t="shared" si="47"/>
        <v>7985959</v>
      </c>
      <c r="R278" s="76">
        <f t="shared" si="47"/>
        <v>22740213</v>
      </c>
      <c r="S278" s="83">
        <f>M278/'[21]2014'!M278-1</f>
        <v>-0.0788565194412725</v>
      </c>
      <c r="T278" s="83">
        <f>N278/'[21]2014'!N278-1</f>
        <v>0.0796046129546208</v>
      </c>
      <c r="U278" s="83">
        <f>O278/'[21]2014'!O278-1</f>
        <v>-0.0185763852171383</v>
      </c>
      <c r="V278" s="83">
        <f>P278/'[21]2014'!P278-1</f>
        <v>-0.0339203173998713</v>
      </c>
      <c r="W278" s="83">
        <f>Q278/'[21]2014'!Q278-1</f>
        <v>0.127900968487181</v>
      </c>
      <c r="X278" s="83">
        <f>R278/'[21]2014'!R278-1</f>
        <v>0.0159782424676855</v>
      </c>
      <c r="Y278" s="89">
        <v>88.7159</v>
      </c>
      <c r="Z278" s="101">
        <f>P278/10000-Y278</f>
        <v>1336.9295</v>
      </c>
      <c r="AA278" s="89">
        <f>3890.092+12*(A278-"2015年6月30日")/(A278-"2015年1月1日"+1)+100*(A278-"2015年9月14日")/(A278-"2015年1月1日"+1)</f>
        <v>3899.99676190476</v>
      </c>
      <c r="AB278" s="75">
        <f>(Z278-3.38)*10000/AA278</f>
        <v>3419.36053133719</v>
      </c>
      <c r="AC278" s="90">
        <v>31.2358</v>
      </c>
      <c r="AD278" s="1">
        <v>18.5438</v>
      </c>
      <c r="AF278" s="1">
        <v>1475.4254</v>
      </c>
    </row>
    <row r="279" ht="15" customHeight="1" spans="1:28">
      <c r="A279" s="15">
        <v>42278</v>
      </c>
      <c r="B279" s="21" t="s">
        <v>36</v>
      </c>
      <c r="C279" s="22">
        <v>23919</v>
      </c>
      <c r="D279" s="8">
        <v>24800</v>
      </c>
      <c r="E279" s="8">
        <v>50683</v>
      </c>
      <c r="F279" s="23">
        <v>2679</v>
      </c>
      <c r="G279" s="24">
        <v>1771</v>
      </c>
      <c r="H279" s="25"/>
      <c r="I279" s="37"/>
      <c r="J279" s="9">
        <f t="shared" si="46"/>
        <v>25883</v>
      </c>
      <c r="K279" s="38">
        <f t="shared" si="49"/>
        <v>1414</v>
      </c>
      <c r="L279" s="38">
        <v>550</v>
      </c>
      <c r="M279" s="78">
        <f>C279</f>
        <v>23919</v>
      </c>
      <c r="N279" s="79">
        <f>D279</f>
        <v>24800</v>
      </c>
      <c r="O279" s="79">
        <f>E279</f>
        <v>50683</v>
      </c>
      <c r="P279" s="80">
        <f>P$278+M279</f>
        <v>14280373</v>
      </c>
      <c r="Q279" s="80">
        <f>Q$278+N279</f>
        <v>8010759</v>
      </c>
      <c r="R279" s="80">
        <f>R$278+O279</f>
        <v>22790896</v>
      </c>
      <c r="S279" s="84">
        <f>M279/'[21]2014'!M279-1</f>
        <v>-0.10331771321462</v>
      </c>
      <c r="T279" s="84">
        <f>N279/'[21]2014'!N279-1</f>
        <v>-0.057535912442046</v>
      </c>
      <c r="U279" s="84">
        <f>O279/'[21]2014'!O279-1</f>
        <v>-0.0646822174651215</v>
      </c>
      <c r="V279" s="85">
        <f>P279/'[21]2014'!P279-1</f>
        <v>-0.0340455348064689</v>
      </c>
      <c r="W279" s="85">
        <f>Q279/'[21]2014'!Q279-1</f>
        <v>0.127214349472148</v>
      </c>
      <c r="X279" s="85">
        <f>R279/'[21]2014'!R279-1</f>
        <v>0.0157834359228997</v>
      </c>
      <c r="Y279" s="97">
        <v>88.87</v>
      </c>
      <c r="Z279" s="54">
        <f>P279/10000-Y279</f>
        <v>1339.1673</v>
      </c>
      <c r="AA279" s="38">
        <f>3890.092+12*(A279-"2015年6月30日")/(A279-"2015年1月1日"+1)+100*(A279-"2015年9月14日")/(A279-"2015年1月1日"+1)</f>
        <v>3900.36937226277</v>
      </c>
      <c r="AB279" s="38">
        <f>(Z279-3.38)*10000/AA279</f>
        <v>3424.7712780727</v>
      </c>
    </row>
    <row r="280" ht="15" customHeight="1" spans="1:28">
      <c r="A280" s="21">
        <v>42279</v>
      </c>
      <c r="B280" s="21" t="s">
        <v>37</v>
      </c>
      <c r="C280" s="22">
        <v>23000</v>
      </c>
      <c r="D280" s="8">
        <v>24300</v>
      </c>
      <c r="E280" s="8">
        <v>49230</v>
      </c>
      <c r="F280" s="23">
        <v>2352</v>
      </c>
      <c r="G280" s="24">
        <v>1595</v>
      </c>
      <c r="H280" s="25"/>
      <c r="I280" s="37"/>
      <c r="J280" s="9">
        <f t="shared" si="46"/>
        <v>24930</v>
      </c>
      <c r="K280" s="38">
        <f t="shared" si="49"/>
        <v>1147</v>
      </c>
      <c r="L280" s="38">
        <v>783</v>
      </c>
      <c r="M280" s="78">
        <f t="shared" ref="M280:O295" si="50">C280+M279</f>
        <v>46919</v>
      </c>
      <c r="N280" s="79">
        <f t="shared" si="50"/>
        <v>49100</v>
      </c>
      <c r="O280" s="79">
        <f t="shared" si="50"/>
        <v>99913</v>
      </c>
      <c r="P280" s="80">
        <f t="shared" ref="P280:R309" si="51">P$278+M280</f>
        <v>14303373</v>
      </c>
      <c r="Q280" s="80">
        <f t="shared" si="51"/>
        <v>8035059</v>
      </c>
      <c r="R280" s="80">
        <f t="shared" si="51"/>
        <v>22840126</v>
      </c>
      <c r="S280" s="84">
        <f>M280/'[21]2014'!M280-1</f>
        <v>-0.169707480224389</v>
      </c>
      <c r="T280" s="84">
        <f>N280/'[21]2014'!N280-1</f>
        <v>-0.0345098810343133</v>
      </c>
      <c r="U280" s="84">
        <f>O280/'[21]2014'!O280-1</f>
        <v>-0.0882020113526438</v>
      </c>
      <c r="V280" s="85">
        <f>P280/'[21]2014'!P280-1</f>
        <v>-0.0344383032558132</v>
      </c>
      <c r="W280" s="85">
        <f>Q280/'[21]2014'!Q280-1</f>
        <v>0.126742766234845</v>
      </c>
      <c r="X280" s="85">
        <f>R280/'[21]2014'!R280-1</f>
        <v>0.0154706938146079</v>
      </c>
      <c r="Y280" s="97"/>
      <c r="Z280" s="54"/>
      <c r="AA280" s="38"/>
      <c r="AB280" s="38"/>
    </row>
    <row r="281" ht="15" customHeight="1" spans="1:28">
      <c r="A281" s="21">
        <v>42280</v>
      </c>
      <c r="B281" s="21" t="s">
        <v>38</v>
      </c>
      <c r="C281" s="22">
        <v>31000</v>
      </c>
      <c r="D281" s="8">
        <v>26057</v>
      </c>
      <c r="E281" s="8">
        <v>59318</v>
      </c>
      <c r="F281" s="23">
        <v>2922</v>
      </c>
      <c r="G281" s="24">
        <v>1868</v>
      </c>
      <c r="H281" s="25"/>
      <c r="I281" s="37"/>
      <c r="J281" s="9">
        <f t="shared" si="46"/>
        <v>33261</v>
      </c>
      <c r="K281" s="38">
        <f t="shared" si="49"/>
        <v>1478</v>
      </c>
      <c r="L281" s="38">
        <v>783</v>
      </c>
      <c r="M281" s="78">
        <f t="shared" si="50"/>
        <v>77919</v>
      </c>
      <c r="N281" s="79">
        <f t="shared" si="50"/>
        <v>75157</v>
      </c>
      <c r="O281" s="79">
        <f t="shared" si="50"/>
        <v>159231</v>
      </c>
      <c r="P281" s="80">
        <f t="shared" si="51"/>
        <v>14334373</v>
      </c>
      <c r="Q281" s="80">
        <f t="shared" si="51"/>
        <v>8061116</v>
      </c>
      <c r="R281" s="80">
        <f t="shared" si="51"/>
        <v>22899444</v>
      </c>
      <c r="S281" s="84">
        <f>M281/'[21]2014'!M281-1</f>
        <v>-0.175215936997206</v>
      </c>
      <c r="T281" s="84">
        <f>N281/'[21]2014'!N281-1</f>
        <v>-0.0182357321071676</v>
      </c>
      <c r="U281" s="84">
        <f>O281/'[21]2014'!O281-1</f>
        <v>-0.0880345013230089</v>
      </c>
      <c r="V281" s="85">
        <f>P281/'[21]2014'!P281-1</f>
        <v>-0.0348191148237005</v>
      </c>
      <c r="W281" s="85">
        <f>Q281/'[21]2014'!Q281-1</f>
        <v>0.126337838782868</v>
      </c>
      <c r="X281" s="85">
        <f>R281/'[21]2014'!R281-1</f>
        <v>0.0151731403891624</v>
      </c>
      <c r="Y281" s="97"/>
      <c r="Z281" s="54"/>
      <c r="AA281" s="38"/>
      <c r="AB281" s="38"/>
    </row>
    <row r="282" ht="15" customHeight="1" spans="1:28">
      <c r="A282" s="21">
        <v>42281</v>
      </c>
      <c r="B282" s="21" t="s">
        <v>1</v>
      </c>
      <c r="C282" s="22">
        <v>37500</v>
      </c>
      <c r="D282" s="8">
        <v>29591</v>
      </c>
      <c r="E282" s="8">
        <v>68977</v>
      </c>
      <c r="F282" s="23">
        <v>3520</v>
      </c>
      <c r="G282" s="24">
        <v>2212</v>
      </c>
      <c r="H282" s="25"/>
      <c r="I282" s="37"/>
      <c r="J282" s="9">
        <f t="shared" si="46"/>
        <v>39386</v>
      </c>
      <c r="K282" s="38">
        <f t="shared" si="49"/>
        <v>1103</v>
      </c>
      <c r="L282" s="38">
        <v>783</v>
      </c>
      <c r="M282" s="78">
        <f t="shared" si="50"/>
        <v>115419</v>
      </c>
      <c r="N282" s="79">
        <f t="shared" si="50"/>
        <v>104748</v>
      </c>
      <c r="O282" s="79">
        <f t="shared" si="50"/>
        <v>228208</v>
      </c>
      <c r="P282" s="80">
        <f t="shared" si="51"/>
        <v>14371873</v>
      </c>
      <c r="Q282" s="80">
        <f t="shared" si="51"/>
        <v>8090707</v>
      </c>
      <c r="R282" s="80">
        <f t="shared" si="51"/>
        <v>22968421</v>
      </c>
      <c r="S282" s="84">
        <f>M282/'[21]2014'!M282-1</f>
        <v>-0.155843395964221</v>
      </c>
      <c r="T282" s="84">
        <f>N282/'[21]2014'!N282-1</f>
        <v>-0.00612938117919426</v>
      </c>
      <c r="U282" s="84">
        <f>O282/'[21]2014'!O282-1</f>
        <v>-0.0780331524747195</v>
      </c>
      <c r="V282" s="85">
        <f>P282/'[21]2014'!P282-1</f>
        <v>-0.0350395911774952</v>
      </c>
      <c r="W282" s="85">
        <f>Q282/'[21]2014'!Q282-1</f>
        <v>0.125935138582641</v>
      </c>
      <c r="X282" s="85">
        <f>R282/'[21]2014'!R282-1</f>
        <v>0.0149499668201447</v>
      </c>
      <c r="Y282" s="97"/>
      <c r="Z282" s="54"/>
      <c r="AA282" s="38"/>
      <c r="AB282" s="38"/>
    </row>
    <row r="283" ht="15" customHeight="1" spans="1:28">
      <c r="A283" s="21">
        <v>42282</v>
      </c>
      <c r="B283" s="21" t="s">
        <v>39</v>
      </c>
      <c r="C283" s="22">
        <v>40800</v>
      </c>
      <c r="D283" s="8">
        <v>32213</v>
      </c>
      <c r="E283" s="8">
        <v>75055</v>
      </c>
      <c r="F283" s="23">
        <v>3852</v>
      </c>
      <c r="G283" s="24">
        <v>2489</v>
      </c>
      <c r="H283" s="25"/>
      <c r="I283" s="37"/>
      <c r="J283" s="9">
        <f t="shared" si="46"/>
        <v>42842</v>
      </c>
      <c r="K283" s="38">
        <f t="shared" si="49"/>
        <v>1259</v>
      </c>
      <c r="L283" s="38">
        <v>783</v>
      </c>
      <c r="M283" s="78">
        <f t="shared" si="50"/>
        <v>156219</v>
      </c>
      <c r="N283" s="79">
        <f t="shared" si="50"/>
        <v>136961</v>
      </c>
      <c r="O283" s="79">
        <f t="shared" si="50"/>
        <v>303263</v>
      </c>
      <c r="P283" s="80">
        <f t="shared" si="51"/>
        <v>14412673</v>
      </c>
      <c r="Q283" s="80">
        <f t="shared" si="51"/>
        <v>8122920</v>
      </c>
      <c r="R283" s="80">
        <f t="shared" si="51"/>
        <v>23043476</v>
      </c>
      <c r="S283" s="84">
        <f>M283/'[21]2014'!M283-1</f>
        <v>-0.147890166473938</v>
      </c>
      <c r="T283" s="84">
        <f>N283/'[21]2014'!N283-1</f>
        <v>0.0220741326686715</v>
      </c>
      <c r="U283" s="84">
        <f>O283/'[21]2014'!O283-1</f>
        <v>-0.0647016734414418</v>
      </c>
      <c r="V283" s="85">
        <f>P283/'[21]2014'!P283-1</f>
        <v>-0.0353188336463116</v>
      </c>
      <c r="W283" s="85">
        <f>Q283/'[21]2014'!Q283-1</f>
        <v>0.125935294052826</v>
      </c>
      <c r="X283" s="85">
        <f>R283/'[21]2014'!R283-1</f>
        <v>0.014826173774086</v>
      </c>
      <c r="Y283" s="97"/>
      <c r="Z283" s="54"/>
      <c r="AA283" s="38"/>
      <c r="AB283" s="38"/>
    </row>
    <row r="284" ht="15" customHeight="1" spans="1:28">
      <c r="A284" s="21">
        <v>42283</v>
      </c>
      <c r="B284" s="15" t="s">
        <v>34</v>
      </c>
      <c r="C284" s="16">
        <v>43500</v>
      </c>
      <c r="D284" s="17">
        <v>32210</v>
      </c>
      <c r="E284" s="17">
        <v>78238</v>
      </c>
      <c r="F284" s="18">
        <v>3956</v>
      </c>
      <c r="G284" s="19">
        <v>2656</v>
      </c>
      <c r="H284" s="20"/>
      <c r="I284" s="20"/>
      <c r="J284" s="33">
        <f t="shared" si="46"/>
        <v>46028</v>
      </c>
      <c r="K284" s="34">
        <f t="shared" si="49"/>
        <v>1745</v>
      </c>
      <c r="L284" s="34">
        <v>783</v>
      </c>
      <c r="M284" s="81">
        <f t="shared" si="50"/>
        <v>199719</v>
      </c>
      <c r="N284" s="82">
        <f t="shared" si="50"/>
        <v>169171</v>
      </c>
      <c r="O284" s="82">
        <f t="shared" si="50"/>
        <v>381501</v>
      </c>
      <c r="P284" s="81">
        <f t="shared" si="51"/>
        <v>14456173</v>
      </c>
      <c r="Q284" s="81">
        <f t="shared" si="51"/>
        <v>8155130</v>
      </c>
      <c r="R284" s="81">
        <f t="shared" si="51"/>
        <v>23121714</v>
      </c>
      <c r="S284" s="86">
        <f>M284/'[21]2014'!M284-1</f>
        <v>-0.14090856299763</v>
      </c>
      <c r="T284" s="86">
        <f>N284/'[21]2014'!N284-1</f>
        <v>0.0409818412292091</v>
      </c>
      <c r="U284" s="86">
        <f>O284/'[21]2014'!O284-1</f>
        <v>-0.0550403495474608</v>
      </c>
      <c r="V284" s="86">
        <f>P284/'[21]2014'!P284-1</f>
        <v>-0.0355796333771965</v>
      </c>
      <c r="W284" s="86">
        <f>Q284/'[21]2014'!Q284-1</f>
        <v>0.125950734952454</v>
      </c>
      <c r="X284" s="86">
        <f>R284/'[21]2014'!R284-1</f>
        <v>0.0147199527459234</v>
      </c>
      <c r="Y284" s="100"/>
      <c r="Z284" s="53"/>
      <c r="AA284" s="34"/>
      <c r="AB284" s="34"/>
    </row>
    <row r="285" ht="15" customHeight="1" spans="1:28">
      <c r="A285" s="21">
        <v>42284</v>
      </c>
      <c r="B285" s="21" t="s">
        <v>35</v>
      </c>
      <c r="C285" s="70">
        <v>43700</v>
      </c>
      <c r="D285" s="71">
        <v>32900</v>
      </c>
      <c r="E285" s="71">
        <v>79019</v>
      </c>
      <c r="F285" s="72">
        <v>4050</v>
      </c>
      <c r="G285" s="73">
        <v>2676</v>
      </c>
      <c r="H285" s="25"/>
      <c r="I285" s="25"/>
      <c r="J285" s="74">
        <f t="shared" si="46"/>
        <v>46119</v>
      </c>
      <c r="K285" s="75">
        <f t="shared" si="49"/>
        <v>1636</v>
      </c>
      <c r="L285" s="75">
        <v>783</v>
      </c>
      <c r="M285" s="76">
        <f t="shared" si="50"/>
        <v>243419</v>
      </c>
      <c r="N285" s="77">
        <f t="shared" si="50"/>
        <v>202071</v>
      </c>
      <c r="O285" s="77">
        <f t="shared" si="50"/>
        <v>460520</v>
      </c>
      <c r="P285" s="76">
        <f t="shared" si="51"/>
        <v>14499873</v>
      </c>
      <c r="Q285" s="76">
        <f t="shared" si="51"/>
        <v>8188030</v>
      </c>
      <c r="R285" s="76">
        <f t="shared" si="51"/>
        <v>23200733</v>
      </c>
      <c r="S285" s="83">
        <f>M285/'[21]2014'!M285-1</f>
        <v>-0.146706628807796</v>
      </c>
      <c r="T285" s="83">
        <f>N285/'[21]2014'!N285-1</f>
        <v>0.0692153023969522</v>
      </c>
      <c r="U285" s="83">
        <f>O285/'[21]2014'!O285-1</f>
        <v>-0.0491822909891998</v>
      </c>
      <c r="V285" s="83">
        <f>P285/'[21]2014'!P285-1</f>
        <v>-0.0360592575569373</v>
      </c>
      <c r="W285" s="83">
        <f>Q285/'[21]2014'!Q285-1</f>
        <v>0.126375249549049</v>
      </c>
      <c r="X285" s="83">
        <f>R285/'[21]2014'!R285-1</f>
        <v>0.0145980864034807</v>
      </c>
      <c r="Y285" s="89"/>
      <c r="Z285" s="101"/>
      <c r="AA285" s="89"/>
      <c r="AB285" s="75"/>
    </row>
    <row r="286" ht="15" customHeight="1" spans="1:28">
      <c r="A286" s="21">
        <v>42285</v>
      </c>
      <c r="B286" s="21" t="s">
        <v>36</v>
      </c>
      <c r="C286" s="22">
        <v>43081</v>
      </c>
      <c r="D286" s="8">
        <v>34389</v>
      </c>
      <c r="E286" s="8">
        <v>78872</v>
      </c>
      <c r="F286" s="23">
        <v>4073</v>
      </c>
      <c r="G286" s="24">
        <v>2651</v>
      </c>
      <c r="H286" s="25">
        <v>1631</v>
      </c>
      <c r="I286" s="37">
        <v>1159</v>
      </c>
      <c r="J286" s="9">
        <f t="shared" si="46"/>
        <v>44483</v>
      </c>
      <c r="K286" s="38">
        <f t="shared" si="49"/>
        <v>619</v>
      </c>
      <c r="L286" s="38">
        <v>783</v>
      </c>
      <c r="M286" s="78">
        <f t="shared" si="50"/>
        <v>286500</v>
      </c>
      <c r="N286" s="79">
        <f t="shared" si="50"/>
        <v>236460</v>
      </c>
      <c r="O286" s="79">
        <f t="shared" si="50"/>
        <v>539392</v>
      </c>
      <c r="P286" s="80">
        <f t="shared" si="51"/>
        <v>14542954</v>
      </c>
      <c r="Q286" s="80">
        <f t="shared" si="51"/>
        <v>8222419</v>
      </c>
      <c r="R286" s="80">
        <f t="shared" si="51"/>
        <v>23279605</v>
      </c>
      <c r="S286" s="84">
        <f>M286/'[21]2014'!M286-1</f>
        <v>-0.154640331180346</v>
      </c>
      <c r="T286" s="84">
        <f>N286/'[21]2014'!N286-1</f>
        <v>0.0909090909090908</v>
      </c>
      <c r="U286" s="84">
        <f>O286/'[21]2014'!O286-1</f>
        <v>-0.048890973499389</v>
      </c>
      <c r="V286" s="85">
        <f>P286/'[21]2014'!P286-1</f>
        <v>-0.0366305254381522</v>
      </c>
      <c r="W286" s="85">
        <f>Q286/'[21]2014'!Q286-1</f>
        <v>0.126802156053872</v>
      </c>
      <c r="X286" s="85">
        <f>R286/'[21]2014'!R286-1</f>
        <v>0.0143752337778611</v>
      </c>
      <c r="Y286" s="97">
        <v>90.62</v>
      </c>
      <c r="Z286" s="54">
        <f>P286/10000-Y286</f>
        <v>1363.6754</v>
      </c>
      <c r="AA286" s="38">
        <f>3890.092+12*(A286-"2015年6月30日")/(A286-"2015年1月1日"+1)+100*(A286-"2015年9月14日")/(A286-"2015年1月1日"+1)</f>
        <v>3902.90338790036</v>
      </c>
      <c r="AB286" s="38">
        <f>(Z286-3.38)*10000/AA286</f>
        <v>3485.34223065101</v>
      </c>
    </row>
    <row r="287" ht="15" customHeight="1" spans="1:28">
      <c r="A287" s="21">
        <v>42286</v>
      </c>
      <c r="B287" s="21" t="s">
        <v>37</v>
      </c>
      <c r="C287" s="22">
        <v>42500</v>
      </c>
      <c r="D287" s="8">
        <v>35000</v>
      </c>
      <c r="E287" s="8">
        <v>79000</v>
      </c>
      <c r="F287" s="23">
        <v>4046</v>
      </c>
      <c r="G287" s="24">
        <v>2641</v>
      </c>
      <c r="H287" s="25">
        <v>1652</v>
      </c>
      <c r="I287" s="37">
        <v>1389</v>
      </c>
      <c r="J287" s="9">
        <f t="shared" si="46"/>
        <v>44000</v>
      </c>
      <c r="K287" s="38">
        <f t="shared" si="49"/>
        <v>717</v>
      </c>
      <c r="L287" s="38">
        <v>783</v>
      </c>
      <c r="M287" s="78">
        <f t="shared" si="50"/>
        <v>329000</v>
      </c>
      <c r="N287" s="79">
        <f t="shared" si="50"/>
        <v>271460</v>
      </c>
      <c r="O287" s="79">
        <f t="shared" si="50"/>
        <v>618392</v>
      </c>
      <c r="P287" s="80">
        <f t="shared" si="51"/>
        <v>14585454</v>
      </c>
      <c r="Q287" s="80">
        <f t="shared" si="51"/>
        <v>8257419</v>
      </c>
      <c r="R287" s="80">
        <f t="shared" si="51"/>
        <v>23358605</v>
      </c>
      <c r="S287" s="84">
        <f>M287/'[21]2014'!M287-1</f>
        <v>-0.16124492667904</v>
      </c>
      <c r="T287" s="84">
        <f>N287/'[21]2014'!N287-1</f>
        <v>0.103693343524858</v>
      </c>
      <c r="U287" s="84">
        <f>O287/'[21]2014'!O287-1</f>
        <v>-0.0498730894273967</v>
      </c>
      <c r="V287" s="85">
        <f>P287/'[21]2014'!P287-1</f>
        <v>-0.0372170334030911</v>
      </c>
      <c r="W287" s="85">
        <f>Q287/'[21]2014'!Q287-1</f>
        <v>0.12708828166796</v>
      </c>
      <c r="X287" s="85">
        <f>R287/'[21]2014'!R287-1</f>
        <v>0.01411749182359</v>
      </c>
      <c r="Y287" s="97"/>
      <c r="Z287" s="54"/>
      <c r="AA287" s="38"/>
      <c r="AB287" s="38"/>
    </row>
    <row r="288" ht="15" customHeight="1" spans="1:28">
      <c r="A288" s="21">
        <v>42287</v>
      </c>
      <c r="B288" s="21" t="s">
        <v>38</v>
      </c>
      <c r="C288" s="22">
        <v>40059</v>
      </c>
      <c r="D288" s="8">
        <f>27045+9972</f>
        <v>37017</v>
      </c>
      <c r="E288" s="8">
        <v>78340</v>
      </c>
      <c r="F288" s="23">
        <v>3994</v>
      </c>
      <c r="G288" s="24">
        <v>2692</v>
      </c>
      <c r="H288" s="25"/>
      <c r="I288" s="37"/>
      <c r="J288" s="9">
        <f t="shared" si="46"/>
        <v>41323</v>
      </c>
      <c r="K288" s="38">
        <f t="shared" si="49"/>
        <v>481</v>
      </c>
      <c r="L288" s="38">
        <v>783</v>
      </c>
      <c r="M288" s="78">
        <f t="shared" si="50"/>
        <v>369059</v>
      </c>
      <c r="N288" s="79">
        <f t="shared" si="50"/>
        <v>308477</v>
      </c>
      <c r="O288" s="79">
        <f t="shared" si="50"/>
        <v>696732</v>
      </c>
      <c r="P288" s="80">
        <f t="shared" si="51"/>
        <v>14625513</v>
      </c>
      <c r="Q288" s="80">
        <f t="shared" si="51"/>
        <v>8294436</v>
      </c>
      <c r="R288" s="80">
        <f t="shared" si="51"/>
        <v>23436945</v>
      </c>
      <c r="S288" s="84">
        <f>M288/'[21]2014'!M288-1</f>
        <v>-0.170549552303211</v>
      </c>
      <c r="T288" s="84">
        <f>N288/'[21]2014'!N288-1</f>
        <v>0.115366814911234</v>
      </c>
      <c r="U288" s="84">
        <f>O288/'[21]2014'!O288-1</f>
        <v>-0.0523992225868708</v>
      </c>
      <c r="V288" s="85">
        <f>P288/'[21]2014'!P288-1</f>
        <v>-0.0379192988164476</v>
      </c>
      <c r="W288" s="85">
        <f>Q288/'[21]2014'!Q288-1</f>
        <v>0.127429771267072</v>
      </c>
      <c r="X288" s="85">
        <f>R288/'[21]2014'!R288-1</f>
        <v>0.0138035085169705</v>
      </c>
      <c r="Y288" s="97">
        <v>91.62</v>
      </c>
      <c r="Z288" s="54">
        <f>P288/10000-Y288</f>
        <v>1370.9313</v>
      </c>
      <c r="AA288" s="38">
        <f>3890.092+12*(A288-"2015年6月30日")/(A288-"2015年1月1日"+1)+100*(A288-"2015年9月14日")/(A288-"2015年1月1日"+1)</f>
        <v>3903.60436749117</v>
      </c>
      <c r="AB288" s="38">
        <f>(Z288-3.38)*10000/AA288</f>
        <v>3503.30405250295</v>
      </c>
    </row>
    <row r="289" ht="15" customHeight="1" spans="1:28">
      <c r="A289" s="21">
        <v>42288</v>
      </c>
      <c r="B289" s="21" t="s">
        <v>1</v>
      </c>
      <c r="C289" s="22">
        <v>36937</v>
      </c>
      <c r="D289" s="8">
        <f>25601+9949</f>
        <v>35550</v>
      </c>
      <c r="E289" s="8">
        <v>74020</v>
      </c>
      <c r="F289" s="23">
        <v>3676</v>
      </c>
      <c r="G289" s="24">
        <v>2639</v>
      </c>
      <c r="H289" s="25"/>
      <c r="I289" s="37"/>
      <c r="J289" s="9">
        <f t="shared" si="46"/>
        <v>38470</v>
      </c>
      <c r="K289" s="38">
        <f t="shared" si="49"/>
        <v>750</v>
      </c>
      <c r="L289" s="38">
        <v>783</v>
      </c>
      <c r="M289" s="78">
        <f t="shared" si="50"/>
        <v>405996</v>
      </c>
      <c r="N289" s="79">
        <f t="shared" si="50"/>
        <v>344027</v>
      </c>
      <c r="O289" s="79">
        <f t="shared" si="50"/>
        <v>770752</v>
      </c>
      <c r="P289" s="80">
        <f t="shared" si="51"/>
        <v>14662450</v>
      </c>
      <c r="Q289" s="80">
        <f t="shared" si="51"/>
        <v>8329986</v>
      </c>
      <c r="R289" s="80">
        <f t="shared" si="51"/>
        <v>23510965</v>
      </c>
      <c r="S289" s="84">
        <f>M289/'[21]2014'!M289-1</f>
        <v>-0.187156139634337</v>
      </c>
      <c r="T289" s="84">
        <f>N289/'[21]2014'!N289-1</f>
        <v>0.127210830859562</v>
      </c>
      <c r="U289" s="84">
        <f>O289/'[21]2014'!O289-1</f>
        <v>-0.0595653818465781</v>
      </c>
      <c r="V289" s="85">
        <f>P289/'[21]2014'!P289-1</f>
        <v>-0.0389370415645641</v>
      </c>
      <c r="W289" s="85">
        <f>Q289/'[21]2014'!Q289-1</f>
        <v>0.127872449191326</v>
      </c>
      <c r="X289" s="85">
        <f>R289/'[21]2014'!R289-1</f>
        <v>0.0133098133967526</v>
      </c>
      <c r="Y289" s="97">
        <v>91.921</v>
      </c>
      <c r="Z289" s="54">
        <f>P289/10000-Y289</f>
        <v>1374.324</v>
      </c>
      <c r="AA289" s="38">
        <f>3890.092+12*(A289-"2015年6月30日")/(A289-"2015年1月1日"+1)+100*(A289-"2015年9月14日")/(A289-"2015年1月1日"+1)</f>
        <v>3903.95115492958</v>
      </c>
      <c r="AB289" s="38">
        <f>(Z289-3.38)*10000/AA289</f>
        <v>3511.68328084456</v>
      </c>
    </row>
    <row r="290" ht="15" customHeight="1" spans="1:28">
      <c r="A290" s="21">
        <v>42289</v>
      </c>
      <c r="B290" s="21" t="s">
        <v>39</v>
      </c>
      <c r="C290" s="22">
        <v>41611</v>
      </c>
      <c r="D290" s="8">
        <f>26319+9251</f>
        <v>35570</v>
      </c>
      <c r="E290" s="8">
        <v>79080</v>
      </c>
      <c r="F290" s="23">
        <v>4050</v>
      </c>
      <c r="G290" s="24">
        <v>2620</v>
      </c>
      <c r="H290" s="25">
        <v>1687</v>
      </c>
      <c r="I290" s="37">
        <v>1235</v>
      </c>
      <c r="J290" s="9">
        <f t="shared" si="46"/>
        <v>43510</v>
      </c>
      <c r="K290" s="38">
        <f t="shared" si="49"/>
        <v>1112</v>
      </c>
      <c r="L290" s="38">
        <v>787</v>
      </c>
      <c r="M290" s="78">
        <f t="shared" si="50"/>
        <v>447607</v>
      </c>
      <c r="N290" s="79">
        <f t="shared" si="50"/>
        <v>379597</v>
      </c>
      <c r="O290" s="79">
        <f t="shared" si="50"/>
        <v>849832</v>
      </c>
      <c r="P290" s="80">
        <f t="shared" si="51"/>
        <v>14704061</v>
      </c>
      <c r="Q290" s="80">
        <f t="shared" si="51"/>
        <v>8365556</v>
      </c>
      <c r="R290" s="80">
        <f t="shared" si="51"/>
        <v>23590045</v>
      </c>
      <c r="S290" s="84">
        <f>M290/'[21]2014'!M290-1</f>
        <v>-0.184775798637672</v>
      </c>
      <c r="T290" s="84">
        <f>N290/'[21]2014'!N290-1</f>
        <v>0.13509060462891</v>
      </c>
      <c r="U290" s="84">
        <f>O290/'[21]2014'!O290-1</f>
        <v>-0.0552278462718592</v>
      </c>
      <c r="V290" s="85">
        <f>P290/'[21]2014'!P290-1</f>
        <v>-0.0393318093325193</v>
      </c>
      <c r="W290" s="85">
        <f>Q290/'[21]2014'!Q290-1</f>
        <v>0.128225233544971</v>
      </c>
      <c r="X290" s="85">
        <f>R290/'[21]2014'!R290-1</f>
        <v>0.0132271753437303</v>
      </c>
      <c r="Y290" s="97"/>
      <c r="Z290" s="54"/>
      <c r="AA290" s="38"/>
      <c r="AB290" s="38"/>
    </row>
    <row r="291" ht="15" customHeight="1" spans="1:28">
      <c r="A291" s="21">
        <v>42290</v>
      </c>
      <c r="B291" s="15" t="s">
        <v>34</v>
      </c>
      <c r="C291" s="16">
        <v>41490</v>
      </c>
      <c r="D291" s="17">
        <v>37626</v>
      </c>
      <c r="E291" s="17">
        <v>81273</v>
      </c>
      <c r="F291" s="18">
        <v>4093</v>
      </c>
      <c r="G291" s="19">
        <v>2761</v>
      </c>
      <c r="H291" s="20">
        <v>1723</v>
      </c>
      <c r="I291" s="20">
        <v>1378</v>
      </c>
      <c r="J291" s="33">
        <f t="shared" si="46"/>
        <v>43647</v>
      </c>
      <c r="K291" s="34">
        <f t="shared" si="49"/>
        <v>1370</v>
      </c>
      <c r="L291" s="34">
        <v>787</v>
      </c>
      <c r="M291" s="81">
        <f t="shared" si="50"/>
        <v>489097</v>
      </c>
      <c r="N291" s="82">
        <f t="shared" si="50"/>
        <v>417223</v>
      </c>
      <c r="O291" s="82">
        <f t="shared" si="50"/>
        <v>931105</v>
      </c>
      <c r="P291" s="81">
        <f t="shared" si="51"/>
        <v>14745551</v>
      </c>
      <c r="Q291" s="81">
        <f t="shared" si="51"/>
        <v>8403182</v>
      </c>
      <c r="R291" s="81">
        <f t="shared" si="51"/>
        <v>23671318</v>
      </c>
      <c r="S291" s="86">
        <f>M291/'[21]2014'!M291-1</f>
        <v>-0.187925569626138</v>
      </c>
      <c r="T291" s="86">
        <f>N291/'[21]2014'!N291-1</f>
        <v>0.149995589905293</v>
      </c>
      <c r="U291" s="86">
        <f>O291/'[21]2014'!O291-1</f>
        <v>-0.0521136195199817</v>
      </c>
      <c r="V291" s="86">
        <f>P291/'[21]2014'!P291-1</f>
        <v>-0.0399592938679476</v>
      </c>
      <c r="W291" s="86">
        <f>Q291/'[21]2014'!Q291-1</f>
        <v>0.128977930323162</v>
      </c>
      <c r="X291" s="86">
        <f>R291/'[21]2014'!R291-1</f>
        <v>0.0131155537335936</v>
      </c>
      <c r="Y291" s="100"/>
      <c r="Z291" s="53"/>
      <c r="AA291" s="34"/>
      <c r="AB291" s="34"/>
    </row>
    <row r="292" ht="15" customHeight="1" spans="1:28">
      <c r="A292" s="21">
        <v>42291</v>
      </c>
      <c r="B292" s="21" t="s">
        <v>35</v>
      </c>
      <c r="C292" s="70">
        <v>42909</v>
      </c>
      <c r="D292" s="71">
        <v>38110</v>
      </c>
      <c r="E292" s="71">
        <v>82633</v>
      </c>
      <c r="F292" s="72">
        <v>4193</v>
      </c>
      <c r="G292" s="73">
        <v>2816</v>
      </c>
      <c r="H292" s="25"/>
      <c r="I292" s="25"/>
      <c r="J292" s="74">
        <f t="shared" si="46"/>
        <v>44523</v>
      </c>
      <c r="K292" s="75">
        <f t="shared" si="49"/>
        <v>827</v>
      </c>
      <c r="L292" s="75">
        <v>787</v>
      </c>
      <c r="M292" s="76">
        <f t="shared" si="50"/>
        <v>532006</v>
      </c>
      <c r="N292" s="77">
        <f t="shared" si="50"/>
        <v>455333</v>
      </c>
      <c r="O292" s="77">
        <f t="shared" si="50"/>
        <v>1013738</v>
      </c>
      <c r="P292" s="76">
        <f t="shared" si="51"/>
        <v>14788460</v>
      </c>
      <c r="Q292" s="76">
        <f t="shared" si="51"/>
        <v>8441292</v>
      </c>
      <c r="R292" s="76">
        <f t="shared" si="51"/>
        <v>23753951</v>
      </c>
      <c r="S292" s="83">
        <f>M292/'[21]2014'!M292-1</f>
        <v>-0.1958359281944</v>
      </c>
      <c r="T292" s="83">
        <f>N292/'[21]2014'!N292-1</f>
        <v>0.179029656156378</v>
      </c>
      <c r="U292" s="83">
        <f>O292/'[21]2014'!O292-1</f>
        <v>-0.0492866869487908</v>
      </c>
      <c r="V292" s="83">
        <f>P292/'[21]2014'!P292-1</f>
        <v>-0.0408676195733552</v>
      </c>
      <c r="W292" s="83">
        <f>Q292/'[21]2014'!Q292-1</f>
        <v>0.13054549645349</v>
      </c>
      <c r="X292" s="83">
        <f>R292/'[21]2014'!R292-1</f>
        <v>0.0130104461537965</v>
      </c>
      <c r="Y292" s="89"/>
      <c r="Z292" s="101"/>
      <c r="AA292" s="89"/>
      <c r="AB292" s="75"/>
    </row>
    <row r="293" ht="15" customHeight="1" spans="1:28">
      <c r="A293" s="21">
        <v>42292</v>
      </c>
      <c r="B293" s="21" t="s">
        <v>36</v>
      </c>
      <c r="C293" s="22">
        <v>44638</v>
      </c>
      <c r="D293" s="8">
        <v>37048</v>
      </c>
      <c r="E293" s="8">
        <v>83063</v>
      </c>
      <c r="F293" s="23">
        <v>4175</v>
      </c>
      <c r="G293" s="24">
        <v>2831</v>
      </c>
      <c r="H293" s="25"/>
      <c r="I293" s="37"/>
      <c r="J293" s="9">
        <f t="shared" si="46"/>
        <v>46015</v>
      </c>
      <c r="K293" s="38">
        <f t="shared" si="49"/>
        <v>590</v>
      </c>
      <c r="L293" s="38">
        <v>787</v>
      </c>
      <c r="M293" s="78">
        <f t="shared" si="50"/>
        <v>576644</v>
      </c>
      <c r="N293" s="79">
        <f t="shared" si="50"/>
        <v>492381</v>
      </c>
      <c r="O293" s="79">
        <f t="shared" si="50"/>
        <v>1096801</v>
      </c>
      <c r="P293" s="80">
        <f t="shared" si="51"/>
        <v>14833098</v>
      </c>
      <c r="Q293" s="80">
        <f t="shared" si="51"/>
        <v>8478340</v>
      </c>
      <c r="R293" s="80">
        <f t="shared" si="51"/>
        <v>23837014</v>
      </c>
      <c r="S293" s="84">
        <f>M293/'[21]2014'!M293-1</f>
        <v>-0.201355072102467</v>
      </c>
      <c r="T293" s="84">
        <f>N293/'[21]2014'!N293-1</f>
        <v>0.202501318797257</v>
      </c>
      <c r="U293" s="84">
        <f>O293/'[21]2014'!O293-1</f>
        <v>-0.047118422012865</v>
      </c>
      <c r="V293" s="85">
        <f>P293/'[21]2014'!P293-1</f>
        <v>-0.0417303976399334</v>
      </c>
      <c r="W293" s="85">
        <f>Q293/'[21]2014'!Q293-1</f>
        <v>0.131979316237411</v>
      </c>
      <c r="X293" s="85">
        <f>R293/'[21]2014'!R293-1</f>
        <v>0.0128921660986161</v>
      </c>
      <c r="Y293" s="97">
        <v>93.12</v>
      </c>
      <c r="Z293" s="54">
        <f>P293/10000-Y293</f>
        <v>1390.1898</v>
      </c>
      <c r="AA293" s="38">
        <f>3890.092+12*(A293-"2015年6月30日")/(A293-"2015年1月1日"+1)+100*(A293-"2015年9月14日")/(A293-"2015年1月1日"+1)</f>
        <v>3905.31422222222</v>
      </c>
      <c r="AB293" s="38">
        <f>(Z293-3.38)*10000/AA293</f>
        <v>3551.08378247441</v>
      </c>
    </row>
    <row r="294" ht="15" customHeight="1" spans="1:28">
      <c r="A294" s="21">
        <v>42293</v>
      </c>
      <c r="B294" s="21" t="s">
        <v>37</v>
      </c>
      <c r="C294" s="22">
        <v>44593</v>
      </c>
      <c r="D294" s="8">
        <v>36967</v>
      </c>
      <c r="E294" s="8">
        <v>83309</v>
      </c>
      <c r="F294" s="23">
        <v>4171</v>
      </c>
      <c r="G294" s="24">
        <v>2845</v>
      </c>
      <c r="H294" s="25"/>
      <c r="I294" s="37"/>
      <c r="J294" s="9">
        <f t="shared" si="46"/>
        <v>46342</v>
      </c>
      <c r="K294" s="38">
        <f t="shared" si="49"/>
        <v>957</v>
      </c>
      <c r="L294" s="38">
        <v>792</v>
      </c>
      <c r="M294" s="78">
        <f t="shared" si="50"/>
        <v>621237</v>
      </c>
      <c r="N294" s="79">
        <f t="shared" si="50"/>
        <v>529348</v>
      </c>
      <c r="O294" s="79">
        <f t="shared" si="50"/>
        <v>1180110</v>
      </c>
      <c r="P294" s="80">
        <f t="shared" si="51"/>
        <v>14877691</v>
      </c>
      <c r="Q294" s="80">
        <f t="shared" si="51"/>
        <v>8515307</v>
      </c>
      <c r="R294" s="80">
        <f t="shared" si="51"/>
        <v>23920323</v>
      </c>
      <c r="S294" s="84">
        <f>M294/'[21]2014'!M294-1</f>
        <v>-0.206279625394473</v>
      </c>
      <c r="T294" s="84">
        <f>N294/'[21]2014'!N294-1</f>
        <v>0.22339139659201</v>
      </c>
      <c r="U294" s="84">
        <f>O294/'[21]2014'!O294-1</f>
        <v>-0.0450909708820352</v>
      </c>
      <c r="V294" s="85">
        <f>P294/'[21]2014'!P294-1</f>
        <v>-0.0426015563360674</v>
      </c>
      <c r="W294" s="85">
        <f>Q294/'[21]2014'!Q294-1</f>
        <v>0.133400412069035</v>
      </c>
      <c r="X294" s="85">
        <f>R294/'[21]2014'!R294-1</f>
        <v>0.0127827919965902</v>
      </c>
      <c r="Y294" s="97"/>
      <c r="Z294" s="54"/>
      <c r="AA294" s="38"/>
      <c r="AB294" s="38"/>
    </row>
    <row r="295" ht="15" customHeight="1" spans="1:28">
      <c r="A295" s="21">
        <v>42294</v>
      </c>
      <c r="B295" s="21" t="s">
        <v>38</v>
      </c>
      <c r="C295" s="22">
        <v>43647</v>
      </c>
      <c r="D295" s="8">
        <v>37068</v>
      </c>
      <c r="E295" s="8">
        <v>82340</v>
      </c>
      <c r="F295" s="23">
        <v>4139</v>
      </c>
      <c r="G295" s="24">
        <v>2841</v>
      </c>
      <c r="H295" s="25"/>
      <c r="I295" s="37"/>
      <c r="J295" s="9">
        <f t="shared" si="46"/>
        <v>45272</v>
      </c>
      <c r="K295" s="38">
        <f t="shared" si="49"/>
        <v>833</v>
      </c>
      <c r="L295" s="38">
        <v>792</v>
      </c>
      <c r="M295" s="78">
        <f t="shared" si="50"/>
        <v>664884</v>
      </c>
      <c r="N295" s="79">
        <f t="shared" si="50"/>
        <v>566416</v>
      </c>
      <c r="O295" s="79">
        <f t="shared" si="50"/>
        <v>1262450</v>
      </c>
      <c r="P295" s="80">
        <f t="shared" si="51"/>
        <v>14921338</v>
      </c>
      <c r="Q295" s="80">
        <f t="shared" si="51"/>
        <v>8552375</v>
      </c>
      <c r="R295" s="80">
        <f t="shared" si="51"/>
        <v>24002663</v>
      </c>
      <c r="S295" s="84">
        <f>M295/'[21]2014'!M295-1</f>
        <v>-0.211624928856005</v>
      </c>
      <c r="T295" s="84">
        <f>N295/'[21]2014'!N295-1</f>
        <v>0.242170315511997</v>
      </c>
      <c r="U295" s="84">
        <f>O295/'[21]2014'!O295-1</f>
        <v>-0.0442030987973516</v>
      </c>
      <c r="V295" s="85">
        <f>P295/'[21]2014'!P295-1</f>
        <v>-0.0435270701146127</v>
      </c>
      <c r="W295" s="85">
        <f>Q295/'[21]2014'!Q295-1</f>
        <v>0.134814857275623</v>
      </c>
      <c r="X295" s="85">
        <f>R295/'[21]2014'!R295-1</f>
        <v>0.0126247330198375</v>
      </c>
      <c r="Y295" s="97"/>
      <c r="Z295" s="54"/>
      <c r="AA295" s="38"/>
      <c r="AB295" s="38"/>
    </row>
    <row r="296" ht="15" customHeight="1" spans="1:28">
      <c r="A296" s="21">
        <v>42295</v>
      </c>
      <c r="B296" s="21" t="s">
        <v>1</v>
      </c>
      <c r="C296" s="22">
        <v>38953</v>
      </c>
      <c r="D296" s="8">
        <v>36943</v>
      </c>
      <c r="E296" s="8">
        <v>77453</v>
      </c>
      <c r="F296" s="23">
        <v>3782</v>
      </c>
      <c r="G296" s="24">
        <v>2780</v>
      </c>
      <c r="H296" s="25"/>
      <c r="I296" s="37"/>
      <c r="J296" s="9">
        <f t="shared" si="46"/>
        <v>40510</v>
      </c>
      <c r="K296" s="38">
        <f t="shared" si="49"/>
        <v>765</v>
      </c>
      <c r="L296" s="38">
        <v>792</v>
      </c>
      <c r="M296" s="78">
        <f t="shared" ref="M296:O309" si="52">C296+M295</f>
        <v>703837</v>
      </c>
      <c r="N296" s="79">
        <f t="shared" si="52"/>
        <v>603359</v>
      </c>
      <c r="O296" s="79">
        <f t="shared" si="52"/>
        <v>1339903</v>
      </c>
      <c r="P296" s="80">
        <f t="shared" si="51"/>
        <v>14960291</v>
      </c>
      <c r="Q296" s="80">
        <f t="shared" si="51"/>
        <v>8589318</v>
      </c>
      <c r="R296" s="80">
        <f t="shared" si="51"/>
        <v>24080116</v>
      </c>
      <c r="S296" s="84">
        <f>M296/'[21]2014'!M296-1</f>
        <v>-0.220505238443307</v>
      </c>
      <c r="T296" s="84">
        <f>N296/'[21]2014'!N296-1</f>
        <v>0.259651056704851</v>
      </c>
      <c r="U296" s="84">
        <f>O296/'[21]2014'!O296-1</f>
        <v>-0.0465597170781344</v>
      </c>
      <c r="V296" s="85">
        <f>P296/'[21]2014'!P296-1</f>
        <v>-0.0446786478309219</v>
      </c>
      <c r="W296" s="85">
        <f>Q296/'[21]2014'!Q296-1</f>
        <v>0.136249139560266</v>
      </c>
      <c r="X296" s="85">
        <f>R296/'[21]2014'!R296-1</f>
        <v>0.0122836442622327</v>
      </c>
      <c r="Y296" s="97"/>
      <c r="Z296" s="54"/>
      <c r="AA296" s="38"/>
      <c r="AB296" s="38"/>
    </row>
    <row r="297" ht="15" customHeight="1" spans="1:28">
      <c r="A297" s="21">
        <v>42296</v>
      </c>
      <c r="B297" s="21" t="s">
        <v>39</v>
      </c>
      <c r="C297" s="22">
        <v>44848</v>
      </c>
      <c r="D297" s="8">
        <v>36016</v>
      </c>
      <c r="E297" s="8">
        <v>82310</v>
      </c>
      <c r="F297" s="23">
        <v>4216</v>
      </c>
      <c r="G297" s="24">
        <v>2675</v>
      </c>
      <c r="H297" s="25"/>
      <c r="I297" s="37"/>
      <c r="J297" s="9">
        <f t="shared" si="46"/>
        <v>46294</v>
      </c>
      <c r="K297" s="38">
        <f t="shared" si="49"/>
        <v>654</v>
      </c>
      <c r="L297" s="38">
        <v>792</v>
      </c>
      <c r="M297" s="78">
        <f t="shared" si="52"/>
        <v>748685</v>
      </c>
      <c r="N297" s="79">
        <f t="shared" si="52"/>
        <v>639375</v>
      </c>
      <c r="O297" s="79">
        <f t="shared" si="52"/>
        <v>1422213</v>
      </c>
      <c r="P297" s="80">
        <f t="shared" si="51"/>
        <v>15005139</v>
      </c>
      <c r="Q297" s="80">
        <f t="shared" si="51"/>
        <v>8625334</v>
      </c>
      <c r="R297" s="80">
        <f t="shared" si="51"/>
        <v>24162426</v>
      </c>
      <c r="S297" s="84">
        <f>M297/'[21]2014'!M297-1</f>
        <v>-0.221462768391192</v>
      </c>
      <c r="T297" s="84">
        <f>N297/'[21]2014'!N297-1</f>
        <v>0.273718810697744</v>
      </c>
      <c r="U297" s="84">
        <f>O297/'[21]2014'!O297-1</f>
        <v>-0.0442303207800385</v>
      </c>
      <c r="V297" s="85">
        <f>P297/'[21]2014'!P297-1</f>
        <v>-0.0453940166623572</v>
      </c>
      <c r="W297" s="85">
        <f>Q297/'[21]2014'!Q297-1</f>
        <v>0.137554563411925</v>
      </c>
      <c r="X297" s="85">
        <f>R297/'[21]2014'!R297-1</f>
        <v>0.0122250037913048</v>
      </c>
      <c r="Y297" s="97"/>
      <c r="Z297" s="54"/>
      <c r="AA297" s="38"/>
      <c r="AB297" s="38"/>
    </row>
    <row r="298" ht="15" customHeight="1" spans="1:32">
      <c r="A298" s="21">
        <v>42297</v>
      </c>
      <c r="B298" s="15" t="s">
        <v>34</v>
      </c>
      <c r="C298" s="16">
        <v>51322</v>
      </c>
      <c r="D298" s="17">
        <v>32081</v>
      </c>
      <c r="E298" s="17">
        <v>84700</v>
      </c>
      <c r="F298" s="18">
        <v>4266</v>
      </c>
      <c r="G298" s="19">
        <v>2859</v>
      </c>
      <c r="H298" s="20"/>
      <c r="I298" s="20"/>
      <c r="J298" s="33">
        <f t="shared" si="46"/>
        <v>52619</v>
      </c>
      <c r="K298" s="34">
        <f t="shared" si="49"/>
        <v>505</v>
      </c>
      <c r="L298" s="34">
        <v>792</v>
      </c>
      <c r="M298" s="81">
        <f t="shared" si="52"/>
        <v>800007</v>
      </c>
      <c r="N298" s="82">
        <f t="shared" si="52"/>
        <v>671456</v>
      </c>
      <c r="O298" s="82">
        <f t="shared" si="52"/>
        <v>1506913</v>
      </c>
      <c r="P298" s="81">
        <f t="shared" si="51"/>
        <v>15056461</v>
      </c>
      <c r="Q298" s="81">
        <f t="shared" si="51"/>
        <v>8657415</v>
      </c>
      <c r="R298" s="81">
        <f t="shared" si="51"/>
        <v>24247126</v>
      </c>
      <c r="S298" s="86">
        <f>M298/'[21]2014'!M298-1</f>
        <v>-0.217886964147274</v>
      </c>
      <c r="T298" s="86">
        <f>N298/'[21]2014'!N298-1</f>
        <v>0.277221922102428</v>
      </c>
      <c r="U298" s="86">
        <f>O298/'[21]2014'!O298-1</f>
        <v>-0.0428299568962779</v>
      </c>
      <c r="V298" s="86">
        <f>P298/'[21]2014'!P298-1</f>
        <v>-0.0458453404390026</v>
      </c>
      <c r="W298" s="86">
        <f>Q298/'[21]2014'!Q298-1</f>
        <v>0.138221702258658</v>
      </c>
      <c r="X298" s="86">
        <f>R298/'[21]2014'!R298-1</f>
        <v>0.0121136298471194</v>
      </c>
      <c r="Y298" s="100">
        <v>95.3259</v>
      </c>
      <c r="Z298" s="53">
        <f>P298/10000-Y298</f>
        <v>1410.3202</v>
      </c>
      <c r="AA298" s="34">
        <f>3890.092+12*(A298-"2015年6月30日")/(A298-"2015年1月1日"+1)+100*(A298-"2015年9月14日")/(A298-"2015年1月1日"+1)</f>
        <v>3906.96572013652</v>
      </c>
      <c r="AB298" s="34">
        <f>(Z298-3.38)*10000/AA298</f>
        <v>3601.10710147423</v>
      </c>
      <c r="AC298" s="67">
        <v>33.232</v>
      </c>
      <c r="AD298" s="2">
        <v>20.0926</v>
      </c>
      <c r="AF298" s="2">
        <v>1558.9711</v>
      </c>
    </row>
    <row r="299" ht="15" customHeight="1" spans="1:28">
      <c r="A299" s="21">
        <v>42298</v>
      </c>
      <c r="B299" s="21" t="s">
        <v>35</v>
      </c>
      <c r="C299" s="70">
        <v>51716</v>
      </c>
      <c r="D299" s="71">
        <v>32019</v>
      </c>
      <c r="E299" s="71">
        <v>85264</v>
      </c>
      <c r="F299" s="72">
        <v>4286</v>
      </c>
      <c r="G299" s="73">
        <v>2889</v>
      </c>
      <c r="H299" s="25"/>
      <c r="I299" s="25"/>
      <c r="J299" s="74">
        <f t="shared" si="46"/>
        <v>53245</v>
      </c>
      <c r="K299" s="75">
        <f t="shared" si="49"/>
        <v>740</v>
      </c>
      <c r="L299" s="75">
        <v>789</v>
      </c>
      <c r="M299" s="76">
        <f t="shared" si="52"/>
        <v>851723</v>
      </c>
      <c r="N299" s="77">
        <f t="shared" si="52"/>
        <v>703475</v>
      </c>
      <c r="O299" s="77">
        <f t="shared" si="52"/>
        <v>1592177</v>
      </c>
      <c r="P299" s="76">
        <f t="shared" si="51"/>
        <v>15108177</v>
      </c>
      <c r="Q299" s="76">
        <f t="shared" si="51"/>
        <v>8689434</v>
      </c>
      <c r="R299" s="76">
        <f t="shared" si="51"/>
        <v>24332390</v>
      </c>
      <c r="S299" s="83">
        <f>M299/'[21]2014'!M299-1</f>
        <v>-0.215583829508982</v>
      </c>
      <c r="T299" s="83">
        <f>N299/'[21]2014'!N299-1</f>
        <v>0.279624775580217</v>
      </c>
      <c r="U299" s="83">
        <f>O299/'[21]2014'!O299-1</f>
        <v>-0.0421848991247674</v>
      </c>
      <c r="V299" s="83">
        <f>P299/'[21]2014'!P299-1</f>
        <v>-0.0463708236054761</v>
      </c>
      <c r="W299" s="83">
        <f>Q299/'[21]2014'!Q299-1</f>
        <v>0.138832680755429</v>
      </c>
      <c r="X299" s="83">
        <f>R299/'[21]2014'!R299-1</f>
        <v>0.0119572346889838</v>
      </c>
      <c r="Y299" s="89"/>
      <c r="Z299" s="101"/>
      <c r="AA299" s="89"/>
      <c r="AB299" s="75"/>
    </row>
    <row r="300" ht="15" customHeight="1" spans="1:28">
      <c r="A300" s="21">
        <v>42299</v>
      </c>
      <c r="B300" s="21" t="s">
        <v>36</v>
      </c>
      <c r="C300" s="22">
        <v>51058</v>
      </c>
      <c r="D300" s="8">
        <v>32688</v>
      </c>
      <c r="E300" s="8">
        <v>85703</v>
      </c>
      <c r="F300" s="23">
        <v>4324</v>
      </c>
      <c r="G300" s="24">
        <v>2886</v>
      </c>
      <c r="H300" s="25"/>
      <c r="I300" s="37"/>
      <c r="J300" s="9">
        <f t="shared" si="46"/>
        <v>53015</v>
      </c>
      <c r="K300" s="38">
        <f t="shared" si="49"/>
        <v>1166</v>
      </c>
      <c r="L300" s="38">
        <v>791</v>
      </c>
      <c r="M300" s="78">
        <f t="shared" si="52"/>
        <v>902781</v>
      </c>
      <c r="N300" s="79">
        <f t="shared" si="52"/>
        <v>736163</v>
      </c>
      <c r="O300" s="79">
        <f t="shared" si="52"/>
        <v>1677880</v>
      </c>
      <c r="P300" s="80">
        <f t="shared" si="51"/>
        <v>15159235</v>
      </c>
      <c r="Q300" s="80">
        <f t="shared" si="51"/>
        <v>8722122</v>
      </c>
      <c r="R300" s="80">
        <f t="shared" si="51"/>
        <v>24418093</v>
      </c>
      <c r="S300" s="84">
        <f>M300/'[21]2014'!M300-1</f>
        <v>-0.212913614840919</v>
      </c>
      <c r="T300" s="84">
        <f>N300/'[21]2014'!N300-1</f>
        <v>0.283627607227176</v>
      </c>
      <c r="U300" s="84">
        <f>O300/'[21]2014'!O300-1</f>
        <v>-0.0402379556407213</v>
      </c>
      <c r="V300" s="85">
        <f>P300/'[21]2014'!P300-1</f>
        <v>-0.0468292460942591</v>
      </c>
      <c r="W300" s="85">
        <f>Q300/'[21]2014'!Q300-1</f>
        <v>0.1395695082275</v>
      </c>
      <c r="X300" s="85">
        <f>R300/'[21]2014'!R300-1</f>
        <v>0.0119054994278054</v>
      </c>
      <c r="Y300" s="97">
        <v>96.03</v>
      </c>
      <c r="Z300" s="54">
        <f>P300/10000-Y300</f>
        <v>1419.8935</v>
      </c>
      <c r="AA300" s="38">
        <f>3890.092+12*(A300-"2015年6月30日")/(A300-"2015年1月1日"+1)+100*(A300-"2015年9月14日")/(A300-"2015年1月1日"+1)</f>
        <v>3907.6106440678</v>
      </c>
      <c r="AB300" s="38">
        <f>(Z300-3.38-0.6)*10000/AA300</f>
        <v>3623.47641300834</v>
      </c>
    </row>
    <row r="301" ht="15" customHeight="1" spans="1:28">
      <c r="A301" s="21">
        <v>42300</v>
      </c>
      <c r="B301" s="21" t="s">
        <v>37</v>
      </c>
      <c r="C301" s="22">
        <v>50905</v>
      </c>
      <c r="D301" s="8">
        <f>25358+7809</f>
        <v>33167</v>
      </c>
      <c r="E301" s="8">
        <v>85500</v>
      </c>
      <c r="F301" s="23">
        <v>4333</v>
      </c>
      <c r="G301" s="24">
        <v>2890</v>
      </c>
      <c r="H301" s="25"/>
      <c r="I301" s="37"/>
      <c r="J301" s="9">
        <f t="shared" si="46"/>
        <v>52333</v>
      </c>
      <c r="K301" s="38">
        <f t="shared" si="49"/>
        <v>638</v>
      </c>
      <c r="L301" s="38">
        <v>790</v>
      </c>
      <c r="M301" s="78">
        <f t="shared" si="52"/>
        <v>953686</v>
      </c>
      <c r="N301" s="79">
        <f t="shared" si="52"/>
        <v>769330</v>
      </c>
      <c r="O301" s="79">
        <f t="shared" si="52"/>
        <v>1763380</v>
      </c>
      <c r="P301" s="80">
        <f t="shared" si="51"/>
        <v>15210140</v>
      </c>
      <c r="Q301" s="80">
        <f t="shared" si="51"/>
        <v>8755289</v>
      </c>
      <c r="R301" s="80">
        <f t="shared" si="51"/>
        <v>24503593</v>
      </c>
      <c r="S301" s="84">
        <f>M301/'[21]2014'!M301-1</f>
        <v>-0.211252858495677</v>
      </c>
      <c r="T301" s="84">
        <f>N301/'[21]2014'!N301-1</f>
        <v>0.289463451262763</v>
      </c>
      <c r="U301" s="84">
        <f>O301/'[21]2014'!O301-1</f>
        <v>-0.038771200530279</v>
      </c>
      <c r="V301" s="85">
        <f>P301/'[21]2014'!P301-1</f>
        <v>-0.0473497090390089</v>
      </c>
      <c r="W301" s="85">
        <f>Q301/'[21]2014'!Q301-1</f>
        <v>0.140457005310863</v>
      </c>
      <c r="X301" s="85">
        <f>R301/'[21]2014'!R301-1</f>
        <v>0.0118308323728609</v>
      </c>
      <c r="Y301" s="97"/>
      <c r="Z301" s="54"/>
      <c r="AA301" s="38"/>
      <c r="AB301" s="38"/>
    </row>
    <row r="302" ht="15" customHeight="1" spans="1:28">
      <c r="A302" s="21">
        <v>42301</v>
      </c>
      <c r="B302" s="21" t="s">
        <v>38</v>
      </c>
      <c r="C302" s="22">
        <v>51122</v>
      </c>
      <c r="D302" s="8">
        <f>24395+7963</f>
        <v>32358</v>
      </c>
      <c r="E302" s="8">
        <v>84685</v>
      </c>
      <c r="F302" s="23">
        <v>4276</v>
      </c>
      <c r="G302" s="24">
        <v>2902</v>
      </c>
      <c r="H302" s="25"/>
      <c r="I302" s="37"/>
      <c r="J302" s="9">
        <f t="shared" si="46"/>
        <v>52327</v>
      </c>
      <c r="K302" s="38">
        <f t="shared" si="49"/>
        <v>413</v>
      </c>
      <c r="L302" s="38">
        <v>792</v>
      </c>
      <c r="M302" s="78">
        <f t="shared" si="52"/>
        <v>1004808</v>
      </c>
      <c r="N302" s="79">
        <f t="shared" si="52"/>
        <v>801688</v>
      </c>
      <c r="O302" s="79">
        <f t="shared" si="52"/>
        <v>1848065</v>
      </c>
      <c r="P302" s="80">
        <f t="shared" si="51"/>
        <v>15261262</v>
      </c>
      <c r="Q302" s="80">
        <f t="shared" si="51"/>
        <v>8787647</v>
      </c>
      <c r="R302" s="80">
        <f t="shared" si="51"/>
        <v>24588278</v>
      </c>
      <c r="S302" s="84">
        <f>M302/'[21]2014'!M302-1</f>
        <v>-0.209888270221093</v>
      </c>
      <c r="T302" s="84">
        <f>N302/'[21]2014'!N302-1</f>
        <v>0.293740024884333</v>
      </c>
      <c r="U302" s="84">
        <f>O302/'[21]2014'!O302-1</f>
        <v>-0.0380252936314101</v>
      </c>
      <c r="V302" s="85">
        <f>P302/'[21]2014'!P302-1</f>
        <v>-0.0478817060825175</v>
      </c>
      <c r="W302" s="85">
        <f>Q302/'[21]2014'!Q302-1</f>
        <v>0.141247002693947</v>
      </c>
      <c r="X302" s="85">
        <f>R302/'[21]2014'!R302-1</f>
        <v>0.0117094652957732</v>
      </c>
      <c r="Y302" s="97"/>
      <c r="Z302" s="54"/>
      <c r="AA302" s="38"/>
      <c r="AB302" s="38"/>
    </row>
    <row r="303" ht="15" customHeight="1" spans="1:28">
      <c r="A303" s="21">
        <v>42302</v>
      </c>
      <c r="B303" s="21" t="s">
        <v>1</v>
      </c>
      <c r="C303" s="22">
        <v>46081</v>
      </c>
      <c r="D303" s="8">
        <f>24254+7882</f>
        <v>32136</v>
      </c>
      <c r="E303" s="8">
        <v>79914</v>
      </c>
      <c r="F303" s="23">
        <v>3947</v>
      </c>
      <c r="G303" s="24">
        <v>2843</v>
      </c>
      <c r="H303" s="25"/>
      <c r="I303" s="37"/>
      <c r="J303" s="9">
        <f t="shared" si="46"/>
        <v>47778</v>
      </c>
      <c r="K303" s="38">
        <f t="shared" si="49"/>
        <v>920</v>
      </c>
      <c r="L303" s="38">
        <v>777</v>
      </c>
      <c r="M303" s="78">
        <f t="shared" si="52"/>
        <v>1050889</v>
      </c>
      <c r="N303" s="79">
        <f t="shared" si="52"/>
        <v>833824</v>
      </c>
      <c r="O303" s="79">
        <f t="shared" si="52"/>
        <v>1927979</v>
      </c>
      <c r="P303" s="80">
        <f t="shared" si="51"/>
        <v>15307343</v>
      </c>
      <c r="Q303" s="80">
        <f t="shared" si="51"/>
        <v>8819783</v>
      </c>
      <c r="R303" s="80">
        <f t="shared" si="51"/>
        <v>24668192</v>
      </c>
      <c r="S303" s="84">
        <f>M303/'[21]2014'!M303-1</f>
        <v>-0.212868524672924</v>
      </c>
      <c r="T303" s="84">
        <f>N303/'[21]2014'!N303-1</f>
        <v>0.300626741164322</v>
      </c>
      <c r="U303" s="84">
        <f>O303/'[21]2014'!O303-1</f>
        <v>-0.0393004157263451</v>
      </c>
      <c r="V303" s="85">
        <f>P303/'[21]2014'!P303-1</f>
        <v>-0.0487668178827152</v>
      </c>
      <c r="W303" s="85">
        <f>Q303/'[21]2014'!Q303-1</f>
        <v>0.142241956239789</v>
      </c>
      <c r="X303" s="85">
        <f>R303/'[21]2014'!R303-1</f>
        <v>0.0114297175434381</v>
      </c>
      <c r="Y303" s="97"/>
      <c r="Z303" s="54"/>
      <c r="AA303" s="38"/>
      <c r="AB303" s="38"/>
    </row>
    <row r="304" ht="15" customHeight="1" spans="1:28">
      <c r="A304" s="21">
        <v>42303</v>
      </c>
      <c r="B304" s="21" t="s">
        <v>39</v>
      </c>
      <c r="C304" s="22">
        <v>54787</v>
      </c>
      <c r="D304" s="8">
        <f>20984+7813</f>
        <v>28797</v>
      </c>
      <c r="E304" s="8">
        <v>84843</v>
      </c>
      <c r="F304" s="23">
        <v>4336</v>
      </c>
      <c r="G304" s="24">
        <v>2739</v>
      </c>
      <c r="H304" s="25"/>
      <c r="I304" s="37"/>
      <c r="J304" s="9">
        <f t="shared" si="46"/>
        <v>56046</v>
      </c>
      <c r="K304" s="38">
        <f t="shared" si="49"/>
        <v>453</v>
      </c>
      <c r="L304" s="38">
        <v>806</v>
      </c>
      <c r="M304" s="78">
        <f t="shared" si="52"/>
        <v>1105676</v>
      </c>
      <c r="N304" s="79">
        <f t="shared" si="52"/>
        <v>862621</v>
      </c>
      <c r="O304" s="79">
        <f t="shared" si="52"/>
        <v>2012822</v>
      </c>
      <c r="P304" s="80">
        <f t="shared" si="51"/>
        <v>15362130</v>
      </c>
      <c r="Q304" s="80">
        <f t="shared" si="51"/>
        <v>8848580</v>
      </c>
      <c r="R304" s="80">
        <f t="shared" si="51"/>
        <v>24753035</v>
      </c>
      <c r="S304" s="84">
        <f>M304/'[21]2014'!M304-1</f>
        <v>-0.206828154804221</v>
      </c>
      <c r="T304" s="84">
        <f>N304/'[21]2014'!N304-1</f>
        <v>0.301650940905037</v>
      </c>
      <c r="U304" s="84">
        <f>O304/'[21]2014'!O304-1</f>
        <v>-0.0362074257375964</v>
      </c>
      <c r="V304" s="85">
        <f>P304/'[21]2014'!P304-1</f>
        <v>-0.0488439859266779</v>
      </c>
      <c r="W304" s="85">
        <f>Q304/'[21]2014'!Q304-1</f>
        <v>0.142771831720055</v>
      </c>
      <c r="X304" s="85">
        <f>R304/'[21]2014'!R304-1</f>
        <v>0.0115245419341208</v>
      </c>
      <c r="Y304" s="97"/>
      <c r="Z304" s="54"/>
      <c r="AA304" s="38"/>
      <c r="AB304" s="38"/>
    </row>
    <row r="305" ht="15" customHeight="1" spans="1:32">
      <c r="A305" s="21">
        <v>42304</v>
      </c>
      <c r="B305" s="15" t="s">
        <v>34</v>
      </c>
      <c r="C305" s="16">
        <v>54123</v>
      </c>
      <c r="D305" s="17">
        <f>21089+8041</f>
        <v>29130</v>
      </c>
      <c r="E305" s="17">
        <v>84628</v>
      </c>
      <c r="F305" s="18">
        <v>4327</v>
      </c>
      <c r="G305" s="19">
        <v>2842</v>
      </c>
      <c r="H305" s="20"/>
      <c r="I305" s="20"/>
      <c r="J305" s="33">
        <f t="shared" si="46"/>
        <v>55498</v>
      </c>
      <c r="K305" s="34">
        <f t="shared" si="49"/>
        <v>587</v>
      </c>
      <c r="L305" s="34">
        <v>788</v>
      </c>
      <c r="M305" s="81">
        <f t="shared" si="52"/>
        <v>1159799</v>
      </c>
      <c r="N305" s="82">
        <f t="shared" si="52"/>
        <v>891751</v>
      </c>
      <c r="O305" s="82">
        <f t="shared" si="52"/>
        <v>2097450</v>
      </c>
      <c r="P305" s="81">
        <f t="shared" si="51"/>
        <v>15416253</v>
      </c>
      <c r="Q305" s="81">
        <f t="shared" si="51"/>
        <v>8877710</v>
      </c>
      <c r="R305" s="81">
        <f t="shared" si="51"/>
        <v>24837663</v>
      </c>
      <c r="S305" s="86">
        <f>M305/'[21]2014'!M305-1</f>
        <v>-0.2022145135451</v>
      </c>
      <c r="T305" s="86">
        <f>N305/'[21]2014'!N305-1</f>
        <v>0.298166773664313</v>
      </c>
      <c r="U305" s="86">
        <f>O305/'[21]2014'!O305-1</f>
        <v>-0.0349501313833417</v>
      </c>
      <c r="V305" s="86">
        <f>P305/'[21]2014'!P305-1</f>
        <v>-0.0490128306636491</v>
      </c>
      <c r="W305" s="86">
        <f>Q305/'[21]2014'!Q305-1</f>
        <v>0.142959071961074</v>
      </c>
      <c r="X305" s="86">
        <f>R305/'[21]2014'!R305-1</f>
        <v>0.0114706543331007</v>
      </c>
      <c r="Y305" s="100">
        <v>98.1</v>
      </c>
      <c r="Z305" s="53">
        <f>P305/10000-Y305</f>
        <v>1443.5253</v>
      </c>
      <c r="AA305" s="34">
        <f>3890.092+12*(A305-"2015年6月30日")/(A305-"2015年1月1日"+1)+100*(A305-"2015年9月14日")/(A305-"2015年1月1日"+1)</f>
        <v>3909.18533333333</v>
      </c>
      <c r="AB305" s="34">
        <f>(Z305-3.38)*10000/AA305</f>
        <v>3684.00364065624</v>
      </c>
      <c r="AC305" s="67">
        <f>AC298+SUM(K299:K305)/10000</f>
        <v>33.7237</v>
      </c>
      <c r="AD305" s="2">
        <f>AD298+SUM(L299:L305)/10000</f>
        <v>20.6459</v>
      </c>
      <c r="AF305" s="2">
        <f>AF298+SUM(J299:J305)/10000</f>
        <v>1595.9953</v>
      </c>
    </row>
    <row r="306" ht="15" customHeight="1" spans="1:28">
      <c r="A306" s="21">
        <v>42305</v>
      </c>
      <c r="B306" s="21" t="s">
        <v>35</v>
      </c>
      <c r="C306" s="70">
        <v>54033</v>
      </c>
      <c r="D306" s="71">
        <f>21474+8059</f>
        <v>29533</v>
      </c>
      <c r="E306" s="71">
        <v>85233</v>
      </c>
      <c r="F306" s="72">
        <v>4327</v>
      </c>
      <c r="G306" s="73">
        <v>2878</v>
      </c>
      <c r="H306" s="25"/>
      <c r="I306" s="25"/>
      <c r="J306" s="74">
        <f t="shared" si="46"/>
        <v>55700</v>
      </c>
      <c r="K306" s="75">
        <f t="shared" si="49"/>
        <v>876</v>
      </c>
      <c r="L306" s="75">
        <v>791</v>
      </c>
      <c r="M306" s="76">
        <f t="shared" si="52"/>
        <v>1213832</v>
      </c>
      <c r="N306" s="77">
        <f t="shared" si="52"/>
        <v>921284</v>
      </c>
      <c r="O306" s="77">
        <f t="shared" si="52"/>
        <v>2182683</v>
      </c>
      <c r="P306" s="76">
        <f t="shared" si="51"/>
        <v>15470286</v>
      </c>
      <c r="Q306" s="76">
        <f t="shared" si="51"/>
        <v>8907243</v>
      </c>
      <c r="R306" s="76">
        <f t="shared" si="51"/>
        <v>24922896</v>
      </c>
      <c r="S306" s="83">
        <f>M306/'[21]2014'!M306-1</f>
        <v>-0.198311333378245</v>
      </c>
      <c r="T306" s="83">
        <f>N306/'[21]2014'!N306-1</f>
        <v>0.295575868372943</v>
      </c>
      <c r="U306" s="83">
        <f>O306/'[21]2014'!O306-1</f>
        <v>-0.033797219339965</v>
      </c>
      <c r="V306" s="83">
        <f>P306/'[21]2014'!P306-1</f>
        <v>-0.0492175798725391</v>
      </c>
      <c r="W306" s="83">
        <f>Q306/'[21]2014'!Q306-1</f>
        <v>0.143204060593168</v>
      </c>
      <c r="X306" s="83">
        <f>R306/'[21]2014'!R306-1</f>
        <v>0.0114150520873844</v>
      </c>
      <c r="Y306" s="89"/>
      <c r="Z306" s="101"/>
      <c r="AA306" s="89"/>
      <c r="AB306" s="75"/>
    </row>
    <row r="307" ht="15" customHeight="1" spans="1:28">
      <c r="A307" s="21">
        <v>42306</v>
      </c>
      <c r="B307" s="21" t="s">
        <v>36</v>
      </c>
      <c r="C307" s="22">
        <v>53202</v>
      </c>
      <c r="D307" s="8">
        <f>22086+8789</f>
        <v>30875</v>
      </c>
      <c r="E307" s="8">
        <v>85367</v>
      </c>
      <c r="F307" s="23">
        <v>4401</v>
      </c>
      <c r="G307" s="24">
        <v>2856</v>
      </c>
      <c r="H307" s="25">
        <v>1445</v>
      </c>
      <c r="I307" s="37">
        <v>1176</v>
      </c>
      <c r="J307" s="9">
        <f t="shared" si="46"/>
        <v>54492</v>
      </c>
      <c r="K307" s="38">
        <f t="shared" si="49"/>
        <v>499</v>
      </c>
      <c r="L307" s="38">
        <v>791</v>
      </c>
      <c r="M307" s="78">
        <f t="shared" si="52"/>
        <v>1267034</v>
      </c>
      <c r="N307" s="79">
        <f t="shared" si="52"/>
        <v>952159</v>
      </c>
      <c r="O307" s="79">
        <f t="shared" si="52"/>
        <v>2268050</v>
      </c>
      <c r="P307" s="80">
        <f t="shared" si="51"/>
        <v>15523488</v>
      </c>
      <c r="Q307" s="80">
        <f t="shared" si="51"/>
        <v>8938118</v>
      </c>
      <c r="R307" s="80">
        <f t="shared" si="51"/>
        <v>25008263</v>
      </c>
      <c r="S307" s="84">
        <f>M307/'[21]2014'!M307-1</f>
        <v>-0.196290730696113</v>
      </c>
      <c r="T307" s="84">
        <f>N307/'[21]2014'!N307-1</f>
        <v>0.298491301424693</v>
      </c>
      <c r="U307" s="84">
        <f>O307/'[21]2014'!O307-1</f>
        <v>-0.0327089012702453</v>
      </c>
      <c r="V307" s="85">
        <f>P307/'[21]2014'!P307-1</f>
        <v>-0.0495920473489169</v>
      </c>
      <c r="W307" s="85">
        <f>Q307/'[21]2014'!Q307-1</f>
        <v>0.143910207945617</v>
      </c>
      <c r="X307" s="85">
        <f>R307/'[21]2014'!R307-1</f>
        <v>0.0113615320618254</v>
      </c>
      <c r="Y307" s="97">
        <v>98.83</v>
      </c>
      <c r="Z307" s="54">
        <f>P307/10000-Y307</f>
        <v>1453.5188</v>
      </c>
      <c r="AA307" s="38">
        <f>3890.092+12*(A307-"2015年6月30日")/(A307-"2015年1月1日"+1)+100*(A307-"2015年9月14日")/(A307-"2015年1月1日"+1)</f>
        <v>3909.80060927152</v>
      </c>
      <c r="AB307" s="38">
        <f>(Z307-3.38-0.6)*10000/AA307</f>
        <v>3707.44941970347</v>
      </c>
    </row>
    <row r="308" ht="15" customHeight="1" spans="1:28">
      <c r="A308" s="21">
        <v>42307</v>
      </c>
      <c r="B308" s="21" t="s">
        <v>37</v>
      </c>
      <c r="C308" s="22">
        <v>51463</v>
      </c>
      <c r="D308" s="8">
        <v>31378</v>
      </c>
      <c r="E308" s="8">
        <v>84456</v>
      </c>
      <c r="F308" s="23">
        <v>4305</v>
      </c>
      <c r="G308" s="24">
        <v>2813</v>
      </c>
      <c r="H308" s="25">
        <v>1460</v>
      </c>
      <c r="I308" s="37">
        <v>1186</v>
      </c>
      <c r="J308" s="9">
        <f t="shared" si="46"/>
        <v>53078</v>
      </c>
      <c r="K308" s="38">
        <f t="shared" si="49"/>
        <v>822</v>
      </c>
      <c r="L308" s="38">
        <v>793</v>
      </c>
      <c r="M308" s="78">
        <f t="shared" si="52"/>
        <v>1318497</v>
      </c>
      <c r="N308" s="79">
        <f t="shared" si="52"/>
        <v>983537</v>
      </c>
      <c r="O308" s="79">
        <f t="shared" si="52"/>
        <v>2352506</v>
      </c>
      <c r="P308" s="80">
        <f t="shared" si="51"/>
        <v>15574951</v>
      </c>
      <c r="Q308" s="80">
        <f t="shared" si="51"/>
        <v>8969496</v>
      </c>
      <c r="R308" s="80">
        <f t="shared" si="51"/>
        <v>25092719</v>
      </c>
      <c r="S308" s="84">
        <f>M308/'[21]2014'!M308-1</f>
        <v>-0.195251822360515</v>
      </c>
      <c r="T308" s="84">
        <f>N308/'[21]2014'!N308-1</f>
        <v>0.300850977155615</v>
      </c>
      <c r="U308" s="84">
        <f>O308/'[21]2014'!O308-1</f>
        <v>-0.0321470359295726</v>
      </c>
      <c r="V308" s="85">
        <f>P308/'[21]2014'!P308-1</f>
        <v>-0.0500422072607062</v>
      </c>
      <c r="W308" s="85">
        <f>Q308/'[21]2014'!Q308-1</f>
        <v>0.14458744651353</v>
      </c>
      <c r="X308" s="85">
        <f>R308/'[21]2014'!R308-1</f>
        <v>0.0112640052056632</v>
      </c>
      <c r="Y308" s="97"/>
      <c r="Z308" s="54"/>
      <c r="AA308" s="38"/>
      <c r="AB308" s="38"/>
    </row>
    <row r="309" s="1" customFormat="1" ht="15" customHeight="1" spans="1:32">
      <c r="A309" s="26">
        <v>42308</v>
      </c>
      <c r="B309" s="26" t="s">
        <v>38</v>
      </c>
      <c r="C309" s="27">
        <v>49634</v>
      </c>
      <c r="D309" s="28">
        <v>30887</v>
      </c>
      <c r="E309" s="28">
        <v>81862</v>
      </c>
      <c r="F309" s="29">
        <v>4160</v>
      </c>
      <c r="G309" s="30">
        <v>2792.5</v>
      </c>
      <c r="H309" s="31"/>
      <c r="I309" s="31"/>
      <c r="J309" s="43">
        <f t="shared" si="46"/>
        <v>50975</v>
      </c>
      <c r="K309" s="44">
        <f t="shared" si="49"/>
        <v>548</v>
      </c>
      <c r="L309" s="44">
        <v>793</v>
      </c>
      <c r="M309" s="91">
        <f t="shared" si="52"/>
        <v>1368131</v>
      </c>
      <c r="N309" s="92">
        <f t="shared" si="52"/>
        <v>1014424</v>
      </c>
      <c r="O309" s="92">
        <f t="shared" si="52"/>
        <v>2434368</v>
      </c>
      <c r="P309" s="91">
        <f t="shared" si="51"/>
        <v>15624585</v>
      </c>
      <c r="Q309" s="91">
        <f t="shared" si="51"/>
        <v>9000383</v>
      </c>
      <c r="R309" s="91">
        <f t="shared" si="51"/>
        <v>25174581</v>
      </c>
      <c r="S309" s="93">
        <f>M309/'[21]2014'!M309-1</f>
        <v>-0.194774658547696</v>
      </c>
      <c r="T309" s="93">
        <f>N309/'[21]2014'!N309-1</f>
        <v>0.302351855204085</v>
      </c>
      <c r="U309" s="93">
        <f>O309/'[21]2014'!O309-1</f>
        <v>-0.0322062798488816</v>
      </c>
      <c r="V309" s="93">
        <f>P309/'[21]2014'!P309-1</f>
        <v>-0.0505366721948675</v>
      </c>
      <c r="W309" s="93">
        <f>Q309/'[21]2014'!Q309-1</f>
        <v>0.145190414477034</v>
      </c>
      <c r="X309" s="93">
        <f>R309/'[21]2014'!R309-1</f>
        <v>0.0111102795257256</v>
      </c>
      <c r="Y309" s="102">
        <v>100.4857</v>
      </c>
      <c r="Z309" s="56">
        <f>P309/10000-Y309</f>
        <v>1461.9728</v>
      </c>
      <c r="AA309" s="44">
        <f>3890.092+12*(A309-"2015年6月30日")/(A309-"2015年1月1日"+1)+100*(A309-"2015年9月14日")/(A309-"2015年1月1日"+1)</f>
        <v>3910.40778947368</v>
      </c>
      <c r="AB309" s="44">
        <f>(Z309-3.38-0.79)*10000/AA309</f>
        <v>3728.00709921921</v>
      </c>
      <c r="AC309" s="67"/>
      <c r="AD309" s="2"/>
      <c r="AF309" s="2"/>
    </row>
    <row r="310" ht="15" customHeight="1" spans="1:28">
      <c r="A310" s="21">
        <v>42309</v>
      </c>
      <c r="B310" s="21" t="s">
        <v>1</v>
      </c>
      <c r="C310" s="22">
        <v>43465</v>
      </c>
      <c r="D310" s="8">
        <f>22095+8611</f>
        <v>30706</v>
      </c>
      <c r="E310" s="8">
        <v>75333</v>
      </c>
      <c r="F310" s="23">
        <v>3669.6</v>
      </c>
      <c r="G310" s="24">
        <v>2721.3</v>
      </c>
      <c r="H310" s="25"/>
      <c r="I310" s="37"/>
      <c r="J310" s="9">
        <f t="shared" si="46"/>
        <v>44627</v>
      </c>
      <c r="K310" s="38">
        <f t="shared" si="49"/>
        <v>371</v>
      </c>
      <c r="L310" s="38">
        <v>791</v>
      </c>
      <c r="M310" s="78">
        <f>C310</f>
        <v>43465</v>
      </c>
      <c r="N310" s="79">
        <f>D310</f>
        <v>30706</v>
      </c>
      <c r="O310" s="79">
        <f>E310</f>
        <v>75333</v>
      </c>
      <c r="P310" s="80">
        <f>P$309+M310</f>
        <v>15668050</v>
      </c>
      <c r="Q310" s="80">
        <f>Q$309+N310</f>
        <v>9031089</v>
      </c>
      <c r="R310" s="80">
        <f>R$309+O310</f>
        <v>25249914</v>
      </c>
      <c r="S310" s="84">
        <f>M310/'[21]2014'!M310-1</f>
        <v>-0.193644138545164</v>
      </c>
      <c r="T310" s="84">
        <f>N310/'[21]2014'!N310-1</f>
        <v>0.205149338671063</v>
      </c>
      <c r="U310" s="84">
        <f>O310/'[21]2014'!O310-1</f>
        <v>-0.0634650289664089</v>
      </c>
      <c r="V310" s="85">
        <f>P310/'[21]2014'!P310-1</f>
        <v>-0.0510038957292344</v>
      </c>
      <c r="W310" s="85">
        <f>Q310/'[21]2014'!Q310-1</f>
        <v>0.145384166954299</v>
      </c>
      <c r="X310" s="85">
        <f>R310/'[21]2014'!R310-1</f>
        <v>0.0108701244441369</v>
      </c>
      <c r="Y310" s="97"/>
      <c r="Z310" s="56"/>
      <c r="AA310" s="44"/>
      <c r="AB310" s="44"/>
    </row>
    <row r="311" ht="15" customHeight="1" spans="1:28">
      <c r="A311" s="21">
        <v>42310</v>
      </c>
      <c r="B311" s="21" t="s">
        <v>39</v>
      </c>
      <c r="C311" s="22">
        <v>48792</v>
      </c>
      <c r="D311" s="8">
        <f>22614+8418</f>
        <v>31032</v>
      </c>
      <c r="E311" s="8">
        <v>80868</v>
      </c>
      <c r="F311" s="23">
        <v>4144.8</v>
      </c>
      <c r="G311" s="24">
        <v>2522.7</v>
      </c>
      <c r="H311" s="25"/>
      <c r="I311" s="37"/>
      <c r="J311" s="9">
        <f t="shared" si="46"/>
        <v>49836</v>
      </c>
      <c r="K311" s="38">
        <f t="shared" si="49"/>
        <v>302</v>
      </c>
      <c r="L311" s="38">
        <v>742</v>
      </c>
      <c r="M311" s="78">
        <f t="shared" ref="M311:O326" si="53">C311+M310</f>
        <v>92257</v>
      </c>
      <c r="N311" s="79">
        <f t="shared" si="53"/>
        <v>61738</v>
      </c>
      <c r="O311" s="79">
        <f t="shared" si="53"/>
        <v>156201</v>
      </c>
      <c r="P311" s="80">
        <f t="shared" ref="P311:R339" si="54">P$309+M311</f>
        <v>15716842</v>
      </c>
      <c r="Q311" s="80">
        <f t="shared" si="54"/>
        <v>9062121</v>
      </c>
      <c r="R311" s="80">
        <f t="shared" si="54"/>
        <v>25330782</v>
      </c>
      <c r="S311" s="84">
        <f>M311/'[21]2014'!M311-1</f>
        <v>-0.115837997393238</v>
      </c>
      <c r="T311" s="84">
        <f>N311/'[21]2014'!N311-1</f>
        <v>0.22537363793343</v>
      </c>
      <c r="U311" s="84">
        <f>O311/'[21]2014'!O311-1</f>
        <v>-0.00474685560638688</v>
      </c>
      <c r="V311" s="85">
        <f>P311/'[21]2014'!P311-1</f>
        <v>-0.0509481194248604</v>
      </c>
      <c r="W311" s="85">
        <f>Q311/'[21]2014'!Q311-1</f>
        <v>0.145701165250521</v>
      </c>
      <c r="X311" s="85">
        <f>R311/'[21]2014'!R311-1</f>
        <v>0.0110109491129144</v>
      </c>
      <c r="Y311" s="97"/>
      <c r="Z311" s="56"/>
      <c r="AA311" s="44"/>
      <c r="AB311" s="44"/>
    </row>
    <row r="312" ht="15" customHeight="1" spans="1:32">
      <c r="A312" s="21">
        <v>42311</v>
      </c>
      <c r="B312" s="15" t="s">
        <v>34</v>
      </c>
      <c r="C312" s="16">
        <v>53766</v>
      </c>
      <c r="D312" s="17">
        <f>20567+8592</f>
        <v>29159</v>
      </c>
      <c r="E312" s="17">
        <v>84183</v>
      </c>
      <c r="F312" s="18">
        <v>4260.2</v>
      </c>
      <c r="G312" s="19">
        <v>2791.1</v>
      </c>
      <c r="H312" s="20"/>
      <c r="I312" s="20"/>
      <c r="J312" s="33">
        <f t="shared" si="46"/>
        <v>55024</v>
      </c>
      <c r="K312" s="34">
        <f t="shared" si="49"/>
        <v>466</v>
      </c>
      <c r="L312" s="34">
        <v>792</v>
      </c>
      <c r="M312" s="81">
        <f t="shared" si="53"/>
        <v>146023</v>
      </c>
      <c r="N312" s="82">
        <f t="shared" si="53"/>
        <v>90897</v>
      </c>
      <c r="O312" s="82">
        <f t="shared" si="53"/>
        <v>240384</v>
      </c>
      <c r="P312" s="81">
        <f t="shared" si="54"/>
        <v>15770608</v>
      </c>
      <c r="Q312" s="81">
        <f t="shared" si="54"/>
        <v>9091280</v>
      </c>
      <c r="R312" s="81">
        <f t="shared" si="54"/>
        <v>25414965</v>
      </c>
      <c r="S312" s="86">
        <f>M312/'[21]2014'!M312-1</f>
        <v>-0.092810725512854</v>
      </c>
      <c r="T312" s="86">
        <f>N312/'[21]2014'!N312-1</f>
        <v>0.213659122771881</v>
      </c>
      <c r="U312" s="86">
        <f>O312/'[21]2014'!O312-1</f>
        <v>0.00493722904813065</v>
      </c>
      <c r="V312" s="86">
        <f>P312/'[21]2014'!P312-1</f>
        <v>-0.0509461587669154</v>
      </c>
      <c r="W312" s="86">
        <f>Q312/'[21]2014'!Q312-1</f>
        <v>0.14583672713938</v>
      </c>
      <c r="X312" s="86">
        <f>R312/'[21]2014'!R312-1</f>
        <v>0.0110515373229265</v>
      </c>
      <c r="Y312" s="100">
        <f>(Y314-Y309)/5*3+Y309</f>
        <v>102.40828</v>
      </c>
      <c r="Z312" s="56">
        <f t="shared" ref="Z312" si="55">P312/10000-Y312</f>
        <v>1474.65252</v>
      </c>
      <c r="AA312" s="44">
        <f t="shared" ref="AA312" si="56">3890.092+12*(A312-"2015年6月30日")/(A312-"2015年1月1日"+1)+100*(A312-"2015年9月14日")/(A312-"2015年1月1日"+1)</f>
        <v>3911.30372638437</v>
      </c>
      <c r="AB312" s="44">
        <f>(Z312-3.38-0.79)*10000/AA312</f>
        <v>3759.57129097546</v>
      </c>
      <c r="AC312" s="67">
        <f t="shared" ref="AC312" si="57">AC305+SUM(K306:K312)/10000</f>
        <v>34.1121</v>
      </c>
      <c r="AD312" s="2">
        <f t="shared" ref="AD312" si="58">AD305+SUM(L306:L312)/10000</f>
        <v>21.1952</v>
      </c>
      <c r="AF312" s="2">
        <f t="shared" ref="AF312" si="59">AF305+SUM(J306:J312)/10000</f>
        <v>1632.3685</v>
      </c>
    </row>
    <row r="313" ht="15" customHeight="1" spans="1:28">
      <c r="A313" s="21">
        <v>42312</v>
      </c>
      <c r="B313" s="21" t="s">
        <v>35</v>
      </c>
      <c r="C313" s="70">
        <v>55349</v>
      </c>
      <c r="D313" s="71">
        <f>19511+8430</f>
        <v>27941</v>
      </c>
      <c r="E313" s="71">
        <v>84811</v>
      </c>
      <c r="F313" s="72">
        <v>4365.6</v>
      </c>
      <c r="G313" s="73">
        <v>2838.9</v>
      </c>
      <c r="H313" s="25">
        <v>1443</v>
      </c>
      <c r="I313" s="25">
        <v>884</v>
      </c>
      <c r="J313" s="74">
        <f t="shared" si="46"/>
        <v>56870</v>
      </c>
      <c r="K313" s="75">
        <f t="shared" si="49"/>
        <v>729</v>
      </c>
      <c r="L313" s="75">
        <v>792</v>
      </c>
      <c r="M313" s="76">
        <f t="shared" si="53"/>
        <v>201372</v>
      </c>
      <c r="N313" s="77">
        <f t="shared" si="53"/>
        <v>118838</v>
      </c>
      <c r="O313" s="77">
        <f t="shared" si="53"/>
        <v>325195</v>
      </c>
      <c r="P313" s="76">
        <f t="shared" si="54"/>
        <v>15825957</v>
      </c>
      <c r="Q313" s="76">
        <f t="shared" si="54"/>
        <v>9119221</v>
      </c>
      <c r="R313" s="76">
        <f t="shared" si="54"/>
        <v>25499776</v>
      </c>
      <c r="S313" s="83">
        <f>M313/'[21]2014'!M313-1</f>
        <v>-0.103012053559497</v>
      </c>
      <c r="T313" s="83">
        <f>N313/'[21]2014'!N313-1</f>
        <v>0.246635265979208</v>
      </c>
      <c r="U313" s="83">
        <f>O313/'[21]2014'!O313-1</f>
        <v>0.00284946850011258</v>
      </c>
      <c r="V313" s="83">
        <f>P313/'[21]2014'!P313-1</f>
        <v>-0.0512429135278645</v>
      </c>
      <c r="W313" s="83">
        <f>Q313/'[21]2014'!Q313-1</f>
        <v>0.146406115241382</v>
      </c>
      <c r="X313" s="83">
        <f>R313/'[21]2014'!R313-1</f>
        <v>0.011004073944896</v>
      </c>
      <c r="Y313" s="89"/>
      <c r="Z313" s="101"/>
      <c r="AA313" s="89"/>
      <c r="AB313" s="75"/>
    </row>
    <row r="314" ht="15" customHeight="1" spans="1:28">
      <c r="A314" s="21">
        <v>42313</v>
      </c>
      <c r="B314" s="21" t="s">
        <v>36</v>
      </c>
      <c r="C314" s="22">
        <v>55081</v>
      </c>
      <c r="D314" s="8">
        <f>18356+8317</f>
        <v>26673</v>
      </c>
      <c r="E314" s="8">
        <v>83885</v>
      </c>
      <c r="F314" s="23">
        <v>4292.2</v>
      </c>
      <c r="G314" s="24">
        <v>2840.6</v>
      </c>
      <c r="H314" s="25">
        <v>1480</v>
      </c>
      <c r="I314" s="37">
        <v>809</v>
      </c>
      <c r="J314" s="9">
        <f t="shared" si="46"/>
        <v>57212</v>
      </c>
      <c r="K314" s="38">
        <f t="shared" si="49"/>
        <v>1340</v>
      </c>
      <c r="L314" s="38">
        <v>791</v>
      </c>
      <c r="M314" s="78">
        <f t="shared" si="53"/>
        <v>256453</v>
      </c>
      <c r="N314" s="79">
        <f t="shared" si="53"/>
        <v>145511</v>
      </c>
      <c r="O314" s="79">
        <f t="shared" si="53"/>
        <v>409080</v>
      </c>
      <c r="P314" s="80">
        <f t="shared" si="54"/>
        <v>15881038</v>
      </c>
      <c r="Q314" s="80">
        <f t="shared" si="54"/>
        <v>9145894</v>
      </c>
      <c r="R314" s="80">
        <f t="shared" si="54"/>
        <v>25583661</v>
      </c>
      <c r="S314" s="84">
        <f>M314/'[21]2014'!M314-1</f>
        <v>-0.110782481458237</v>
      </c>
      <c r="T314" s="84">
        <f>N314/'[21]2014'!N314-1</f>
        <v>0.259955493596793</v>
      </c>
      <c r="U314" s="84">
        <f>O314/'[21]2014'!O314-1</f>
        <v>-0.00094025130353026</v>
      </c>
      <c r="V314" s="85">
        <f>P314/'[21]2014'!P314-1</f>
        <v>-0.0515743225395651</v>
      </c>
      <c r="W314" s="85">
        <f>Q314/'[21]2014'!Q314-1</f>
        <v>0.146852417280304</v>
      </c>
      <c r="X314" s="85">
        <f>R314/'[21]2014'!R314-1</f>
        <v>0.0109153062699088</v>
      </c>
      <c r="Y314" s="97">
        <v>103.69</v>
      </c>
      <c r="Z314" s="54">
        <f>P314/10000-Y314</f>
        <v>1484.4138</v>
      </c>
      <c r="AA314" s="38">
        <f>3890.092+12*(A314-"2015年6月30日")/(A314-"2015年1月1日"+1)+100*(A314-"2015年9月14日")/(A314-"2015年1月1日"+1)</f>
        <v>3911.89135275081</v>
      </c>
      <c r="AB314" s="38">
        <f>(Z314-3.38-0.79)*10000/AA314</f>
        <v>3783.95938567953</v>
      </c>
    </row>
    <row r="315" ht="15" customHeight="1" spans="1:28">
      <c r="A315" s="21">
        <v>42314</v>
      </c>
      <c r="B315" s="21" t="s">
        <v>37</v>
      </c>
      <c r="C315" s="22">
        <v>57125</v>
      </c>
      <c r="D315" s="8">
        <v>26000</v>
      </c>
      <c r="E315" s="8">
        <v>83930</v>
      </c>
      <c r="F315" s="23">
        <v>4320.6</v>
      </c>
      <c r="G315" s="24">
        <v>2816.9</v>
      </c>
      <c r="H315" s="25">
        <v>1420</v>
      </c>
      <c r="I315" s="37">
        <v>778</v>
      </c>
      <c r="J315" s="9">
        <f t="shared" si="46"/>
        <v>57930</v>
      </c>
      <c r="K315" s="38">
        <f t="shared" si="49"/>
        <v>15</v>
      </c>
      <c r="L315" s="38">
        <v>790</v>
      </c>
      <c r="M315" s="78">
        <f t="shared" si="53"/>
        <v>313578</v>
      </c>
      <c r="N315" s="79">
        <f t="shared" si="53"/>
        <v>171511</v>
      </c>
      <c r="O315" s="79">
        <f t="shared" si="53"/>
        <v>493010</v>
      </c>
      <c r="P315" s="80">
        <f t="shared" si="54"/>
        <v>15938163</v>
      </c>
      <c r="Q315" s="80">
        <f t="shared" si="54"/>
        <v>9171894</v>
      </c>
      <c r="R315" s="80">
        <f t="shared" si="54"/>
        <v>25667591</v>
      </c>
      <c r="S315" s="84">
        <f>M315/'[21]2014'!M315-1</f>
        <v>-0.110545708280504</v>
      </c>
      <c r="T315" s="84">
        <f>N315/'[21]2014'!N315-1</f>
        <v>0.262521347388257</v>
      </c>
      <c r="U315" s="84">
        <f>O315/'[21]2014'!O315-1</f>
        <v>-0.00440235061289607</v>
      </c>
      <c r="V315" s="85">
        <f>P315/'[21]2014'!P315-1</f>
        <v>-0.0517953148173345</v>
      </c>
      <c r="W315" s="85">
        <f>Q315/'[21]2014'!Q315-1</f>
        <v>0.147184022788851</v>
      </c>
      <c r="X315" s="85">
        <f>R315/'[21]2014'!R315-1</f>
        <v>0.0108077688090542</v>
      </c>
      <c r="Y315" s="97"/>
      <c r="Z315" s="54"/>
      <c r="AA315" s="38"/>
      <c r="AB315" s="38"/>
    </row>
    <row r="316" ht="15" customHeight="1" spans="1:28">
      <c r="A316" s="21">
        <v>42315</v>
      </c>
      <c r="B316" s="21" t="s">
        <v>38</v>
      </c>
      <c r="C316" s="22">
        <v>56087</v>
      </c>
      <c r="D316" s="8">
        <v>26749</v>
      </c>
      <c r="E316" s="8">
        <v>83957</v>
      </c>
      <c r="F316" s="23">
        <v>4254.7</v>
      </c>
      <c r="G316" s="24">
        <v>2838.1</v>
      </c>
      <c r="H316" s="25">
        <v>1350</v>
      </c>
      <c r="I316" s="37">
        <v>827</v>
      </c>
      <c r="J316" s="9">
        <f t="shared" si="46"/>
        <v>57208</v>
      </c>
      <c r="K316" s="38">
        <f t="shared" si="49"/>
        <v>332</v>
      </c>
      <c r="L316" s="38">
        <v>789</v>
      </c>
      <c r="M316" s="78">
        <f t="shared" si="53"/>
        <v>369665</v>
      </c>
      <c r="N316" s="79">
        <f t="shared" si="53"/>
        <v>198260</v>
      </c>
      <c r="O316" s="79">
        <f t="shared" si="53"/>
        <v>576967</v>
      </c>
      <c r="P316" s="80">
        <f t="shared" si="54"/>
        <v>15994250</v>
      </c>
      <c r="Q316" s="80">
        <f t="shared" si="54"/>
        <v>9198643</v>
      </c>
      <c r="R316" s="80">
        <f t="shared" si="54"/>
        <v>25751548</v>
      </c>
      <c r="S316" s="84">
        <f>M316/'[21]2014'!M316-1</f>
        <v>-0.111964984517372</v>
      </c>
      <c r="T316" s="84">
        <f>N316/'[21]2014'!N316-1</f>
        <v>0.262665825993364</v>
      </c>
      <c r="U316" s="84">
        <f>O316/'[21]2014'!O316-1</f>
        <v>-0.00760592305667973</v>
      </c>
      <c r="V316" s="85">
        <f>P316/'[21]2014'!P316-1</f>
        <v>-0.0520522120579516</v>
      </c>
      <c r="W316" s="85">
        <f>Q316/'[21]2014'!Q316-1</f>
        <v>0.147491428876877</v>
      </c>
      <c r="X316" s="85">
        <f>R316/'[21]2014'!R316-1</f>
        <v>0.0106832122850113</v>
      </c>
      <c r="Y316" s="97"/>
      <c r="Z316" s="54"/>
      <c r="AA316" s="38"/>
      <c r="AB316" s="38"/>
    </row>
    <row r="317" ht="15" customHeight="1" spans="1:28">
      <c r="A317" s="21">
        <v>42316</v>
      </c>
      <c r="B317" s="21" t="s">
        <v>1</v>
      </c>
      <c r="C317" s="22">
        <v>51103</v>
      </c>
      <c r="D317" s="8">
        <f>16337+7766</f>
        <v>24103</v>
      </c>
      <c r="E317" s="8">
        <v>78661</v>
      </c>
      <c r="F317" s="23">
        <v>3939</v>
      </c>
      <c r="G317" s="24">
        <v>2780</v>
      </c>
      <c r="H317" s="25">
        <v>1300</v>
      </c>
      <c r="I317" s="37">
        <v>896</v>
      </c>
      <c r="J317" s="9">
        <f t="shared" si="46"/>
        <v>54558</v>
      </c>
      <c r="K317" s="38">
        <f t="shared" si="49"/>
        <v>2665</v>
      </c>
      <c r="L317" s="38">
        <v>790</v>
      </c>
      <c r="M317" s="78">
        <f t="shared" si="53"/>
        <v>420768</v>
      </c>
      <c r="N317" s="79">
        <f t="shared" si="53"/>
        <v>222363</v>
      </c>
      <c r="O317" s="79">
        <f t="shared" si="53"/>
        <v>655628</v>
      </c>
      <c r="P317" s="80">
        <f t="shared" si="54"/>
        <v>16045353</v>
      </c>
      <c r="Q317" s="80">
        <f t="shared" si="54"/>
        <v>9222746</v>
      </c>
      <c r="R317" s="80">
        <f t="shared" si="54"/>
        <v>25830209</v>
      </c>
      <c r="S317" s="84">
        <f>M317/'[21]2014'!M317-1</f>
        <v>-0.123451132017299</v>
      </c>
      <c r="T317" s="84">
        <f>N317/'[21]2014'!N317-1</f>
        <v>0.252615213019451</v>
      </c>
      <c r="U317" s="84">
        <f>O317/'[21]2014'!O317-1</f>
        <v>-0.0168667038549896</v>
      </c>
      <c r="V317" s="85">
        <f>P317/'[21]2014'!P317-1</f>
        <v>-0.0526033026425675</v>
      </c>
      <c r="W317" s="85">
        <f>Q317/'[21]2014'!Q317-1</f>
        <v>0.147563239810927</v>
      </c>
      <c r="X317" s="85">
        <f>R317/'[21]2014'!R317-1</f>
        <v>0.0103804809686121</v>
      </c>
      <c r="Y317" s="97"/>
      <c r="Z317" s="54"/>
      <c r="AA317" s="38"/>
      <c r="AB317" s="38"/>
    </row>
    <row r="318" ht="15" customHeight="1" spans="1:28">
      <c r="A318" s="21">
        <v>42317</v>
      </c>
      <c r="B318" s="21" t="s">
        <v>39</v>
      </c>
      <c r="C318" s="22">
        <v>54795</v>
      </c>
      <c r="D318" s="8">
        <v>26894</v>
      </c>
      <c r="E318" s="8">
        <v>82529</v>
      </c>
      <c r="F318" s="23">
        <v>4253</v>
      </c>
      <c r="G318" s="24">
        <v>2570</v>
      </c>
      <c r="H318" s="25">
        <v>1322</v>
      </c>
      <c r="I318" s="37">
        <v>878</v>
      </c>
      <c r="J318" s="9">
        <f t="shared" si="46"/>
        <v>55635</v>
      </c>
      <c r="K318" s="38">
        <f t="shared" si="49"/>
        <v>50</v>
      </c>
      <c r="L318" s="38">
        <v>790</v>
      </c>
      <c r="M318" s="78">
        <f t="shared" si="53"/>
        <v>475563</v>
      </c>
      <c r="N318" s="79">
        <f t="shared" si="53"/>
        <v>249257</v>
      </c>
      <c r="O318" s="79">
        <f t="shared" si="53"/>
        <v>738157</v>
      </c>
      <c r="P318" s="80">
        <f t="shared" si="54"/>
        <v>16100148</v>
      </c>
      <c r="Q318" s="80">
        <f t="shared" si="54"/>
        <v>9249640</v>
      </c>
      <c r="R318" s="80">
        <f t="shared" si="54"/>
        <v>25912738</v>
      </c>
      <c r="S318" s="84">
        <f>M318/'[21]2014'!M318-1</f>
        <v>-0.120285688916513</v>
      </c>
      <c r="T318" s="84">
        <f>N318/'[21]2014'!N318-1</f>
        <v>0.269840542055122</v>
      </c>
      <c r="U318" s="84">
        <f>O318/'[21]2014'!O318-1</f>
        <v>-0.0124184047126253</v>
      </c>
      <c r="V318" s="85">
        <f>P318/'[21]2014'!P318-1</f>
        <v>-0.0527550571824746</v>
      </c>
      <c r="W318" s="85">
        <f>Q318/'[21]2014'!Q318-1</f>
        <v>0.148227759405763</v>
      </c>
      <c r="X318" s="85">
        <f>R318/'[21]2014'!R318-1</f>
        <v>0.0104245324342074</v>
      </c>
      <c r="Y318" s="97"/>
      <c r="Z318" s="54"/>
      <c r="AA318" s="38"/>
      <c r="AB318" s="38"/>
    </row>
    <row r="319" ht="15" customHeight="1" spans="1:32">
      <c r="A319" s="21">
        <v>42318</v>
      </c>
      <c r="B319" s="15" t="s">
        <v>34</v>
      </c>
      <c r="C319" s="16">
        <v>55665</v>
      </c>
      <c r="D319" s="17">
        <v>26731</v>
      </c>
      <c r="E319" s="17">
        <v>83738</v>
      </c>
      <c r="F319" s="18">
        <v>4256</v>
      </c>
      <c r="G319" s="19">
        <v>2767</v>
      </c>
      <c r="H319" s="20"/>
      <c r="I319" s="20"/>
      <c r="J319" s="33">
        <f t="shared" si="46"/>
        <v>57007</v>
      </c>
      <c r="K319" s="34">
        <f t="shared" si="49"/>
        <v>552</v>
      </c>
      <c r="L319" s="34">
        <v>790</v>
      </c>
      <c r="M319" s="81">
        <f t="shared" si="53"/>
        <v>531228</v>
      </c>
      <c r="N319" s="82">
        <f t="shared" si="53"/>
        <v>275988</v>
      </c>
      <c r="O319" s="82">
        <f t="shared" si="53"/>
        <v>821895</v>
      </c>
      <c r="P319" s="81">
        <f t="shared" si="54"/>
        <v>16155813</v>
      </c>
      <c r="Q319" s="81">
        <f t="shared" si="54"/>
        <v>9276371</v>
      </c>
      <c r="R319" s="81">
        <f t="shared" si="54"/>
        <v>25996476</v>
      </c>
      <c r="S319" s="86">
        <f>M319/'[21]2014'!M319-1</f>
        <v>-0.121987984166205</v>
      </c>
      <c r="T319" s="86">
        <f>N319/'[21]2014'!N319-1</f>
        <v>0.278124594779838</v>
      </c>
      <c r="U319" s="86">
        <f>O319/'[21]2014'!O319-1</f>
        <v>-0.0136557722909871</v>
      </c>
      <c r="V319" s="86">
        <f>P319/'[21]2014'!P319-1</f>
        <v>-0.053070561358208</v>
      </c>
      <c r="W319" s="86">
        <f>Q319/'[21]2014'!Q319-1</f>
        <v>0.148745083958378</v>
      </c>
      <c r="X319" s="86">
        <f>R319/'[21]2014'!R319-1</f>
        <v>0.0103082616791621</v>
      </c>
      <c r="Y319" s="100">
        <v>105.74</v>
      </c>
      <c r="Z319" s="53">
        <f>P319/10000-Y319</f>
        <v>1509.8413</v>
      </c>
      <c r="AA319" s="34">
        <f>3890.092+12*(A319-"2015年6月30日")/(A319-"2015年1月1日"+1)+100*(A319-"2015年9月14日")/(A319-"2015年1月1日"+1)</f>
        <v>3913.32766878981</v>
      </c>
      <c r="AB319" s="34">
        <f>(Z319-3.98-1.98)*10000/AA319</f>
        <v>3842.9731095456</v>
      </c>
      <c r="AC319" s="67">
        <f t="shared" ref="AC319" si="60">AC312+SUM(K313:K319)/10000</f>
        <v>34.6804</v>
      </c>
      <c r="AD319" s="2">
        <f t="shared" ref="AD319" si="61">AD312+SUM(L313:L319)/10000</f>
        <v>21.7484</v>
      </c>
      <c r="AF319" s="2">
        <f t="shared" ref="AF319" si="62">AF312+SUM(J313:J319)/10000</f>
        <v>1672.0105</v>
      </c>
    </row>
    <row r="320" ht="15" customHeight="1" spans="1:28">
      <c r="A320" s="21">
        <v>42319</v>
      </c>
      <c r="B320" s="21" t="s">
        <v>35</v>
      </c>
      <c r="C320" s="70">
        <v>56664</v>
      </c>
      <c r="D320" s="71">
        <v>26209</v>
      </c>
      <c r="E320" s="71">
        <v>84098</v>
      </c>
      <c r="F320" s="72">
        <v>4278</v>
      </c>
      <c r="G320" s="73">
        <v>2821</v>
      </c>
      <c r="H320" s="25"/>
      <c r="I320" s="25"/>
      <c r="J320" s="74">
        <f t="shared" si="46"/>
        <v>57889</v>
      </c>
      <c r="K320" s="75">
        <f t="shared" si="49"/>
        <v>435</v>
      </c>
      <c r="L320" s="75">
        <v>790</v>
      </c>
      <c r="M320" s="76">
        <f t="shared" si="53"/>
        <v>587892</v>
      </c>
      <c r="N320" s="77">
        <f t="shared" si="53"/>
        <v>302197</v>
      </c>
      <c r="O320" s="77">
        <f t="shared" si="53"/>
        <v>905993</v>
      </c>
      <c r="P320" s="76">
        <f t="shared" si="54"/>
        <v>16212477</v>
      </c>
      <c r="Q320" s="76">
        <f t="shared" si="54"/>
        <v>9302580</v>
      </c>
      <c r="R320" s="76">
        <f t="shared" si="54"/>
        <v>26080574</v>
      </c>
      <c r="S320" s="83">
        <f>M320/'[21]2014'!M320-1</f>
        <v>-0.128549257129643</v>
      </c>
      <c r="T320" s="83">
        <f>N320/'[21]2014'!N320-1</f>
        <v>0.304175387868718</v>
      </c>
      <c r="U320" s="83">
        <f>O320/'[21]2014'!O320-1</f>
        <v>-0.0158165798166972</v>
      </c>
      <c r="V320" s="83">
        <f>P320/'[21]2014'!P320-1</f>
        <v>-0.0536088099819501</v>
      </c>
      <c r="W320" s="83">
        <f>Q320/'[21]2014'!Q320-1</f>
        <v>0.149743520721068</v>
      </c>
      <c r="X320" s="83">
        <f>R320/'[21]2014'!R320-1</f>
        <v>0.0101502086135237</v>
      </c>
      <c r="Y320" s="89"/>
      <c r="Z320" s="101"/>
      <c r="AA320" s="89"/>
      <c r="AB320" s="75"/>
    </row>
    <row r="321" ht="15" customHeight="1" spans="1:28">
      <c r="A321" s="21">
        <v>42320</v>
      </c>
      <c r="B321" s="21" t="s">
        <v>36</v>
      </c>
      <c r="C321" s="22">
        <v>56641</v>
      </c>
      <c r="D321" s="8">
        <v>26372</v>
      </c>
      <c r="E321" s="8">
        <v>84756</v>
      </c>
      <c r="F321" s="23">
        <v>4325</v>
      </c>
      <c r="G321" s="24">
        <v>2818</v>
      </c>
      <c r="H321" s="25"/>
      <c r="I321" s="37"/>
      <c r="J321" s="9">
        <f t="shared" ref="J321:J370" si="63">E321-D321</f>
        <v>58384</v>
      </c>
      <c r="K321" s="38">
        <f t="shared" si="49"/>
        <v>953</v>
      </c>
      <c r="L321" s="38">
        <v>790</v>
      </c>
      <c r="M321" s="78">
        <f t="shared" si="53"/>
        <v>644533</v>
      </c>
      <c r="N321" s="79">
        <f t="shared" si="53"/>
        <v>328569</v>
      </c>
      <c r="O321" s="79">
        <f t="shared" si="53"/>
        <v>990749</v>
      </c>
      <c r="P321" s="80">
        <f t="shared" si="54"/>
        <v>16269118</v>
      </c>
      <c r="Q321" s="80">
        <f t="shared" si="54"/>
        <v>9328952</v>
      </c>
      <c r="R321" s="80">
        <f t="shared" si="54"/>
        <v>26165330</v>
      </c>
      <c r="S321" s="84">
        <f>M321/'[21]2014'!M321-1</f>
        <v>-0.133912218535883</v>
      </c>
      <c r="T321" s="84">
        <f>N321/'[21]2014'!N321-1</f>
        <v>0.329033588971944</v>
      </c>
      <c r="U321" s="84">
        <f>O321/'[21]2014'!O321-1</f>
        <v>-0.0162288884939127</v>
      </c>
      <c r="V321" s="85">
        <f>P321/'[21]2014'!P321-1</f>
        <v>-0.054143978020998</v>
      </c>
      <c r="W321" s="85">
        <f>Q321/'[21]2014'!Q321-1</f>
        <v>0.150797072008823</v>
      </c>
      <c r="X321" s="85">
        <f>R321/'[21]2014'!R321-1</f>
        <v>0.0100474333253699</v>
      </c>
      <c r="Y321" s="97">
        <v>106.84</v>
      </c>
      <c r="Z321" s="54">
        <f>P321/10000-Y321</f>
        <v>1520.0718</v>
      </c>
      <c r="AA321" s="38">
        <f>3890.092+12*(A321-"2015年6月30日")/(A321-"2015年1月1日"+1)+100*(A321-"2015年9月14日")/(A321-"2015年1月1日"+1)</f>
        <v>3913.88946835443</v>
      </c>
      <c r="AB321" s="38">
        <f>(Z321-4.46-1.98)*10000/AA321</f>
        <v>3867.33404772516</v>
      </c>
    </row>
    <row r="322" ht="15" customHeight="1" spans="1:28">
      <c r="A322" s="21">
        <v>42321</v>
      </c>
      <c r="B322" s="21" t="s">
        <v>37</v>
      </c>
      <c r="C322" s="22">
        <v>57076</v>
      </c>
      <c r="D322" s="8">
        <v>24618</v>
      </c>
      <c r="E322" s="8">
        <v>82787</v>
      </c>
      <c r="F322" s="23">
        <v>4228</v>
      </c>
      <c r="G322" s="24">
        <v>2749</v>
      </c>
      <c r="H322" s="25"/>
      <c r="I322" s="37"/>
      <c r="J322" s="9">
        <f t="shared" si="63"/>
        <v>58169</v>
      </c>
      <c r="K322" s="38">
        <f t="shared" si="49"/>
        <v>303</v>
      </c>
      <c r="L322" s="38">
        <v>790</v>
      </c>
      <c r="M322" s="78">
        <f t="shared" si="53"/>
        <v>701609</v>
      </c>
      <c r="N322" s="79">
        <f t="shared" si="53"/>
        <v>353187</v>
      </c>
      <c r="O322" s="79">
        <f t="shared" si="53"/>
        <v>1073536</v>
      </c>
      <c r="P322" s="80">
        <f t="shared" si="54"/>
        <v>16326194</v>
      </c>
      <c r="Q322" s="80">
        <f t="shared" si="54"/>
        <v>9353570</v>
      </c>
      <c r="R322" s="80">
        <f t="shared" si="54"/>
        <v>26248117</v>
      </c>
      <c r="S322" s="84">
        <f>M322/'[21]2014'!M322-1</f>
        <v>-0.138459857115842</v>
      </c>
      <c r="T322" s="84">
        <f>N322/'[21]2014'!N322-1</f>
        <v>0.343248331336642</v>
      </c>
      <c r="U322" s="84">
        <f>O322/'[21]2014'!O322-1</f>
        <v>-0.0189217914517917</v>
      </c>
      <c r="V322" s="85">
        <f>P322/'[21]2014'!P322-1</f>
        <v>-0.0546825430555544</v>
      </c>
      <c r="W322" s="85">
        <f>Q322/'[21]2014'!Q322-1</f>
        <v>0.151602002628713</v>
      </c>
      <c r="X322" s="85">
        <f>R322/'[21]2014'!R322-1</f>
        <v>0.00984596465494936</v>
      </c>
      <c r="Y322" s="97"/>
      <c r="Z322" s="54"/>
      <c r="AA322" s="38"/>
      <c r="AB322" s="38"/>
    </row>
    <row r="323" ht="15" customHeight="1" spans="1:28">
      <c r="A323" s="21">
        <v>42322</v>
      </c>
      <c r="B323" s="21" t="s">
        <v>38</v>
      </c>
      <c r="C323" s="22">
        <v>53921</v>
      </c>
      <c r="D323" s="8">
        <v>25158</v>
      </c>
      <c r="E323" s="8">
        <v>80173</v>
      </c>
      <c r="F323" s="23">
        <v>4080</v>
      </c>
      <c r="G323" s="24">
        <v>2688</v>
      </c>
      <c r="H323" s="25"/>
      <c r="I323" s="37"/>
      <c r="J323" s="9">
        <f t="shared" si="63"/>
        <v>55015</v>
      </c>
      <c r="K323" s="38">
        <f t="shared" si="49"/>
        <v>304</v>
      </c>
      <c r="L323" s="38">
        <v>790</v>
      </c>
      <c r="M323" s="78">
        <f t="shared" si="53"/>
        <v>755530</v>
      </c>
      <c r="N323" s="79">
        <f t="shared" si="53"/>
        <v>378345</v>
      </c>
      <c r="O323" s="79">
        <f t="shared" si="53"/>
        <v>1153709</v>
      </c>
      <c r="P323" s="80">
        <f t="shared" si="54"/>
        <v>16380115</v>
      </c>
      <c r="Q323" s="80">
        <f t="shared" si="54"/>
        <v>9378728</v>
      </c>
      <c r="R323" s="80">
        <f t="shared" si="54"/>
        <v>26328290</v>
      </c>
      <c r="S323" s="84">
        <f>M323/'[21]2014'!M323-1</f>
        <v>-0.146342014575448</v>
      </c>
      <c r="T323" s="84">
        <f>N323/'[21]2014'!N323-1</f>
        <v>0.356653913317867</v>
      </c>
      <c r="U323" s="84">
        <f>O323/'[21]2014'!O323-1</f>
        <v>-0.0240397182367038</v>
      </c>
      <c r="V323" s="85">
        <f>P323/'[21]2014'!P323-1</f>
        <v>-0.0554263071037786</v>
      </c>
      <c r="W323" s="85">
        <f>Q323/'[21]2014'!Q323-1</f>
        <v>0.152436902126835</v>
      </c>
      <c r="X323" s="85">
        <f>R323/'[21]2014'!R323-1</f>
        <v>0.00951704231675632</v>
      </c>
      <c r="Y323" s="97"/>
      <c r="Z323" s="54"/>
      <c r="AA323" s="38"/>
      <c r="AB323" s="38"/>
    </row>
    <row r="324" ht="15" customHeight="1" spans="1:28">
      <c r="A324" s="21">
        <v>42323</v>
      </c>
      <c r="B324" s="21" t="s">
        <v>1</v>
      </c>
      <c r="C324" s="22">
        <v>47821</v>
      </c>
      <c r="D324" s="8">
        <v>25902</v>
      </c>
      <c r="E324" s="8">
        <v>74763</v>
      </c>
      <c r="F324" s="23">
        <v>3714</v>
      </c>
      <c r="G324" s="24">
        <v>2632</v>
      </c>
      <c r="H324" s="25"/>
      <c r="I324" s="37"/>
      <c r="J324" s="9">
        <f t="shared" si="63"/>
        <v>48861</v>
      </c>
      <c r="K324" s="38">
        <f t="shared" si="49"/>
        <v>250</v>
      </c>
      <c r="L324" s="38">
        <v>790</v>
      </c>
      <c r="M324" s="78">
        <f t="shared" si="53"/>
        <v>803351</v>
      </c>
      <c r="N324" s="79">
        <f t="shared" si="53"/>
        <v>404247</v>
      </c>
      <c r="O324" s="79">
        <f t="shared" si="53"/>
        <v>1228472</v>
      </c>
      <c r="P324" s="80">
        <f t="shared" si="54"/>
        <v>16427936</v>
      </c>
      <c r="Q324" s="80">
        <f t="shared" si="54"/>
        <v>9404630</v>
      </c>
      <c r="R324" s="80">
        <f t="shared" si="54"/>
        <v>26403053</v>
      </c>
      <c r="S324" s="84">
        <f>M324/'[21]2014'!M324-1</f>
        <v>-0.157944773572486</v>
      </c>
      <c r="T324" s="84">
        <f>N324/'[21]2014'!N324-1</f>
        <v>0.371472482137647</v>
      </c>
      <c r="U324" s="84">
        <f>O324/'[21]2014'!O324-1</f>
        <v>-0.0311498151768694</v>
      </c>
      <c r="V324" s="85">
        <f>P324/'[21]2014'!P324-1</f>
        <v>-0.0564223494830406</v>
      </c>
      <c r="W324" s="85">
        <f>Q324/'[21]2014'!Q324-1</f>
        <v>0.153370104047152</v>
      </c>
      <c r="X324" s="85">
        <f>R324/'[21]2014'!R324-1</f>
        <v>0.00906240671109604</v>
      </c>
      <c r="Y324" s="97"/>
      <c r="Z324" s="54"/>
      <c r="AA324" s="38"/>
      <c r="AB324" s="38"/>
    </row>
    <row r="325" ht="15" customHeight="1" spans="1:28">
      <c r="A325" s="21">
        <v>42324</v>
      </c>
      <c r="B325" s="21" t="s">
        <v>39</v>
      </c>
      <c r="C325" s="22">
        <v>52363</v>
      </c>
      <c r="D325" s="8">
        <v>25458</v>
      </c>
      <c r="E325" s="8">
        <v>79271</v>
      </c>
      <c r="F325" s="23">
        <v>4091</v>
      </c>
      <c r="G325" s="24">
        <v>2526</v>
      </c>
      <c r="H325" s="25"/>
      <c r="I325" s="37"/>
      <c r="J325" s="9">
        <f t="shared" si="63"/>
        <v>53813</v>
      </c>
      <c r="K325" s="38">
        <f t="shared" si="49"/>
        <v>660</v>
      </c>
      <c r="L325" s="38">
        <v>790</v>
      </c>
      <c r="M325" s="78">
        <f t="shared" si="53"/>
        <v>855714</v>
      </c>
      <c r="N325" s="79">
        <f t="shared" si="53"/>
        <v>429705</v>
      </c>
      <c r="O325" s="79">
        <f t="shared" si="53"/>
        <v>1307743</v>
      </c>
      <c r="P325" s="80">
        <f t="shared" si="54"/>
        <v>16480299</v>
      </c>
      <c r="Q325" s="80">
        <f t="shared" si="54"/>
        <v>9430088</v>
      </c>
      <c r="R325" s="80">
        <f t="shared" si="54"/>
        <v>26482324</v>
      </c>
      <c r="S325" s="84">
        <f>M325/'[21]2014'!M325-1</f>
        <v>-0.160481981610765</v>
      </c>
      <c r="T325" s="84">
        <f>N325/'[21]2014'!N325-1</f>
        <v>0.384510545613888</v>
      </c>
      <c r="U325" s="84">
        <f>O325/'[21]2014'!O325-1</f>
        <v>-0.0311220596406742</v>
      </c>
      <c r="V325" s="85">
        <f>P325/'[21]2014'!P325-1</f>
        <v>-0.0569494355532768</v>
      </c>
      <c r="W325" s="85">
        <f>Q325/'[21]2014'!Q325-1</f>
        <v>0.15428220932939</v>
      </c>
      <c r="X325" s="85">
        <f>R325/'[21]2014'!R325-1</f>
        <v>0.00893854322112264</v>
      </c>
      <c r="Y325" s="97"/>
      <c r="Z325" s="54"/>
      <c r="AA325" s="38"/>
      <c r="AB325" s="38"/>
    </row>
    <row r="326" ht="15" customHeight="1" spans="1:32">
      <c r="A326" s="21">
        <v>42325</v>
      </c>
      <c r="B326" s="15" t="s">
        <v>34</v>
      </c>
      <c r="C326" s="16">
        <v>54218</v>
      </c>
      <c r="D326" s="17">
        <v>24709</v>
      </c>
      <c r="E326" s="17">
        <v>81120</v>
      </c>
      <c r="F326" s="18">
        <v>4180</v>
      </c>
      <c r="G326" s="19">
        <v>2658</v>
      </c>
      <c r="H326" s="20"/>
      <c r="I326" s="20"/>
      <c r="J326" s="33">
        <f t="shared" si="63"/>
        <v>56411</v>
      </c>
      <c r="K326" s="34">
        <f t="shared" si="49"/>
        <v>1403</v>
      </c>
      <c r="L326" s="34">
        <v>790</v>
      </c>
      <c r="M326" s="81">
        <f t="shared" si="53"/>
        <v>909932</v>
      </c>
      <c r="N326" s="82">
        <f t="shared" si="53"/>
        <v>454414</v>
      </c>
      <c r="O326" s="82">
        <f t="shared" si="53"/>
        <v>1388863</v>
      </c>
      <c r="P326" s="81">
        <f t="shared" si="54"/>
        <v>16534517</v>
      </c>
      <c r="Q326" s="81">
        <f t="shared" si="54"/>
        <v>9454797</v>
      </c>
      <c r="R326" s="81">
        <f t="shared" si="54"/>
        <v>26563444</v>
      </c>
      <c r="S326" s="86">
        <f>M326/'[21]2014'!M326-1</f>
        <v>-0.163463995925489</v>
      </c>
      <c r="T326" s="86">
        <f>N326/'[21]2014'!N326-1</f>
        <v>0.39334379944317</v>
      </c>
      <c r="U326" s="86">
        <f>O326/'[21]2014'!O326-1</f>
        <v>-0.0322887896076098</v>
      </c>
      <c r="V326" s="86">
        <f>P326/'[21]2014'!P326-1</f>
        <v>-0.0575382442031637</v>
      </c>
      <c r="W326" s="86">
        <f>Q326/'[21]2014'!Q326-1</f>
        <v>0.155077597409003</v>
      </c>
      <c r="X326" s="86">
        <f>R326/'[21]2014'!R326-1</f>
        <v>0.00874495331632175</v>
      </c>
      <c r="Y326" s="100">
        <v>109.78</v>
      </c>
      <c r="Z326" s="53">
        <f>P326/10000-Y326</f>
        <v>1543.6717</v>
      </c>
      <c r="AA326" s="34">
        <f>3890.092+12*(A326-"2015年6月30日")/(A326-"2015年1月1日"+1)+100*(A326-"2015年9月14日")/(A326-"2015年1月1日"+1)</f>
        <v>3915.26333956386</v>
      </c>
      <c r="AB326" s="34">
        <f>(Z326-3.98-1.98)*10000/AA326</f>
        <v>3927.47962687815</v>
      </c>
      <c r="AC326" s="67">
        <f t="shared" ref="AC326" si="64">AC319+SUM(K320:K326)/10000</f>
        <v>35.1112</v>
      </c>
      <c r="AD326" s="2">
        <f t="shared" ref="AD326" si="65">AD319+SUM(L320:L326)/10000</f>
        <v>22.3014</v>
      </c>
      <c r="AF326" s="2">
        <f t="shared" ref="AF326" si="66">AF319+SUM(J320:J326)/10000</f>
        <v>1710.8647</v>
      </c>
    </row>
    <row r="327" ht="15" customHeight="1" spans="1:28">
      <c r="A327" s="21">
        <v>42326</v>
      </c>
      <c r="B327" s="21" t="s">
        <v>35</v>
      </c>
      <c r="C327" s="70">
        <v>52066</v>
      </c>
      <c r="D327" s="71">
        <v>25962</v>
      </c>
      <c r="E327" s="71">
        <v>80272</v>
      </c>
      <c r="F327" s="72">
        <v>4171</v>
      </c>
      <c r="G327" s="73">
        <v>2613</v>
      </c>
      <c r="H327" s="25"/>
      <c r="I327" s="25"/>
      <c r="J327" s="74">
        <f t="shared" si="63"/>
        <v>54310</v>
      </c>
      <c r="K327" s="75">
        <f t="shared" si="49"/>
        <v>1454</v>
      </c>
      <c r="L327" s="75">
        <v>790</v>
      </c>
      <c r="M327" s="76">
        <f t="shared" ref="M327:O338" si="67">C327+M326</f>
        <v>961998</v>
      </c>
      <c r="N327" s="77">
        <f t="shared" si="67"/>
        <v>480376</v>
      </c>
      <c r="O327" s="77">
        <f t="shared" si="67"/>
        <v>1469135</v>
      </c>
      <c r="P327" s="76">
        <f t="shared" si="54"/>
        <v>16586583</v>
      </c>
      <c r="Q327" s="76">
        <f t="shared" si="54"/>
        <v>9480759</v>
      </c>
      <c r="R327" s="76">
        <f t="shared" si="54"/>
        <v>26643716</v>
      </c>
      <c r="S327" s="83">
        <f>M327/'[21]2014'!M327-1</f>
        <v>-0.168344821206732</v>
      </c>
      <c r="T327" s="83">
        <f>N327/'[21]2014'!N327-1</f>
        <v>0.396827612276646</v>
      </c>
      <c r="U327" s="83">
        <f>O327/'[21]2014'!O327-1</f>
        <v>-0.0353480602691191</v>
      </c>
      <c r="V327" s="83">
        <f>P327/'[21]2014'!P327-1</f>
        <v>-0.0582736968328142</v>
      </c>
      <c r="W327" s="83">
        <f>Q327/'[21]2014'!Q327-1</f>
        <v>0.155739876702911</v>
      </c>
      <c r="X327" s="83">
        <f>R327/'[21]2014'!R327-1</f>
        <v>0.00843230338877676</v>
      </c>
      <c r="Y327" s="89"/>
      <c r="Z327" s="101"/>
      <c r="AA327" s="89"/>
      <c r="AB327" s="75"/>
    </row>
    <row r="328" ht="15" customHeight="1" spans="1:28">
      <c r="A328" s="21">
        <v>42327</v>
      </c>
      <c r="B328" s="21" t="s">
        <v>36</v>
      </c>
      <c r="C328" s="22">
        <v>54485</v>
      </c>
      <c r="D328" s="8">
        <v>24392</v>
      </c>
      <c r="E328" s="8">
        <v>81712</v>
      </c>
      <c r="F328" s="23">
        <v>4214</v>
      </c>
      <c r="G328" s="24">
        <v>2629</v>
      </c>
      <c r="H328" s="25"/>
      <c r="I328" s="37"/>
      <c r="J328" s="9">
        <f t="shared" si="63"/>
        <v>57320</v>
      </c>
      <c r="K328" s="38">
        <f t="shared" si="49"/>
        <v>2045</v>
      </c>
      <c r="L328" s="38">
        <v>790</v>
      </c>
      <c r="M328" s="78">
        <f t="shared" si="67"/>
        <v>1016483</v>
      </c>
      <c r="N328" s="79">
        <f t="shared" si="67"/>
        <v>504768</v>
      </c>
      <c r="O328" s="79">
        <f t="shared" si="67"/>
        <v>1550847</v>
      </c>
      <c r="P328" s="80">
        <f t="shared" si="54"/>
        <v>16641068</v>
      </c>
      <c r="Q328" s="80">
        <f t="shared" si="54"/>
        <v>9505151</v>
      </c>
      <c r="R328" s="80">
        <f t="shared" si="54"/>
        <v>26725428</v>
      </c>
      <c r="S328" s="84">
        <f>M328/'[21]2014'!M328-1</f>
        <v>-0.17211702136324</v>
      </c>
      <c r="T328" s="84">
        <f>N328/'[21]2014'!N328-1</f>
        <v>0.400736487780241</v>
      </c>
      <c r="U328" s="84">
        <f>O328/'[21]2014'!O328-1</f>
        <v>-0.0378071751549836</v>
      </c>
      <c r="V328" s="85">
        <f>P328/'[21]2014'!P328-1</f>
        <v>-0.0589780456250999</v>
      </c>
      <c r="W328" s="85">
        <f>Q328/'[21]2014'!Q328-1</f>
        <v>0.156393853094813</v>
      </c>
      <c r="X328" s="85">
        <f>R328/'[21]2014'!R328-1</f>
        <v>0.00813611359162802</v>
      </c>
      <c r="Y328" s="97">
        <v>110.55</v>
      </c>
      <c r="Z328" s="54">
        <f>P328/10000-Y328</f>
        <v>1553.5568</v>
      </c>
      <c r="AA328" s="38">
        <f>3890.092+12*(A328-"2015年6月30日")/(A328-"2015年1月1日"+1)+100*(A328-"2015年9月14日")/(A328-"2015年1月1日"+1)</f>
        <v>3915.80097832817</v>
      </c>
      <c r="AB328" s="38">
        <f>(Z328-3.98-3.08)*10000/AA328</f>
        <v>3949.37538592747</v>
      </c>
    </row>
    <row r="329" ht="15" customHeight="1" spans="1:28">
      <c r="A329" s="21">
        <v>42328</v>
      </c>
      <c r="B329" s="21" t="s">
        <v>37</v>
      </c>
      <c r="C329" s="22">
        <v>54674</v>
      </c>
      <c r="D329" s="8">
        <v>25038</v>
      </c>
      <c r="E329" s="8">
        <v>82062</v>
      </c>
      <c r="F329" s="23">
        <v>4229</v>
      </c>
      <c r="G329" s="24">
        <v>2682</v>
      </c>
      <c r="H329" s="25"/>
      <c r="I329" s="37"/>
      <c r="J329" s="9">
        <f t="shared" si="63"/>
        <v>57024</v>
      </c>
      <c r="K329" s="38">
        <f t="shared" si="49"/>
        <v>1560</v>
      </c>
      <c r="L329" s="38">
        <v>790</v>
      </c>
      <c r="M329" s="78">
        <f t="shared" si="67"/>
        <v>1071157</v>
      </c>
      <c r="N329" s="79">
        <f t="shared" si="67"/>
        <v>529806</v>
      </c>
      <c r="O329" s="79">
        <f t="shared" si="67"/>
        <v>1632909</v>
      </c>
      <c r="P329" s="80">
        <f t="shared" si="54"/>
        <v>16695742</v>
      </c>
      <c r="Q329" s="80">
        <f t="shared" si="54"/>
        <v>9530189</v>
      </c>
      <c r="R329" s="80">
        <f t="shared" si="54"/>
        <v>26807490</v>
      </c>
      <c r="S329" s="84">
        <f>M329/'[21]2014'!M329-1</f>
        <v>-0.173326037647898</v>
      </c>
      <c r="T329" s="84">
        <f>N329/'[21]2014'!N329-1</f>
        <v>0.398332999018169</v>
      </c>
      <c r="U329" s="84">
        <f>O329/'[21]2014'!O329-1</f>
        <v>-0.0390588725466829</v>
      </c>
      <c r="V329" s="85">
        <f>P329/'[21]2014'!P329-1</f>
        <v>-0.0594992522238799</v>
      </c>
      <c r="W329" s="85">
        <f>Q329/'[21]2014'!Q329-1</f>
        <v>0.156832761533852</v>
      </c>
      <c r="X329" s="85">
        <f>R329/'[21]2014'!R329-1</f>
        <v>0.00790500367855285</v>
      </c>
      <c r="Y329" s="97">
        <v>112.56</v>
      </c>
      <c r="Z329" s="54">
        <f>P329/10000-Y329</f>
        <v>1557.0142</v>
      </c>
      <c r="AA329" s="38">
        <f>3890.092+(12*(A329-"2015年6月30日")+100*(A329-"2015年9月14日")+66*(A329-"2015年11月17日"))/(A329-"2015年1月1日"+1)</f>
        <v>3916.67841975309</v>
      </c>
      <c r="AB329" s="38">
        <f>(Z329-3.98-2.7544)*10000/AA329</f>
        <v>3958.14931392231</v>
      </c>
    </row>
    <row r="330" ht="15" customHeight="1" spans="1:28">
      <c r="A330" s="21">
        <v>42329</v>
      </c>
      <c r="B330" s="21" t="s">
        <v>38</v>
      </c>
      <c r="C330" s="22">
        <v>52903</v>
      </c>
      <c r="D330" s="8">
        <f>9278+15986</f>
        <v>25264</v>
      </c>
      <c r="E330" s="8">
        <v>80454</v>
      </c>
      <c r="F330" s="23">
        <v>4103</v>
      </c>
      <c r="G330" s="24">
        <v>2697</v>
      </c>
      <c r="H330" s="25"/>
      <c r="I330" s="37"/>
      <c r="J330" s="9">
        <f t="shared" si="63"/>
        <v>55190</v>
      </c>
      <c r="K330" s="38">
        <f t="shared" si="49"/>
        <v>1497</v>
      </c>
      <c r="L330" s="38">
        <v>790</v>
      </c>
      <c r="M330" s="78">
        <f t="shared" si="67"/>
        <v>1124060</v>
      </c>
      <c r="N330" s="79">
        <f t="shared" si="67"/>
        <v>555070</v>
      </c>
      <c r="O330" s="79">
        <f t="shared" si="67"/>
        <v>1713363</v>
      </c>
      <c r="P330" s="80">
        <f t="shared" si="54"/>
        <v>16748645</v>
      </c>
      <c r="Q330" s="80">
        <f t="shared" si="54"/>
        <v>9555453</v>
      </c>
      <c r="R330" s="80">
        <f t="shared" si="54"/>
        <v>26887944</v>
      </c>
      <c r="S330" s="84">
        <f>M330/'[21]2014'!M330-1</f>
        <v>-0.17475956244035</v>
      </c>
      <c r="T330" s="84">
        <f>N330/'[21]2014'!N330-1</f>
        <v>0.390428047534118</v>
      </c>
      <c r="U330" s="84">
        <f>O330/'[21]2014'!O330-1</f>
        <v>-0.0411399790136411</v>
      </c>
      <c r="V330" s="85">
        <f>P330/'[21]2014'!P330-1</f>
        <v>-0.0600327370783611</v>
      </c>
      <c r="W330" s="85">
        <f>Q330/'[21]2014'!Q330-1</f>
        <v>0.157044970952646</v>
      </c>
      <c r="X330" s="85">
        <f>R330/'[21]2014'!R330-1</f>
        <v>0.00761148747136997</v>
      </c>
      <c r="Y330" s="97"/>
      <c r="Z330" s="54"/>
      <c r="AA330" s="38"/>
      <c r="AB330" s="38"/>
    </row>
    <row r="331" ht="15" customHeight="1" spans="1:28">
      <c r="A331" s="21">
        <v>42330</v>
      </c>
      <c r="B331" s="21" t="s">
        <v>1</v>
      </c>
      <c r="C331" s="22">
        <v>48537</v>
      </c>
      <c r="D331" s="8">
        <f>6786+17943</f>
        <v>24729</v>
      </c>
      <c r="E331" s="8">
        <v>75720</v>
      </c>
      <c r="F331" s="23">
        <v>3760</v>
      </c>
      <c r="G331" s="24">
        <v>2640</v>
      </c>
      <c r="H331" s="25"/>
      <c r="I331" s="37"/>
      <c r="J331" s="9">
        <f t="shared" si="63"/>
        <v>50991</v>
      </c>
      <c r="K331" s="38">
        <f t="shared" ref="K331:K370" si="68">J331-C331-L331</f>
        <v>1664</v>
      </c>
      <c r="L331" s="38">
        <v>790</v>
      </c>
      <c r="M331" s="78">
        <f t="shared" si="67"/>
        <v>1172597</v>
      </c>
      <c r="N331" s="79">
        <f t="shared" si="67"/>
        <v>579799</v>
      </c>
      <c r="O331" s="79">
        <f t="shared" si="67"/>
        <v>1789083</v>
      </c>
      <c r="P331" s="80">
        <f t="shared" si="54"/>
        <v>16797182</v>
      </c>
      <c r="Q331" s="80">
        <f t="shared" si="54"/>
        <v>9580182</v>
      </c>
      <c r="R331" s="80">
        <f t="shared" si="54"/>
        <v>26963664</v>
      </c>
      <c r="S331" s="84">
        <f>M331/'[21]2014'!M331-1</f>
        <v>-0.177076403100253</v>
      </c>
      <c r="T331" s="84">
        <f>N331/'[21]2014'!N331-1</f>
        <v>0.37714897841877</v>
      </c>
      <c r="U331" s="84">
        <f>O331/'[21]2014'!O331-1</f>
        <v>-0.0446183643706709</v>
      </c>
      <c r="V331" s="85">
        <f>P331/'[21]2014'!P331-1</f>
        <v>-0.0606203943103417</v>
      </c>
      <c r="W331" s="85">
        <f>Q331/'[21]2014'!Q331-1</f>
        <v>0.156984402806008</v>
      </c>
      <c r="X331" s="85">
        <f>R331/'[21]2014'!R331-1</f>
        <v>0.00721199031800523</v>
      </c>
      <c r="Y331" s="97"/>
      <c r="Z331" s="54"/>
      <c r="AA331" s="38"/>
      <c r="AB331" s="38"/>
    </row>
    <row r="332" ht="15" customHeight="1" spans="1:28">
      <c r="A332" s="21">
        <v>42331</v>
      </c>
      <c r="B332" s="21" t="s">
        <v>39</v>
      </c>
      <c r="C332" s="22">
        <v>52729</v>
      </c>
      <c r="D332" s="8">
        <f>16659+8503</f>
        <v>25162</v>
      </c>
      <c r="E332" s="8">
        <v>80043</v>
      </c>
      <c r="F332" s="23">
        <v>4132</v>
      </c>
      <c r="G332" s="24">
        <v>2558</v>
      </c>
      <c r="H332" s="25"/>
      <c r="I332" s="37"/>
      <c r="J332" s="9">
        <f t="shared" si="63"/>
        <v>54881</v>
      </c>
      <c r="K332" s="38">
        <f t="shared" si="68"/>
        <v>1362</v>
      </c>
      <c r="L332" s="38">
        <v>790</v>
      </c>
      <c r="M332" s="78">
        <f t="shared" si="67"/>
        <v>1225326</v>
      </c>
      <c r="N332" s="79">
        <f t="shared" si="67"/>
        <v>604961</v>
      </c>
      <c r="O332" s="79">
        <f t="shared" si="67"/>
        <v>1869126</v>
      </c>
      <c r="P332" s="80">
        <f t="shared" si="54"/>
        <v>16849911</v>
      </c>
      <c r="Q332" s="80">
        <f t="shared" si="54"/>
        <v>9605344</v>
      </c>
      <c r="R332" s="80">
        <f t="shared" si="54"/>
        <v>27043707</v>
      </c>
      <c r="S332" s="84">
        <f>M332/'[21]2014'!M332-1</f>
        <v>-0.17391172443364</v>
      </c>
      <c r="T332" s="84">
        <f>N332/'[21]2014'!N332-1</f>
        <v>0.366837701847496</v>
      </c>
      <c r="U332" s="84">
        <f>O332/'[21]2014'!O332-1</f>
        <v>-0.0432568229258909</v>
      </c>
      <c r="V332" s="85">
        <f>P332/'[21]2014'!P332-1</f>
        <v>-0.0607376509342644</v>
      </c>
      <c r="W332" s="85">
        <f>Q332/'[21]2014'!Q332-1</f>
        <v>0.15700710747922</v>
      </c>
      <c r="X332" s="85">
        <f>R332/'[21]2014'!R332-1</f>
        <v>0.00715470695114728</v>
      </c>
      <c r="Y332" s="97"/>
      <c r="Z332" s="54"/>
      <c r="AA332" s="38"/>
      <c r="AB332" s="38"/>
    </row>
    <row r="333" ht="15" customHeight="1" spans="1:32">
      <c r="A333" s="21">
        <v>42332</v>
      </c>
      <c r="B333" s="15" t="s">
        <v>34</v>
      </c>
      <c r="C333" s="16">
        <v>56278</v>
      </c>
      <c r="D333" s="17">
        <f>15831+8541</f>
        <v>24372</v>
      </c>
      <c r="E333" s="17">
        <v>82782</v>
      </c>
      <c r="F333" s="18">
        <v>4226</v>
      </c>
      <c r="G333" s="19">
        <v>2710</v>
      </c>
      <c r="H333" s="20">
        <v>1193</v>
      </c>
      <c r="I333" s="20">
        <v>765</v>
      </c>
      <c r="J333" s="33">
        <f t="shared" si="63"/>
        <v>58410</v>
      </c>
      <c r="K333" s="34">
        <f t="shared" si="68"/>
        <v>1342</v>
      </c>
      <c r="L333" s="34">
        <v>790</v>
      </c>
      <c r="M333" s="81">
        <f t="shared" si="67"/>
        <v>1281604</v>
      </c>
      <c r="N333" s="82">
        <f t="shared" si="67"/>
        <v>629333</v>
      </c>
      <c r="O333" s="82">
        <f t="shared" si="67"/>
        <v>1951908</v>
      </c>
      <c r="P333" s="81">
        <f t="shared" si="54"/>
        <v>16906189</v>
      </c>
      <c r="Q333" s="81">
        <f t="shared" si="54"/>
        <v>9629716</v>
      </c>
      <c r="R333" s="81">
        <f t="shared" si="54"/>
        <v>27126489</v>
      </c>
      <c r="S333" s="86">
        <f>M333/'[21]2014'!M333-1</f>
        <v>-0.170611684916259</v>
      </c>
      <c r="T333" s="86">
        <f>N333/'[21]2014'!N333-1</f>
        <v>0.355666660922313</v>
      </c>
      <c r="U333" s="86">
        <f>O333/'[21]2014'!O333-1</f>
        <v>-0.0423340674803613</v>
      </c>
      <c r="V333" s="86">
        <f>P333/'[21]2014'!P333-1</f>
        <v>-0.0608438711776172</v>
      </c>
      <c r="W333" s="86">
        <f>Q333/'[21]2014'!Q333-1</f>
        <v>0.156929222256923</v>
      </c>
      <c r="X333" s="86">
        <f>R333/'[21]2014'!R333-1</f>
        <v>0.00706627579819763</v>
      </c>
      <c r="Y333" s="100">
        <f>(Y335-Y329)/7*4+Y329</f>
        <v>114.96</v>
      </c>
      <c r="Z333" s="53">
        <f>P333/10000-Y333</f>
        <v>1575.6589</v>
      </c>
      <c r="AA333" s="34">
        <f>3890.092+12*(A333-"2015年6月30日")/(A333-"2015年1月1日"+1)+100*(A333-"2015年9月14日")/(A333-"2015年1月1日"+1)</f>
        <v>3917.1163902439</v>
      </c>
      <c r="AB333" s="34">
        <f>(Z333-3.98-1.98)*10000/AA333</f>
        <v>4007.28174406444</v>
      </c>
      <c r="AC333" s="67">
        <f t="shared" ref="AC333" si="69">AC326+SUM(K327:K333)/10000</f>
        <v>36.2036</v>
      </c>
      <c r="AD333" s="2">
        <f t="shared" ref="AD333" si="70">AD326+SUM(L327:L333)/10000</f>
        <v>22.8544</v>
      </c>
      <c r="AF333" s="2">
        <f t="shared" ref="AF333" si="71">AF326+SUM(J327:J333)/10000</f>
        <v>1749.6773</v>
      </c>
    </row>
    <row r="334" ht="15" customHeight="1" spans="1:28">
      <c r="A334" s="21">
        <v>42333</v>
      </c>
      <c r="B334" s="21" t="s">
        <v>35</v>
      </c>
      <c r="C334" s="70">
        <v>58956</v>
      </c>
      <c r="D334" s="71">
        <v>23531</v>
      </c>
      <c r="E334" s="71">
        <v>84813</v>
      </c>
      <c r="F334" s="72">
        <v>4392</v>
      </c>
      <c r="G334" s="73">
        <v>2737</v>
      </c>
      <c r="H334" s="25">
        <v>1189</v>
      </c>
      <c r="I334" s="25">
        <v>741</v>
      </c>
      <c r="J334" s="74">
        <f t="shared" si="63"/>
        <v>61282</v>
      </c>
      <c r="K334" s="75">
        <f t="shared" si="68"/>
        <v>1536</v>
      </c>
      <c r="L334" s="75">
        <v>790</v>
      </c>
      <c r="M334" s="76">
        <f t="shared" si="67"/>
        <v>1340560</v>
      </c>
      <c r="N334" s="77">
        <f t="shared" si="67"/>
        <v>652864</v>
      </c>
      <c r="O334" s="77">
        <f t="shared" si="67"/>
        <v>2036721</v>
      </c>
      <c r="P334" s="76">
        <f t="shared" si="54"/>
        <v>16965145</v>
      </c>
      <c r="Q334" s="76">
        <f t="shared" si="54"/>
        <v>9653247</v>
      </c>
      <c r="R334" s="76">
        <f t="shared" si="54"/>
        <v>27211302</v>
      </c>
      <c r="S334" s="83">
        <f>M334/'[21]2014'!M334-1</f>
        <v>-0.166394614422686</v>
      </c>
      <c r="T334" s="83">
        <f>N334/'[21]2014'!N334-1</f>
        <v>0.348847971967869</v>
      </c>
      <c r="U334" s="83">
        <f>O334/'[21]2014'!O334-1</f>
        <v>-0.0401934579069299</v>
      </c>
      <c r="V334" s="83">
        <f>P334/'[21]2014'!P334-1</f>
        <v>-0.0608507075390098</v>
      </c>
      <c r="W334" s="83">
        <f>Q334/'[21]2014'!Q334-1</f>
        <v>0.157005098279093</v>
      </c>
      <c r="X334" s="83">
        <f>R334/'[21]2014'!R334-1</f>
        <v>0.00708114301799401</v>
      </c>
      <c r="Y334" s="89"/>
      <c r="Z334" s="101"/>
      <c r="AA334" s="89"/>
      <c r="AB334" s="75"/>
    </row>
    <row r="335" ht="15" customHeight="1" spans="1:28">
      <c r="A335" s="21">
        <v>42334</v>
      </c>
      <c r="B335" s="21" t="s">
        <v>36</v>
      </c>
      <c r="C335" s="22">
        <v>61810</v>
      </c>
      <c r="D335" s="8">
        <f>14922+7802</f>
        <v>22724</v>
      </c>
      <c r="E335" s="8">
        <v>86616</v>
      </c>
      <c r="F335" s="23">
        <v>4397</v>
      </c>
      <c r="G335" s="24">
        <v>2793</v>
      </c>
      <c r="H335" s="25"/>
      <c r="I335" s="37"/>
      <c r="J335" s="9">
        <f t="shared" si="63"/>
        <v>63892</v>
      </c>
      <c r="K335" s="38">
        <f t="shared" si="68"/>
        <v>1292</v>
      </c>
      <c r="L335" s="38">
        <v>790</v>
      </c>
      <c r="M335" s="78">
        <f t="shared" si="67"/>
        <v>1402370</v>
      </c>
      <c r="N335" s="79">
        <f t="shared" si="67"/>
        <v>675588</v>
      </c>
      <c r="O335" s="79">
        <f t="shared" si="67"/>
        <v>2123337</v>
      </c>
      <c r="P335" s="80">
        <f t="shared" si="54"/>
        <v>17026955</v>
      </c>
      <c r="Q335" s="80">
        <f t="shared" si="54"/>
        <v>9675971</v>
      </c>
      <c r="R335" s="80">
        <f t="shared" si="54"/>
        <v>27297918</v>
      </c>
      <c r="S335" s="84">
        <f>M335/'[21]2014'!M335-1</f>
        <v>-0.161711689362824</v>
      </c>
      <c r="T335" s="84">
        <f>N335/'[21]2014'!N335-1</f>
        <v>0.33962043413515</v>
      </c>
      <c r="U335" s="84">
        <f>O335/'[21]2014'!O335-1</f>
        <v>-0.0383803333568832</v>
      </c>
      <c r="V335" s="85">
        <f>P335/'[21]2014'!P335-1</f>
        <v>-0.0607955430832983</v>
      </c>
      <c r="W335" s="85">
        <f>Q335/'[21]2014'!Q335-1</f>
        <v>0.156914260332195</v>
      </c>
      <c r="X335" s="85">
        <f>R335/'[21]2014'!R335-1</f>
        <v>0.0070787270200221</v>
      </c>
      <c r="Y335" s="97">
        <v>116.76</v>
      </c>
      <c r="Z335" s="54">
        <f>P335/10000-Y335</f>
        <v>1585.9355</v>
      </c>
      <c r="AA335" s="38">
        <f>3890.092+(12*(A335-"2015年6月30日")+100*(A335-"2015年9月14日")+66*(A335-"2015年11月17日"))/(A335-"2015年1月1日"+1)</f>
        <v>3919.43139393939</v>
      </c>
      <c r="AB335" s="38">
        <f>(Z335-3.98-3.08)*10000/AA335</f>
        <v>4028.32794175556</v>
      </c>
    </row>
    <row r="336" ht="15" customHeight="1" spans="1:28">
      <c r="A336" s="21">
        <v>42335</v>
      </c>
      <c r="B336" s="21" t="s">
        <v>37</v>
      </c>
      <c r="C336" s="22">
        <v>66490</v>
      </c>
      <c r="D336" s="8">
        <v>21600</v>
      </c>
      <c r="E336" s="8">
        <v>90010</v>
      </c>
      <c r="F336" s="23">
        <v>4581</v>
      </c>
      <c r="G336" s="24">
        <v>2867</v>
      </c>
      <c r="H336" s="25"/>
      <c r="I336" s="37"/>
      <c r="J336" s="9">
        <f t="shared" si="63"/>
        <v>68410</v>
      </c>
      <c r="K336" s="38">
        <f t="shared" si="68"/>
        <v>1130</v>
      </c>
      <c r="L336" s="38">
        <v>790</v>
      </c>
      <c r="M336" s="78">
        <f t="shared" si="67"/>
        <v>1468860</v>
      </c>
      <c r="N336" s="79">
        <f t="shared" si="67"/>
        <v>697188</v>
      </c>
      <c r="O336" s="79">
        <f t="shared" si="67"/>
        <v>2213347</v>
      </c>
      <c r="P336" s="80">
        <f t="shared" si="54"/>
        <v>17093445</v>
      </c>
      <c r="Q336" s="80">
        <f t="shared" si="54"/>
        <v>9697571</v>
      </c>
      <c r="R336" s="80">
        <f t="shared" si="54"/>
        <v>27387928</v>
      </c>
      <c r="S336" s="84">
        <f>M336/'[21]2014'!M336-1</f>
        <v>-0.154161186521492</v>
      </c>
      <c r="T336" s="84">
        <f>N336/'[21]2014'!N336-1</f>
        <v>0.325891074233682</v>
      </c>
      <c r="U336" s="84">
        <f>O336/'[21]2014'!O336-1</f>
        <v>-0.0352259497044889</v>
      </c>
      <c r="V336" s="85">
        <f>P336/'[21]2014'!P336-1</f>
        <v>-0.060428026472011</v>
      </c>
      <c r="W336" s="85">
        <f>Q336/'[21]2014'!Q336-1</f>
        <v>0.156522053870337</v>
      </c>
      <c r="X336" s="85">
        <f>R336/'[21]2014'!R336-1</f>
        <v>0.0072009567163287</v>
      </c>
      <c r="Y336" s="97"/>
      <c r="Z336" s="54"/>
      <c r="AA336" s="38"/>
      <c r="AB336" s="38"/>
    </row>
    <row r="337" ht="15" customHeight="1" spans="1:28">
      <c r="A337" s="21">
        <v>42336</v>
      </c>
      <c r="B337" s="21" t="s">
        <v>38</v>
      </c>
      <c r="C337" s="22">
        <v>65116</v>
      </c>
      <c r="D337" s="8">
        <v>20496</v>
      </c>
      <c r="E337" s="8">
        <v>87897</v>
      </c>
      <c r="F337" s="23">
        <v>4438</v>
      </c>
      <c r="G337" s="24">
        <v>2929</v>
      </c>
      <c r="H337" s="25"/>
      <c r="I337" s="37"/>
      <c r="J337" s="9">
        <f t="shared" si="63"/>
        <v>67401</v>
      </c>
      <c r="K337" s="38">
        <f t="shared" si="68"/>
        <v>1495</v>
      </c>
      <c r="L337" s="38">
        <v>790</v>
      </c>
      <c r="M337" s="78">
        <f t="shared" si="67"/>
        <v>1533976</v>
      </c>
      <c r="N337" s="79">
        <f t="shared" si="67"/>
        <v>717684</v>
      </c>
      <c r="O337" s="79">
        <f t="shared" si="67"/>
        <v>2301244</v>
      </c>
      <c r="P337" s="80">
        <f t="shared" si="54"/>
        <v>17158561</v>
      </c>
      <c r="Q337" s="80">
        <f t="shared" si="54"/>
        <v>9718067</v>
      </c>
      <c r="R337" s="80">
        <f t="shared" si="54"/>
        <v>27475825</v>
      </c>
      <c r="S337" s="84">
        <f>M337/'[21]2014'!M337-1</f>
        <v>-0.14794779404454</v>
      </c>
      <c r="T337" s="84">
        <f>N337/'[21]2014'!N337-1</f>
        <v>0.312211684557537</v>
      </c>
      <c r="U337" s="84">
        <f>O337/'[21]2014'!O337-1</f>
        <v>-0.0331106628476977</v>
      </c>
      <c r="V337" s="85">
        <f>P337/'[21]2014'!P337-1</f>
        <v>-0.0601426588657807</v>
      </c>
      <c r="W337" s="85">
        <f>Q337/'[21]2014'!Q337-1</f>
        <v>0.156057186963957</v>
      </c>
      <c r="X337" s="85">
        <f>R337/'[21]2014'!R337-1</f>
        <v>0.00725193273680236</v>
      </c>
      <c r="Y337" s="97"/>
      <c r="Z337" s="54"/>
      <c r="AA337" s="38"/>
      <c r="AB337" s="38"/>
    </row>
    <row r="338" ht="15" customHeight="1" spans="1:28">
      <c r="A338" s="21">
        <v>42337</v>
      </c>
      <c r="B338" s="21" t="s">
        <v>1</v>
      </c>
      <c r="C338" s="22">
        <v>59882</v>
      </c>
      <c r="D338" s="8">
        <v>20796</v>
      </c>
      <c r="E338" s="8">
        <v>82452</v>
      </c>
      <c r="F338" s="23">
        <v>4131</v>
      </c>
      <c r="G338" s="24">
        <v>2822</v>
      </c>
      <c r="H338" s="25"/>
      <c r="I338" s="37"/>
      <c r="J338" s="9">
        <f t="shared" si="63"/>
        <v>61656</v>
      </c>
      <c r="K338" s="38">
        <f t="shared" si="68"/>
        <v>984</v>
      </c>
      <c r="L338" s="38">
        <v>790</v>
      </c>
      <c r="M338" s="78">
        <f t="shared" si="67"/>
        <v>1593858</v>
      </c>
      <c r="N338" s="79">
        <f t="shared" si="67"/>
        <v>738480</v>
      </c>
      <c r="O338" s="79">
        <f t="shared" si="67"/>
        <v>2383696</v>
      </c>
      <c r="P338" s="80">
        <f t="shared" si="54"/>
        <v>17218443</v>
      </c>
      <c r="Q338" s="80">
        <f t="shared" si="54"/>
        <v>9738863</v>
      </c>
      <c r="R338" s="80">
        <f t="shared" si="54"/>
        <v>27558277</v>
      </c>
      <c r="S338" s="84">
        <f>M338/'[21]2014'!M338-1</f>
        <v>-0.144654310811159</v>
      </c>
      <c r="T338" s="84">
        <f>N338/'[21]2014'!N338-1</f>
        <v>0.298191272613487</v>
      </c>
      <c r="U338" s="84">
        <f>O338/'[21]2014'!O338-1</f>
        <v>-0.0334299891449752</v>
      </c>
      <c r="V338" s="85">
        <f>P338/'[21]2014'!P338-1</f>
        <v>-0.0601099825345874</v>
      </c>
      <c r="W338" s="85">
        <f>Q338/'[21]2014'!Q338-1</f>
        <v>0.155517126104595</v>
      </c>
      <c r="X338" s="85">
        <f>R338/'[21]2014'!R338-1</f>
        <v>0.00709616955077919</v>
      </c>
      <c r="Y338" s="97"/>
      <c r="Z338" s="54"/>
      <c r="AA338" s="38"/>
      <c r="AB338" s="38"/>
    </row>
    <row r="339" ht="15" customHeight="1" spans="1:32">
      <c r="A339" s="26">
        <v>42338</v>
      </c>
      <c r="B339" s="21" t="s">
        <v>39</v>
      </c>
      <c r="C339" s="22">
        <v>63106</v>
      </c>
      <c r="D339" s="8">
        <v>20925</v>
      </c>
      <c r="E339" s="8">
        <v>85536</v>
      </c>
      <c r="F339" s="23">
        <v>4448</v>
      </c>
      <c r="G339" s="24">
        <v>2706</v>
      </c>
      <c r="H339" s="25"/>
      <c r="I339" s="37"/>
      <c r="J339" s="9">
        <f t="shared" si="63"/>
        <v>64611</v>
      </c>
      <c r="K339" s="38">
        <f t="shared" si="68"/>
        <v>715</v>
      </c>
      <c r="L339" s="38">
        <v>790</v>
      </c>
      <c r="M339" s="78">
        <v>1656965</v>
      </c>
      <c r="N339" s="79">
        <v>759246</v>
      </c>
      <c r="O339" s="79">
        <v>2469233</v>
      </c>
      <c r="P339" s="80">
        <f t="shared" si="54"/>
        <v>17281550</v>
      </c>
      <c r="Q339" s="80">
        <f t="shared" si="54"/>
        <v>9759629</v>
      </c>
      <c r="R339" s="80">
        <f t="shared" si="54"/>
        <v>27643814</v>
      </c>
      <c r="S339" s="84">
        <f>M339/'[21]2014'!M339-1</f>
        <v>-0.137167715331192</v>
      </c>
      <c r="T339" s="84">
        <f>N339/'[21]2014'!N339-1</f>
        <v>0.287981882490649</v>
      </c>
      <c r="U339" s="84">
        <f>O339/'[21]2014'!O339-1</f>
        <v>-0.0296260345356084</v>
      </c>
      <c r="V339" s="85">
        <f>P339/'[21]2014'!P339-1</f>
        <v>-0.0595897273092906</v>
      </c>
      <c r="W339" s="85">
        <f>Q339/'[21]2014'!Q339-1</f>
        <v>0.155153211865224</v>
      </c>
      <c r="X339" s="85">
        <f>R339/'[21]2014'!R339-1</f>
        <v>0.00733299444315727</v>
      </c>
      <c r="Y339" s="97">
        <v>122.0383</v>
      </c>
      <c r="Z339" s="54">
        <f>P339/10000-Y339</f>
        <v>1606.1167</v>
      </c>
      <c r="AA339" s="38">
        <f>3890.092+(12*(A339-"2015年6月30日")+100*(A339-"2015年9月14日")+66*(A339-"2015年11月17日"))/(A339-"2015年1月1日"+1)</f>
        <v>3921.21176047904</v>
      </c>
      <c r="AB339" s="38">
        <f>(Z339-3.98-2.7544)*10000/AA339</f>
        <v>4078.79603983593</v>
      </c>
      <c r="AC339" s="67">
        <f>AC333+SUM(K333:K339)/10000</f>
        <v>37.053</v>
      </c>
      <c r="AD339" s="2">
        <f>AD333+SUM(L333:L339)/10000</f>
        <v>23.4074</v>
      </c>
      <c r="AF339" s="2">
        <f>AF333+SUM(J333:J339)/10000</f>
        <v>1794.2435</v>
      </c>
    </row>
    <row r="340" ht="15" customHeight="1" spans="1:32">
      <c r="A340" s="21">
        <v>42339</v>
      </c>
      <c r="B340" s="15" t="s">
        <v>34</v>
      </c>
      <c r="C340" s="16">
        <v>60708</v>
      </c>
      <c r="D340" s="17">
        <v>22148</v>
      </c>
      <c r="E340" s="17">
        <v>83795</v>
      </c>
      <c r="F340" s="18">
        <v>4241</v>
      </c>
      <c r="G340" s="19">
        <v>2794</v>
      </c>
      <c r="H340" s="20"/>
      <c r="I340" s="20"/>
      <c r="J340" s="33">
        <f t="shared" si="63"/>
        <v>61647</v>
      </c>
      <c r="K340" s="34">
        <f t="shared" si="68"/>
        <v>149</v>
      </c>
      <c r="L340" s="34">
        <v>790</v>
      </c>
      <c r="M340" s="81">
        <f>C340</f>
        <v>60708</v>
      </c>
      <c r="N340" s="82">
        <f>D340</f>
        <v>22148</v>
      </c>
      <c r="O340" s="82">
        <f>E340</f>
        <v>83795</v>
      </c>
      <c r="P340" s="81">
        <f>P$339+M340</f>
        <v>17342258</v>
      </c>
      <c r="Q340" s="81">
        <f>Q$339+N340</f>
        <v>9781777</v>
      </c>
      <c r="R340" s="81">
        <f>R$339+O340</f>
        <v>27727609</v>
      </c>
      <c r="S340" s="86">
        <f>M340/'[21]2014'!M340-1</f>
        <v>0.0693111161996018</v>
      </c>
      <c r="T340" s="86">
        <f>N340/'[21]2014'!N340-1</f>
        <v>-0.0676096657405069</v>
      </c>
      <c r="U340" s="86">
        <f>O340/'[21]2014'!O340-1</f>
        <v>0.0276803453604455</v>
      </c>
      <c r="V340" s="86">
        <f>P340/'[21]2014'!P340-1</f>
        <v>-0.0591927253710388</v>
      </c>
      <c r="W340" s="86">
        <f>Q340/'[21]2014'!Q340-1</f>
        <v>0.154528662842503</v>
      </c>
      <c r="X340" s="86">
        <f>R340/'[21]2014'!R340-1</f>
        <v>0.00739327184917338</v>
      </c>
      <c r="Y340" s="100">
        <f>Y339+(Y342-Y339)/3</f>
        <v>122.938866666667</v>
      </c>
      <c r="Z340" s="53">
        <f>P340/10000-Y340</f>
        <v>1611.28693333333</v>
      </c>
      <c r="AA340" s="34">
        <f>3890.092+(12*(A340-"2015年6月30日")+100*(A340-"2015年9月14日")+66*(A340-"2015年11月17日"))/(A340-"2015年1月1日"+1)</f>
        <v>3921.65020895522</v>
      </c>
      <c r="AB340" s="34">
        <f>(Z340-3.98-2.7544)*10000/AA340</f>
        <v>4091.52384286921</v>
      </c>
      <c r="AC340" s="67">
        <f t="shared" ref="AC340" si="72">AC333+SUM(K334:K340)/10000</f>
        <v>36.9337</v>
      </c>
      <c r="AD340" s="2">
        <f t="shared" ref="AD340" si="73">AD333+SUM(L334:L340)/10000</f>
        <v>23.4074</v>
      </c>
      <c r="AF340" s="2">
        <f t="shared" ref="AF340" si="74">AF333+SUM(J334:J340)/10000</f>
        <v>1794.5672</v>
      </c>
    </row>
    <row r="341" ht="15" customHeight="1" spans="1:28">
      <c r="A341" s="21">
        <v>42340</v>
      </c>
      <c r="B341" s="21" t="s">
        <v>35</v>
      </c>
      <c r="C341" s="70">
        <v>63143</v>
      </c>
      <c r="D341" s="71">
        <f>14384+7666</f>
        <v>22050</v>
      </c>
      <c r="E341" s="71">
        <v>86145</v>
      </c>
      <c r="F341" s="72">
        <v>4456</v>
      </c>
      <c r="G341" s="73">
        <v>2778</v>
      </c>
      <c r="H341" s="25"/>
      <c r="I341" s="25"/>
      <c r="J341" s="74">
        <f t="shared" si="63"/>
        <v>64095</v>
      </c>
      <c r="K341" s="75">
        <f t="shared" si="68"/>
        <v>162</v>
      </c>
      <c r="L341" s="75">
        <v>790</v>
      </c>
      <c r="M341" s="76">
        <f t="shared" ref="M341:O356" si="75">M340+C341</f>
        <v>123851</v>
      </c>
      <c r="N341" s="77">
        <f t="shared" si="75"/>
        <v>44198</v>
      </c>
      <c r="O341" s="77">
        <f t="shared" si="75"/>
        <v>169940</v>
      </c>
      <c r="P341" s="76">
        <f t="shared" ref="P341:R369" si="76">P$339+M341</f>
        <v>17405401</v>
      </c>
      <c r="Q341" s="76">
        <f t="shared" si="76"/>
        <v>9803827</v>
      </c>
      <c r="R341" s="76">
        <f t="shared" si="76"/>
        <v>27813754</v>
      </c>
      <c r="S341" s="83">
        <f>M341/'[21]2014'!M341-1</f>
        <v>0.0280906804353058</v>
      </c>
      <c r="T341" s="83">
        <f>N341/'[21]2014'!N341-1</f>
        <v>-0.044739344687473</v>
      </c>
      <c r="U341" s="83">
        <f>O341/'[21]2014'!O341-1</f>
        <v>0.00630048082616841</v>
      </c>
      <c r="V341" s="83">
        <f>P341/'[21]2014'!P341-1</f>
        <v>-0.0590186858743172</v>
      </c>
      <c r="W341" s="83">
        <f>Q341/'[21]2014'!Q341-1</f>
        <v>0.154064502914494</v>
      </c>
      <c r="X341" s="83">
        <f>R341/'[21]2014'!R341-1</f>
        <v>0.00732667942724796</v>
      </c>
      <c r="Y341" s="89"/>
      <c r="Z341" s="101"/>
      <c r="AA341" s="89"/>
      <c r="AB341" s="75"/>
    </row>
    <row r="342" ht="15" customHeight="1" spans="1:28">
      <c r="A342" s="21">
        <v>42341</v>
      </c>
      <c r="B342" s="21" t="s">
        <v>36</v>
      </c>
      <c r="C342" s="22">
        <v>64370</v>
      </c>
      <c r="D342" s="8">
        <f>13750+7467</f>
        <v>21217</v>
      </c>
      <c r="E342" s="8">
        <v>86529</v>
      </c>
      <c r="F342" s="23">
        <v>4412</v>
      </c>
      <c r="G342" s="24">
        <v>2815</v>
      </c>
      <c r="H342" s="25">
        <v>1070</v>
      </c>
      <c r="I342" s="37">
        <v>736</v>
      </c>
      <c r="J342" s="9">
        <f t="shared" si="63"/>
        <v>65312</v>
      </c>
      <c r="K342" s="38">
        <f t="shared" si="68"/>
        <v>152</v>
      </c>
      <c r="L342" s="38">
        <v>790</v>
      </c>
      <c r="M342" s="78">
        <f t="shared" si="75"/>
        <v>188221</v>
      </c>
      <c r="N342" s="79">
        <f t="shared" si="75"/>
        <v>65415</v>
      </c>
      <c r="O342" s="79">
        <f t="shared" si="75"/>
        <v>256469</v>
      </c>
      <c r="P342" s="80">
        <f t="shared" si="76"/>
        <v>17469771</v>
      </c>
      <c r="Q342" s="80">
        <f t="shared" si="76"/>
        <v>9825044</v>
      </c>
      <c r="R342" s="80">
        <f t="shared" si="76"/>
        <v>27900283</v>
      </c>
      <c r="S342" s="84">
        <f>M342/'[21]2014'!M342-1</f>
        <v>-0.0133512958148118</v>
      </c>
      <c r="T342" s="84">
        <f>N342/'[21]2014'!N342-1</f>
        <v>-0.00042785324633654</v>
      </c>
      <c r="U342" s="84">
        <f>O342/'[21]2014'!O342-1</f>
        <v>-0.0124450810740043</v>
      </c>
      <c r="V342" s="85">
        <f>P342/'[21]2014'!P342-1</f>
        <v>-0.0591146567568114</v>
      </c>
      <c r="W342" s="85">
        <f>Q342/'[21]2014'!Q342-1</f>
        <v>0.153957366017488</v>
      </c>
      <c r="X342" s="85">
        <f>R342/'[21]2014'!R342-1</f>
        <v>0.00714758059904907</v>
      </c>
      <c r="Y342" s="97">
        <v>124.74</v>
      </c>
      <c r="Z342" s="54">
        <f>P342/10000-Y342</f>
        <v>1622.2371</v>
      </c>
      <c r="AA342" s="38">
        <f>3890.092+(12*(A342-"2015年6月30日")+100*(A342-"2015年9月14日")+66*(A342-"2015年11月17日"))/(A342-"2015年1月1日"+1)</f>
        <v>3922.51929970326</v>
      </c>
      <c r="AB342" s="38">
        <f>(Z342-3.98-2.7544)*10000/AA342</f>
        <v>4118.53346425144</v>
      </c>
    </row>
    <row r="343" ht="15" customHeight="1" spans="1:28">
      <c r="A343" s="21">
        <v>42342</v>
      </c>
      <c r="B343" s="21" t="s">
        <v>37</v>
      </c>
      <c r="C343" s="22">
        <v>67753</v>
      </c>
      <c r="D343" s="8">
        <v>21328</v>
      </c>
      <c r="E343" s="8">
        <v>89976</v>
      </c>
      <c r="F343" s="23">
        <v>4653</v>
      </c>
      <c r="G343" s="24">
        <v>2851</v>
      </c>
      <c r="H343" s="25">
        <v>1061</v>
      </c>
      <c r="I343" s="37">
        <v>736</v>
      </c>
      <c r="J343" s="9">
        <f t="shared" si="63"/>
        <v>68648</v>
      </c>
      <c r="K343" s="38">
        <f t="shared" si="68"/>
        <v>105</v>
      </c>
      <c r="L343" s="38">
        <v>790</v>
      </c>
      <c r="M343" s="78">
        <f t="shared" si="75"/>
        <v>255974</v>
      </c>
      <c r="N343" s="79">
        <f t="shared" si="75"/>
        <v>86743</v>
      </c>
      <c r="O343" s="79">
        <f t="shared" si="75"/>
        <v>346445</v>
      </c>
      <c r="P343" s="80">
        <f t="shared" si="76"/>
        <v>17537524</v>
      </c>
      <c r="Q343" s="80">
        <f t="shared" si="76"/>
        <v>9846372</v>
      </c>
      <c r="R343" s="80">
        <f t="shared" si="76"/>
        <v>27990259</v>
      </c>
      <c r="S343" s="84">
        <f>M343/'[21]2014'!M343-1</f>
        <v>-0.0211431608815196</v>
      </c>
      <c r="T343" s="84">
        <f>N343/'[21]2014'!N343-1</f>
        <v>0.0200498600625603</v>
      </c>
      <c r="U343" s="84">
        <f>O343/'[21]2014'!O343-1</f>
        <v>-0.0146531398163238</v>
      </c>
      <c r="V343" s="85">
        <f>P343/'[21]2014'!P343-1</f>
        <v>-0.0590503007010904</v>
      </c>
      <c r="W343" s="85">
        <f>Q343/'[21]2014'!Q343-1</f>
        <v>0.153806929786658</v>
      </c>
      <c r="X343" s="85">
        <f>R343/'[21]2014'!R343-1</f>
        <v>0.00705486929922605</v>
      </c>
      <c r="Y343" s="97"/>
      <c r="Z343" s="54"/>
      <c r="AA343" s="38"/>
      <c r="AB343" s="38"/>
    </row>
    <row r="344" ht="15" customHeight="1" spans="1:28">
      <c r="A344" s="21">
        <v>42343</v>
      </c>
      <c r="B344" s="21" t="s">
        <v>38</v>
      </c>
      <c r="C344" s="22">
        <v>70499</v>
      </c>
      <c r="D344" s="8">
        <v>20344</v>
      </c>
      <c r="E344" s="8">
        <v>92110</v>
      </c>
      <c r="F344" s="23">
        <v>4654</v>
      </c>
      <c r="G344" s="24">
        <v>2915</v>
      </c>
      <c r="H344" s="25"/>
      <c r="I344" s="37"/>
      <c r="J344" s="9">
        <f t="shared" si="63"/>
        <v>71766</v>
      </c>
      <c r="K344" s="38">
        <f t="shared" si="68"/>
        <v>477</v>
      </c>
      <c r="L344" s="38">
        <v>790</v>
      </c>
      <c r="M344" s="78">
        <f t="shared" si="75"/>
        <v>326473</v>
      </c>
      <c r="N344" s="79">
        <f t="shared" si="75"/>
        <v>107087</v>
      </c>
      <c r="O344" s="79">
        <f t="shared" si="75"/>
        <v>438555</v>
      </c>
      <c r="P344" s="80">
        <f t="shared" si="76"/>
        <v>17608023</v>
      </c>
      <c r="Q344" s="80">
        <f t="shared" si="76"/>
        <v>9866716</v>
      </c>
      <c r="R344" s="80">
        <f t="shared" si="76"/>
        <v>28082369</v>
      </c>
      <c r="S344" s="84">
        <f>M344/'[21]2014'!M344-1</f>
        <v>-0.0183772569418345</v>
      </c>
      <c r="T344" s="84">
        <f>N344/'[21]2014'!N344-1</f>
        <v>0.0164782489012918</v>
      </c>
      <c r="U344" s="84">
        <f>O344/'[21]2014'!O344-1</f>
        <v>-0.0122501655427776</v>
      </c>
      <c r="V344" s="85">
        <f>P344/'[21]2014'!P344-1</f>
        <v>-0.0588571115203692</v>
      </c>
      <c r="W344" s="85">
        <f>Q344/'[21]2014'!Q344-1</f>
        <v>0.153445317116285</v>
      </c>
      <c r="X344" s="85">
        <f>R344/'[21]2014'!R344-1</f>
        <v>0.00702120260230354</v>
      </c>
      <c r="Y344" s="97"/>
      <c r="Z344" s="54"/>
      <c r="AA344" s="38"/>
      <c r="AB344" s="38"/>
    </row>
    <row r="345" ht="15" customHeight="1" spans="1:28">
      <c r="A345" s="21">
        <v>42344</v>
      </c>
      <c r="B345" s="21" t="s">
        <v>1</v>
      </c>
      <c r="C345" s="22">
        <v>61692</v>
      </c>
      <c r="D345" s="8">
        <v>20881</v>
      </c>
      <c r="E345" s="8">
        <v>84371</v>
      </c>
      <c r="F345" s="23">
        <v>4230</v>
      </c>
      <c r="G345" s="24">
        <v>2796</v>
      </c>
      <c r="H345" s="25"/>
      <c r="I345" s="37"/>
      <c r="J345" s="9">
        <f t="shared" si="63"/>
        <v>63490</v>
      </c>
      <c r="K345" s="38">
        <f t="shared" si="68"/>
        <v>1008</v>
      </c>
      <c r="L345" s="38">
        <v>790</v>
      </c>
      <c r="M345" s="78">
        <f t="shared" si="75"/>
        <v>388165</v>
      </c>
      <c r="N345" s="79">
        <f t="shared" si="75"/>
        <v>127968</v>
      </c>
      <c r="O345" s="79">
        <f t="shared" si="75"/>
        <v>522926</v>
      </c>
      <c r="P345" s="80">
        <f t="shared" si="76"/>
        <v>17669715</v>
      </c>
      <c r="Q345" s="80">
        <f t="shared" si="76"/>
        <v>9887597</v>
      </c>
      <c r="R345" s="80">
        <f t="shared" si="76"/>
        <v>28166740</v>
      </c>
      <c r="S345" s="84">
        <f>M345/'[21]2014'!M345-1</f>
        <v>-0.0363762294634301</v>
      </c>
      <c r="T345" s="84">
        <f>N345/'[21]2014'!N345-1</f>
        <v>0.0183670221231895</v>
      </c>
      <c r="U345" s="84">
        <f>O345/'[21]2014'!O345-1</f>
        <v>-0.0238199243586728</v>
      </c>
      <c r="V345" s="85">
        <f>P345/'[21]2014'!P345-1</f>
        <v>-0.0590917986040573</v>
      </c>
      <c r="W345" s="85">
        <f>Q345/'[21]2014'!Q345-1</f>
        <v>0.153148583734589</v>
      </c>
      <c r="X345" s="85">
        <f>R345/'[21]2014'!R345-1</f>
        <v>0.00673652489013832</v>
      </c>
      <c r="Y345" s="97"/>
      <c r="Z345" s="54"/>
      <c r="AA345" s="38"/>
      <c r="AB345" s="38"/>
    </row>
    <row r="346" ht="15" customHeight="1" spans="1:28">
      <c r="A346" s="21">
        <v>42345</v>
      </c>
      <c r="B346" s="21" t="s">
        <v>39</v>
      </c>
      <c r="C346" s="22">
        <v>66823</v>
      </c>
      <c r="D346" s="8">
        <v>20968</v>
      </c>
      <c r="E346" s="8">
        <v>89353</v>
      </c>
      <c r="F346" s="23">
        <v>4698</v>
      </c>
      <c r="G346" s="24">
        <v>2720</v>
      </c>
      <c r="H346" s="25">
        <v>1065</v>
      </c>
      <c r="I346" s="37">
        <v>711</v>
      </c>
      <c r="J346" s="9">
        <f t="shared" si="63"/>
        <v>68385</v>
      </c>
      <c r="K346" s="38">
        <f t="shared" si="68"/>
        <v>772</v>
      </c>
      <c r="L346" s="38">
        <v>790</v>
      </c>
      <c r="M346" s="78">
        <f t="shared" si="75"/>
        <v>454988</v>
      </c>
      <c r="N346" s="79">
        <f t="shared" si="75"/>
        <v>148936</v>
      </c>
      <c r="O346" s="79">
        <f t="shared" si="75"/>
        <v>612279</v>
      </c>
      <c r="P346" s="80">
        <f t="shared" si="76"/>
        <v>17736538</v>
      </c>
      <c r="Q346" s="80">
        <f t="shared" si="76"/>
        <v>9908565</v>
      </c>
      <c r="R346" s="80">
        <f t="shared" si="76"/>
        <v>28256093</v>
      </c>
      <c r="S346" s="84">
        <f>M346/'[21]2014'!M346-1</f>
        <v>-0.026372102578149</v>
      </c>
      <c r="T346" s="84">
        <f>N346/'[21]2014'!N346-1</f>
        <v>0.0142118775068267</v>
      </c>
      <c r="U346" s="84">
        <f>O346/'[21]2014'!O346-1</f>
        <v>-0.0165504037212709</v>
      </c>
      <c r="V346" s="85">
        <f>P346/'[21]2014'!P346-1</f>
        <v>-0.0587659605202081</v>
      </c>
      <c r="W346" s="85">
        <f>Q346/'[21]2014'!Q346-1</f>
        <v>0.152745347676059</v>
      </c>
      <c r="X346" s="85">
        <f>R346/'[21]2014'!R346-1</f>
        <v>0.00680317749956449</v>
      </c>
      <c r="Y346" s="97"/>
      <c r="Z346" s="54"/>
      <c r="AA346" s="38"/>
      <c r="AB346" s="38"/>
    </row>
    <row r="347" ht="15" customHeight="1" spans="1:32">
      <c r="A347" s="21">
        <v>42346</v>
      </c>
      <c r="B347" s="15" t="s">
        <v>34</v>
      </c>
      <c r="C347" s="16">
        <v>64482</v>
      </c>
      <c r="D347" s="17">
        <v>23210</v>
      </c>
      <c r="E347" s="17">
        <v>89052</v>
      </c>
      <c r="F347" s="18">
        <v>4576</v>
      </c>
      <c r="G347" s="19">
        <v>2915</v>
      </c>
      <c r="H347" s="20"/>
      <c r="I347" s="20"/>
      <c r="J347" s="33">
        <f t="shared" si="63"/>
        <v>65842</v>
      </c>
      <c r="K347" s="34">
        <f t="shared" si="68"/>
        <v>570</v>
      </c>
      <c r="L347" s="34">
        <v>790</v>
      </c>
      <c r="M347" s="81">
        <f t="shared" si="75"/>
        <v>519470</v>
      </c>
      <c r="N347" s="82">
        <f t="shared" si="75"/>
        <v>172146</v>
      </c>
      <c r="O347" s="82">
        <f t="shared" si="75"/>
        <v>701331</v>
      </c>
      <c r="P347" s="81">
        <f t="shared" si="76"/>
        <v>17801020</v>
      </c>
      <c r="Q347" s="81">
        <f t="shared" si="76"/>
        <v>9931775</v>
      </c>
      <c r="R347" s="81">
        <f t="shared" si="76"/>
        <v>28345145</v>
      </c>
      <c r="S347" s="86">
        <f>M347/'[21]2014'!M347-1</f>
        <v>-0.0317824804947421</v>
      </c>
      <c r="T347" s="86">
        <f>N347/'[21]2014'!N347-1</f>
        <v>0.0282038417431192</v>
      </c>
      <c r="U347" s="86">
        <f>O347/'[21]2014'!O347-1</f>
        <v>-0.0171090858383354</v>
      </c>
      <c r="V347" s="86">
        <f>P347/'[21]2014'!P347-1</f>
        <v>-0.0588008996290355</v>
      </c>
      <c r="W347" s="86">
        <f>Q347/'[21]2014'!Q347-1</f>
        <v>0.152686419654793</v>
      </c>
      <c r="X347" s="86">
        <f>R347/'[21]2014'!R347-1</f>
        <v>0.00671357743728174</v>
      </c>
      <c r="Y347" s="100">
        <f>Y342+(Y349-Y342)/7*5</f>
        <v>129.895142857143</v>
      </c>
      <c r="Z347" s="53">
        <f>P347/10000-Y347</f>
        <v>1650.20685714286</v>
      </c>
      <c r="AA347" s="34">
        <f>3890.092+(12*(A347-"2015年6月30日")+100*(A347-"2015年9月14日")+66*(A347-"2015年11月17日"))/(A347-"2015年1月1日"+1)</f>
        <v>3924.64755555556</v>
      </c>
      <c r="AB347" s="34">
        <f>(Z347-3.98-2.7544)*10000/AA347</f>
        <v>4187.5669951979</v>
      </c>
      <c r="AC347" s="67">
        <f t="shared" ref="AC347" si="77">AC340+SUM(K341:K347)/10000</f>
        <v>37.2583</v>
      </c>
      <c r="AD347" s="2">
        <f t="shared" ref="AD347" si="78">AD340+SUM(L341:L347)/10000</f>
        <v>23.9604</v>
      </c>
      <c r="AF347" s="2">
        <f t="shared" ref="AF347" si="79">AF340+SUM(J341:J347)/10000</f>
        <v>1841.321</v>
      </c>
    </row>
    <row r="348" ht="15" customHeight="1" spans="1:28">
      <c r="A348" s="21">
        <v>42347</v>
      </c>
      <c r="B348" s="21" t="s">
        <v>35</v>
      </c>
      <c r="C348" s="70">
        <v>65107</v>
      </c>
      <c r="D348" s="71">
        <v>22430</v>
      </c>
      <c r="E348" s="71">
        <v>88879</v>
      </c>
      <c r="F348" s="72">
        <v>4544</v>
      </c>
      <c r="G348" s="73">
        <v>2827</v>
      </c>
      <c r="H348" s="25">
        <v>1151</v>
      </c>
      <c r="I348" s="25">
        <v>735</v>
      </c>
      <c r="J348" s="74">
        <f t="shared" si="63"/>
        <v>66449</v>
      </c>
      <c r="K348" s="75">
        <f t="shared" si="68"/>
        <v>552</v>
      </c>
      <c r="L348" s="75">
        <v>790</v>
      </c>
      <c r="M348" s="76">
        <f t="shared" si="75"/>
        <v>584577</v>
      </c>
      <c r="N348" s="77">
        <f t="shared" si="75"/>
        <v>194576</v>
      </c>
      <c r="O348" s="77">
        <f t="shared" si="75"/>
        <v>790210</v>
      </c>
      <c r="P348" s="76">
        <f t="shared" si="76"/>
        <v>17866127</v>
      </c>
      <c r="Q348" s="76">
        <f t="shared" si="76"/>
        <v>9954205</v>
      </c>
      <c r="R348" s="76">
        <f t="shared" si="76"/>
        <v>28434024</v>
      </c>
      <c r="S348" s="83">
        <f>M348/'[21]2014'!M348-1</f>
        <v>-0.0405430024668502</v>
      </c>
      <c r="T348" s="83">
        <f>N348/'[21]2014'!N348-1</f>
        <v>0.040018386970907</v>
      </c>
      <c r="U348" s="83">
        <f>O348/'[21]2014'!O348-1</f>
        <v>-0.0211475048372192</v>
      </c>
      <c r="V348" s="83">
        <f>P348/'[21]2014'!P348-1</f>
        <v>-0.0589784959206012</v>
      </c>
      <c r="W348" s="83">
        <f>Q348/'[21]2014'!Q348-1</f>
        <v>0.152658908978818</v>
      </c>
      <c r="X348" s="83">
        <f>R348/'[21]2014'!R348-1</f>
        <v>0.00651912157299761</v>
      </c>
      <c r="Y348" s="89"/>
      <c r="Z348" s="101"/>
      <c r="AA348" s="89"/>
      <c r="AB348" s="75"/>
    </row>
    <row r="349" ht="15" customHeight="1" spans="1:28">
      <c r="A349" s="21">
        <v>42348</v>
      </c>
      <c r="B349" s="21" t="s">
        <v>36</v>
      </c>
      <c r="C349" s="22">
        <v>63769</v>
      </c>
      <c r="D349" s="8">
        <v>20902</v>
      </c>
      <c r="E349" s="8">
        <v>86233</v>
      </c>
      <c r="F349" s="23">
        <v>4436</v>
      </c>
      <c r="G349" s="24">
        <v>2751</v>
      </c>
      <c r="H349" s="25"/>
      <c r="I349" s="37"/>
      <c r="J349" s="9">
        <f t="shared" si="63"/>
        <v>65331</v>
      </c>
      <c r="K349" s="38">
        <f t="shared" si="68"/>
        <v>772</v>
      </c>
      <c r="L349" s="38">
        <v>790</v>
      </c>
      <c r="M349" s="78">
        <f t="shared" si="75"/>
        <v>648346</v>
      </c>
      <c r="N349" s="79">
        <f t="shared" si="75"/>
        <v>215478</v>
      </c>
      <c r="O349" s="79">
        <f t="shared" si="75"/>
        <v>876443</v>
      </c>
      <c r="P349" s="80">
        <f t="shared" si="76"/>
        <v>17929896</v>
      </c>
      <c r="Q349" s="80">
        <f t="shared" si="76"/>
        <v>9975107</v>
      </c>
      <c r="R349" s="80">
        <f t="shared" si="76"/>
        <v>28520257</v>
      </c>
      <c r="S349" s="84">
        <f>M349/'[21]2014'!M349-1</f>
        <v>-0.0483134192525614</v>
      </c>
      <c r="T349" s="84">
        <f>N349/'[21]2014'!N349-1</f>
        <v>0.0432799616537312</v>
      </c>
      <c r="U349" s="84">
        <f>O349/'[21]2014'!O349-1</f>
        <v>-0.0263302316073872</v>
      </c>
      <c r="V349" s="85">
        <f>P349/'[21]2014'!P349-1</f>
        <v>-0.0591866340551123</v>
      </c>
      <c r="W349" s="85">
        <f>Q349/'[21]2014'!Q349-1</f>
        <v>0.152483615989184</v>
      </c>
      <c r="X349" s="85">
        <f>R349/'[21]2014'!R349-1</f>
        <v>0.00626387513843052</v>
      </c>
      <c r="Y349" s="97">
        <v>131.9572</v>
      </c>
      <c r="Z349" s="54">
        <f>P349/10000-Y349</f>
        <v>1661.0324</v>
      </c>
      <c r="AA349" s="38">
        <f>3890.092+(12*(A349-"2015年6月30日")+100*(A349-"2015年9月14日")+66*(A349-"2015年11月17日"))/(A349-"2015年1月1日"+1)</f>
        <v>3925.48153488372</v>
      </c>
      <c r="AB349" s="38">
        <f>(Z349-4.9818-3.3319)*10000/AA349</f>
        <v>4210.23175198545</v>
      </c>
    </row>
    <row r="350" ht="15" customHeight="1" spans="1:28">
      <c r="A350" s="21">
        <v>42349</v>
      </c>
      <c r="B350" s="21" t="s">
        <v>37</v>
      </c>
      <c r="C350" s="22">
        <v>63044</v>
      </c>
      <c r="D350" s="8">
        <f>15001+5680</f>
        <v>20681</v>
      </c>
      <c r="E350" s="8">
        <v>85961</v>
      </c>
      <c r="F350" s="23">
        <v>4428</v>
      </c>
      <c r="G350" s="24">
        <v>2692</v>
      </c>
      <c r="H350" s="25"/>
      <c r="I350" s="37"/>
      <c r="J350" s="9">
        <f t="shared" si="63"/>
        <v>65280</v>
      </c>
      <c r="K350" s="38">
        <f t="shared" si="68"/>
        <v>1446</v>
      </c>
      <c r="L350" s="38">
        <v>790</v>
      </c>
      <c r="M350" s="78">
        <f t="shared" si="75"/>
        <v>711390</v>
      </c>
      <c r="N350" s="79">
        <f t="shared" si="75"/>
        <v>236159</v>
      </c>
      <c r="O350" s="79">
        <f t="shared" si="75"/>
        <v>962404</v>
      </c>
      <c r="P350" s="80">
        <f t="shared" si="76"/>
        <v>17992940</v>
      </c>
      <c r="Q350" s="80">
        <f t="shared" si="76"/>
        <v>9995788</v>
      </c>
      <c r="R350" s="80">
        <f t="shared" si="76"/>
        <v>28606218</v>
      </c>
      <c r="S350" s="84">
        <f>M350/'[21]2014'!M350-1</f>
        <v>-0.0588199494872653</v>
      </c>
      <c r="T350" s="84">
        <f>N350/'[21]2014'!N350-1</f>
        <v>0.0452658321972983</v>
      </c>
      <c r="U350" s="84">
        <f>O350/'[21]2014'!O350-1</f>
        <v>-0.0332213265024235</v>
      </c>
      <c r="V350" s="85">
        <f>P350/'[21]2014'!P350-1</f>
        <v>-0.0595593163784095</v>
      </c>
      <c r="W350" s="85">
        <f>Q350/'[21]2014'!Q350-1</f>
        <v>0.152291204319132</v>
      </c>
      <c r="X350" s="85">
        <f>R350/'[21]2014'!R350-1</f>
        <v>0.00591338906347127</v>
      </c>
      <c r="Y350" s="97"/>
      <c r="Z350" s="54"/>
      <c r="AA350" s="38"/>
      <c r="AB350" s="38"/>
    </row>
    <row r="351" ht="15" customHeight="1" spans="1:28">
      <c r="A351" s="21">
        <v>42350</v>
      </c>
      <c r="B351" s="21" t="s">
        <v>38</v>
      </c>
      <c r="C351" s="22">
        <v>61762</v>
      </c>
      <c r="D351" s="8">
        <f>15865+5972</f>
        <v>21837</v>
      </c>
      <c r="E351" s="8">
        <v>85456</v>
      </c>
      <c r="F351" s="23">
        <v>4277</v>
      </c>
      <c r="G351" s="24">
        <v>2789</v>
      </c>
      <c r="H351" s="25"/>
      <c r="I351" s="37"/>
      <c r="J351" s="9">
        <f t="shared" si="63"/>
        <v>63619</v>
      </c>
      <c r="K351" s="38">
        <f t="shared" si="68"/>
        <v>1067</v>
      </c>
      <c r="L351" s="38">
        <v>790</v>
      </c>
      <c r="M351" s="78">
        <f t="shared" si="75"/>
        <v>773152</v>
      </c>
      <c r="N351" s="79">
        <f t="shared" si="75"/>
        <v>257996</v>
      </c>
      <c r="O351" s="79">
        <f t="shared" si="75"/>
        <v>1047860</v>
      </c>
      <c r="P351" s="80">
        <f t="shared" si="76"/>
        <v>18054702</v>
      </c>
      <c r="Q351" s="80">
        <f t="shared" si="76"/>
        <v>10017625</v>
      </c>
      <c r="R351" s="80">
        <f t="shared" si="76"/>
        <v>28691674</v>
      </c>
      <c r="S351" s="84">
        <f>M351/'[21]2014'!M351-1</f>
        <v>-0.0674781509544107</v>
      </c>
      <c r="T351" s="84">
        <f>N351/'[21]2014'!N351-1</f>
        <v>0.0462931044971024</v>
      </c>
      <c r="U351" s="84">
        <f>O351/'[21]2014'!O351-1</f>
        <v>-0.0391215957847748</v>
      </c>
      <c r="V351" s="85">
        <f>P351/'[21]2014'!P351-1</f>
        <v>-0.0599302655122528</v>
      </c>
      <c r="W351" s="85">
        <f>Q351/'[21]2014'!Q351-1</f>
        <v>0.152066180617917</v>
      </c>
      <c r="X351" s="85">
        <f>R351/'[21]2014'!R351-1</f>
        <v>0.00555751972071072</v>
      </c>
      <c r="Y351" s="97"/>
      <c r="Z351" s="54"/>
      <c r="AA351" s="38"/>
      <c r="AB351" s="38"/>
    </row>
    <row r="352" ht="15" customHeight="1" spans="1:28">
      <c r="A352" s="21">
        <v>42351</v>
      </c>
      <c r="B352" s="21" t="s">
        <v>1</v>
      </c>
      <c r="C352" s="22">
        <v>59443</v>
      </c>
      <c r="D352" s="8">
        <f>15287+6375</f>
        <v>21662</v>
      </c>
      <c r="E352" s="8">
        <v>82440</v>
      </c>
      <c r="F352" s="23">
        <v>4080</v>
      </c>
      <c r="G352" s="24">
        <v>2751</v>
      </c>
      <c r="H352" s="25"/>
      <c r="I352" s="37"/>
      <c r="J352" s="9">
        <f t="shared" si="63"/>
        <v>60778</v>
      </c>
      <c r="K352" s="38">
        <f t="shared" si="68"/>
        <v>545</v>
      </c>
      <c r="L352" s="38">
        <v>790</v>
      </c>
      <c r="M352" s="78">
        <f t="shared" si="75"/>
        <v>832595</v>
      </c>
      <c r="N352" s="79">
        <f t="shared" si="75"/>
        <v>279658</v>
      </c>
      <c r="O352" s="79">
        <f t="shared" si="75"/>
        <v>1130300</v>
      </c>
      <c r="P352" s="80">
        <f t="shared" si="76"/>
        <v>18114145</v>
      </c>
      <c r="Q352" s="80">
        <f t="shared" si="76"/>
        <v>10039287</v>
      </c>
      <c r="R352" s="80">
        <f t="shared" si="76"/>
        <v>28774114</v>
      </c>
      <c r="S352" s="84">
        <f>M352/'[21]2014'!M352-1</f>
        <v>-0.0768382128740042</v>
      </c>
      <c r="T352" s="84">
        <f>N352/'[21]2014'!N352-1</f>
        <v>0.0493772959748442</v>
      </c>
      <c r="U352" s="84">
        <f>O352/'[21]2014'!O352-1</f>
        <v>-0.045492585108063</v>
      </c>
      <c r="V352" s="85">
        <f>P352/'[21]2014'!P352-1</f>
        <v>-0.0603966532254425</v>
      </c>
      <c r="W352" s="85">
        <f>Q352/'[21]2014'!Q352-1</f>
        <v>0.151918755045381</v>
      </c>
      <c r="X352" s="85">
        <f>R352/'[21]2014'!R352-1</f>
        <v>0.00514781721773261</v>
      </c>
      <c r="Y352" s="97"/>
      <c r="Z352" s="54"/>
      <c r="AA352" s="38"/>
      <c r="AB352" s="38"/>
    </row>
    <row r="353" ht="15" customHeight="1" spans="1:28">
      <c r="A353" s="21">
        <v>42352</v>
      </c>
      <c r="B353" s="21" t="s">
        <v>39</v>
      </c>
      <c r="C353" s="22">
        <v>63132</v>
      </c>
      <c r="D353" s="8">
        <f>15486+6637</f>
        <v>22123</v>
      </c>
      <c r="E353" s="8">
        <v>86988</v>
      </c>
      <c r="F353" s="23">
        <v>4477</v>
      </c>
      <c r="G353" s="24">
        <v>2653</v>
      </c>
      <c r="H353" s="25"/>
      <c r="I353" s="37"/>
      <c r="J353" s="9">
        <f t="shared" si="63"/>
        <v>64865</v>
      </c>
      <c r="K353" s="38">
        <f t="shared" si="68"/>
        <v>943</v>
      </c>
      <c r="L353" s="38">
        <v>790</v>
      </c>
      <c r="M353" s="78">
        <f t="shared" si="75"/>
        <v>895727</v>
      </c>
      <c r="N353" s="79">
        <f t="shared" si="75"/>
        <v>301781</v>
      </c>
      <c r="O353" s="79">
        <f t="shared" si="75"/>
        <v>1217288</v>
      </c>
      <c r="P353" s="80">
        <f t="shared" si="76"/>
        <v>18177277</v>
      </c>
      <c r="Q353" s="80">
        <f t="shared" si="76"/>
        <v>10061410</v>
      </c>
      <c r="R353" s="80">
        <f t="shared" si="76"/>
        <v>28861102</v>
      </c>
      <c r="S353" s="84">
        <f>M353/'[21]2014'!M353-1</f>
        <v>-0.0755093215204663</v>
      </c>
      <c r="T353" s="84">
        <f>N353/'[21]2014'!N353-1</f>
        <v>0.0504586038254695</v>
      </c>
      <c r="U353" s="84">
        <f>O353/'[21]2014'!O353-1</f>
        <v>-0.043643383020162</v>
      </c>
      <c r="V353" s="85">
        <f>P353/'[21]2014'!P353-1</f>
        <v>-0.060387033797121</v>
      </c>
      <c r="W353" s="85">
        <f>Q353/'[21]2014'!Q353-1</f>
        <v>0.151710333474721</v>
      </c>
      <c r="X353" s="85">
        <f>R353/'[21]2014'!R353-1</f>
        <v>0.00507341653334947</v>
      </c>
      <c r="Y353" s="97"/>
      <c r="Z353" s="54"/>
      <c r="AA353" s="38"/>
      <c r="AB353" s="38"/>
    </row>
    <row r="354" customHeight="1" spans="1:32">
      <c r="A354" s="21">
        <v>42353</v>
      </c>
      <c r="B354" s="15" t="s">
        <v>34</v>
      </c>
      <c r="C354" s="16">
        <v>63478</v>
      </c>
      <c r="D354" s="17">
        <v>22580</v>
      </c>
      <c r="E354" s="17">
        <v>87762</v>
      </c>
      <c r="F354" s="18">
        <v>4473</v>
      </c>
      <c r="G354" s="19">
        <v>2795</v>
      </c>
      <c r="H354" s="20"/>
      <c r="I354" s="20"/>
      <c r="J354" s="33">
        <f t="shared" si="63"/>
        <v>65182</v>
      </c>
      <c r="K354" s="34">
        <f t="shared" si="68"/>
        <v>914</v>
      </c>
      <c r="L354" s="34">
        <v>790</v>
      </c>
      <c r="M354" s="81">
        <f t="shared" si="75"/>
        <v>959205</v>
      </c>
      <c r="N354" s="82">
        <f t="shared" si="75"/>
        <v>324361</v>
      </c>
      <c r="O354" s="82">
        <f t="shared" si="75"/>
        <v>1305050</v>
      </c>
      <c r="P354" s="81">
        <f t="shared" si="76"/>
        <v>18240755</v>
      </c>
      <c r="Q354" s="81">
        <f t="shared" si="76"/>
        <v>10083990</v>
      </c>
      <c r="R354" s="81">
        <f t="shared" si="76"/>
        <v>28948864</v>
      </c>
      <c r="S354" s="86">
        <f>M354/'[21]2014'!M354-1</f>
        <v>-0.0779579065754754</v>
      </c>
      <c r="T354" s="86">
        <f>N354/'[21]2014'!N354-1</f>
        <v>0.052887674149863</v>
      </c>
      <c r="U354" s="86">
        <f>O354/'[21]2014'!O354-1</f>
        <v>-0.0447885513693768</v>
      </c>
      <c r="V354" s="86">
        <f>P354/'[21]2014'!P354-1</f>
        <v>-0.0605738440798413</v>
      </c>
      <c r="W354" s="86">
        <f>Q354/'[21]2014'!Q354-1</f>
        <v>0.151555483611816</v>
      </c>
      <c r="X354" s="86">
        <f>R354/'[21]2014'!R354-1</f>
        <v>0.00486115957934108</v>
      </c>
      <c r="Y354" s="100">
        <f>Y349+(Y356-Y349)/7*5</f>
        <v>136.9592</v>
      </c>
      <c r="Z354" s="53">
        <f>P354/10000-Y354</f>
        <v>1687.1163</v>
      </c>
      <c r="AA354" s="34">
        <f>3890.092+(12*(A354-"2015年6月30日")+100*(A354-"2015年9月14日")+66*(A354-"2015年11月17日"))/(A354-"2015年1月1日"+1)</f>
        <v>3927.52466475645</v>
      </c>
      <c r="AB354" s="34">
        <f>(Z354-3.98-2.7544)*10000/AA354</f>
        <v>4278.47574091353</v>
      </c>
      <c r="AC354" s="67">
        <f t="shared" ref="AC354" si="80">AC347+SUM(K348:K354)/10000</f>
        <v>37.8822</v>
      </c>
      <c r="AD354" s="2">
        <f t="shared" ref="AD354" si="81">AD347+SUM(L348:L354)/10000</f>
        <v>24.5134</v>
      </c>
      <c r="AF354" s="2">
        <f t="shared" ref="AF354" si="82">AF347+SUM(J348:J354)/10000</f>
        <v>1886.4714</v>
      </c>
    </row>
    <row r="355" ht="15" customHeight="1" spans="1:28">
      <c r="A355" s="21">
        <v>42354</v>
      </c>
      <c r="B355" s="21" t="s">
        <v>35</v>
      </c>
      <c r="C355" s="70">
        <v>63904</v>
      </c>
      <c r="D355" s="71">
        <f>15743+7254</f>
        <v>22997</v>
      </c>
      <c r="E355" s="71">
        <v>88174</v>
      </c>
      <c r="F355" s="72">
        <v>4419</v>
      </c>
      <c r="G355" s="73">
        <v>2778</v>
      </c>
      <c r="H355" s="25"/>
      <c r="I355" s="25"/>
      <c r="J355" s="74">
        <f t="shared" si="63"/>
        <v>65177</v>
      </c>
      <c r="K355" s="75">
        <f t="shared" si="68"/>
        <v>483</v>
      </c>
      <c r="L355" s="75">
        <v>790</v>
      </c>
      <c r="M355" s="76">
        <f t="shared" si="75"/>
        <v>1023109</v>
      </c>
      <c r="N355" s="77">
        <f t="shared" si="75"/>
        <v>347358</v>
      </c>
      <c r="O355" s="77">
        <f t="shared" si="75"/>
        <v>1393224</v>
      </c>
      <c r="P355" s="76">
        <f t="shared" si="76"/>
        <v>18304659</v>
      </c>
      <c r="Q355" s="76">
        <f t="shared" si="76"/>
        <v>10106987</v>
      </c>
      <c r="R355" s="76">
        <f t="shared" si="76"/>
        <v>29037038</v>
      </c>
      <c r="S355" s="83">
        <f>M355/'[21]2014'!M355-1</f>
        <v>-0.0812021229782763</v>
      </c>
      <c r="T355" s="83">
        <f>N355/'[21]2014'!N355-1</f>
        <v>0.0580247816075148</v>
      </c>
      <c r="U355" s="83">
        <f>O355/'[21]2014'!O355-1</f>
        <v>-0.0464129880529899</v>
      </c>
      <c r="V355" s="83">
        <f>P355/'[21]2014'!P355-1</f>
        <v>-0.0608245083141283</v>
      </c>
      <c r="W355" s="83">
        <f>Q355/'[21]2014'!Q355-1</f>
        <v>0.151520109330179</v>
      </c>
      <c r="X355" s="83">
        <f>R355/'[21]2014'!R355-1</f>
        <v>0.00461621428595715</v>
      </c>
      <c r="Y355" s="89"/>
      <c r="Z355" s="101"/>
      <c r="AA355" s="89"/>
      <c r="AB355" s="75"/>
    </row>
    <row r="356" ht="15" customHeight="1" spans="1:28">
      <c r="A356" s="21">
        <v>42355</v>
      </c>
      <c r="B356" s="21" t="s">
        <v>36</v>
      </c>
      <c r="C356" s="22">
        <v>65495</v>
      </c>
      <c r="D356" s="8">
        <f>15901+7639</f>
        <v>23540</v>
      </c>
      <c r="E356" s="8">
        <v>91749</v>
      </c>
      <c r="F356" s="23">
        <v>4634</v>
      </c>
      <c r="G356" s="24">
        <v>2824</v>
      </c>
      <c r="H356" s="25">
        <v>1233</v>
      </c>
      <c r="I356" s="37">
        <v>737</v>
      </c>
      <c r="J356" s="9">
        <f t="shared" si="63"/>
        <v>68209</v>
      </c>
      <c r="K356" s="38">
        <f t="shared" si="68"/>
        <v>1924</v>
      </c>
      <c r="L356" s="38">
        <v>790</v>
      </c>
      <c r="M356" s="78">
        <f t="shared" si="75"/>
        <v>1088604</v>
      </c>
      <c r="N356" s="79">
        <f t="shared" si="75"/>
        <v>370898</v>
      </c>
      <c r="O356" s="79">
        <f t="shared" si="75"/>
        <v>1484973</v>
      </c>
      <c r="P356" s="80">
        <f t="shared" si="76"/>
        <v>18370154</v>
      </c>
      <c r="Q356" s="80">
        <f t="shared" si="76"/>
        <v>10130527</v>
      </c>
      <c r="R356" s="80">
        <v>29132400</v>
      </c>
      <c r="S356" s="84">
        <f>M356/'[21]2014'!M356-1</f>
        <v>-0.0847675649408246</v>
      </c>
      <c r="T356" s="84">
        <f>N356/'[21]2014'!N356-1</f>
        <v>0.0658539809530378</v>
      </c>
      <c r="U356" s="84">
        <f>O356/'[21]2014'!O356-1</f>
        <v>-0.0465889413863041</v>
      </c>
      <c r="V356" s="85">
        <f>P356/'[21]2014'!P356-1</f>
        <v>-0.0611203005044046</v>
      </c>
      <c r="W356" s="85">
        <f>Q356/'[21]2014'!Q356-1</f>
        <v>0.151620713839243</v>
      </c>
      <c r="X356" s="85">
        <f>R356/'[21]2014'!R356-1</f>
        <v>0.00456154298807498</v>
      </c>
      <c r="Y356" s="97">
        <v>138.96</v>
      </c>
      <c r="Z356" s="54">
        <f>P356/10000-Y356</f>
        <v>1698.0554</v>
      </c>
      <c r="AA356" s="38">
        <f>3890.092+(12*(A356-"2015年6月30日")+100*(A356-"2015年9月14日")+66*(A356-"2015年11月17日")+100*(A356-"2015年12月14日"))/(A356-"2015年1月1日"+1)</f>
        <v>3929.18031908832</v>
      </c>
      <c r="AB356" s="38">
        <f>(Z356-4.9818-3.3319-0.95-0.84)*10000/AA356</f>
        <v>4295.93849841855</v>
      </c>
    </row>
    <row r="357" ht="15" customHeight="1" spans="1:28">
      <c r="A357" s="21">
        <v>42356</v>
      </c>
      <c r="B357" s="21" t="s">
        <v>37</v>
      </c>
      <c r="C357" s="22">
        <v>68105</v>
      </c>
      <c r="D357" s="8">
        <v>23708</v>
      </c>
      <c r="E357" s="8">
        <v>94212</v>
      </c>
      <c r="F357" s="23">
        <v>4782</v>
      </c>
      <c r="G357" s="24">
        <v>2945</v>
      </c>
      <c r="H357" s="25">
        <v>1230</v>
      </c>
      <c r="I357" s="37">
        <v>743</v>
      </c>
      <c r="J357" s="9">
        <f t="shared" si="63"/>
        <v>70504</v>
      </c>
      <c r="K357" s="38">
        <f t="shared" si="68"/>
        <v>1609</v>
      </c>
      <c r="L357" s="38">
        <v>790</v>
      </c>
      <c r="M357" s="78">
        <f t="shared" ref="M357:O370" si="83">M356+C357</f>
        <v>1156709</v>
      </c>
      <c r="N357" s="79">
        <f t="shared" si="83"/>
        <v>394606</v>
      </c>
      <c r="O357" s="79">
        <f t="shared" si="83"/>
        <v>1579185</v>
      </c>
      <c r="P357" s="80">
        <f t="shared" si="76"/>
        <v>18438259</v>
      </c>
      <c r="Q357" s="80">
        <f t="shared" si="76"/>
        <v>10154235</v>
      </c>
      <c r="R357" s="80">
        <f t="shared" si="76"/>
        <v>29222999</v>
      </c>
      <c r="S357" s="84">
        <f>M357/'[21]2014'!M357-1</f>
        <v>-0.0848350587648891</v>
      </c>
      <c r="T357" s="84">
        <f>N357/'[21]2014'!N357-1</f>
        <v>0.0646668717184962</v>
      </c>
      <c r="U357" s="84">
        <f>O357/'[21]2014'!O357-1</f>
        <v>-0.0457923708586863</v>
      </c>
      <c r="V357" s="85">
        <f>P357/'[21]2014'!P357-1</f>
        <v>-0.0612143493799713</v>
      </c>
      <c r="W357" s="85">
        <f>Q357/'[21]2014'!Q357-1</f>
        <v>0.15135050095457</v>
      </c>
      <c r="X357" s="85">
        <f>R357/'[21]2014'!R357-1</f>
        <v>0.00431140353008708</v>
      </c>
      <c r="Y357" s="97"/>
      <c r="Z357" s="54"/>
      <c r="AA357" s="38"/>
      <c r="AB357" s="38"/>
    </row>
    <row r="358" ht="15" customHeight="1" spans="1:28">
      <c r="A358" s="21">
        <v>42357</v>
      </c>
      <c r="B358" s="21" t="s">
        <v>38</v>
      </c>
      <c r="C358" s="22">
        <v>66316</v>
      </c>
      <c r="D358" s="8">
        <v>23930</v>
      </c>
      <c r="E358" s="8">
        <v>91672</v>
      </c>
      <c r="F358" s="23">
        <v>4676</v>
      </c>
      <c r="G358" s="24">
        <v>2975</v>
      </c>
      <c r="H358" s="25"/>
      <c r="I358" s="37"/>
      <c r="J358" s="9">
        <f t="shared" si="63"/>
        <v>67742</v>
      </c>
      <c r="K358" s="38">
        <f t="shared" si="68"/>
        <v>636</v>
      </c>
      <c r="L358" s="38">
        <v>790</v>
      </c>
      <c r="M358" s="78">
        <f t="shared" si="83"/>
        <v>1223025</v>
      </c>
      <c r="N358" s="79">
        <f t="shared" si="83"/>
        <v>418536</v>
      </c>
      <c r="O358" s="79">
        <f t="shared" si="83"/>
        <v>1670857</v>
      </c>
      <c r="P358" s="80">
        <f t="shared" si="76"/>
        <v>18504575</v>
      </c>
      <c r="Q358" s="80">
        <f t="shared" si="76"/>
        <v>10178165</v>
      </c>
      <c r="R358" s="80">
        <f t="shared" si="76"/>
        <v>29314671</v>
      </c>
      <c r="S358" s="84">
        <f>M358/'[21]2014'!M358-1</f>
        <v>-0.0848327029059522</v>
      </c>
      <c r="T358" s="84">
        <f>N358/'[21]2014'!N358-1</f>
        <v>0.0612640253565768</v>
      </c>
      <c r="U358" s="84">
        <f>O358/'[21]2014'!O358-1</f>
        <v>-0.0462818361359407</v>
      </c>
      <c r="V358" s="85">
        <f>P358/'[21]2014'!P358-1</f>
        <v>-0.0613010134123662</v>
      </c>
      <c r="W358" s="85">
        <f>Q358/'[21]2014'!Q358-1</f>
        <v>0.150966067010402</v>
      </c>
      <c r="X358" s="85">
        <f>R358/'[21]2014'!R358-1</f>
        <v>0.00411561071538213</v>
      </c>
      <c r="Y358" s="97"/>
      <c r="Z358" s="54"/>
      <c r="AA358" s="38"/>
      <c r="AB358" s="38"/>
    </row>
    <row r="359" ht="15" customHeight="1" spans="1:28">
      <c r="A359" s="21">
        <v>42358</v>
      </c>
      <c r="B359" s="21" t="s">
        <v>1</v>
      </c>
      <c r="C359" s="22">
        <v>63450</v>
      </c>
      <c r="D359" s="8">
        <v>22996</v>
      </c>
      <c r="E359" s="8">
        <v>88270</v>
      </c>
      <c r="F359" s="23">
        <v>4396</v>
      </c>
      <c r="G359" s="24">
        <v>2905</v>
      </c>
      <c r="H359" s="25"/>
      <c r="I359" s="37"/>
      <c r="J359" s="9">
        <f t="shared" si="63"/>
        <v>65274</v>
      </c>
      <c r="K359" s="38">
        <f t="shared" si="68"/>
        <v>1034</v>
      </c>
      <c r="L359" s="38">
        <v>790</v>
      </c>
      <c r="M359" s="78">
        <f t="shared" si="83"/>
        <v>1286475</v>
      </c>
      <c r="N359" s="79">
        <f t="shared" si="83"/>
        <v>441532</v>
      </c>
      <c r="O359" s="79">
        <f t="shared" si="83"/>
        <v>1759127</v>
      </c>
      <c r="P359" s="80">
        <f t="shared" si="76"/>
        <v>18568025</v>
      </c>
      <c r="Q359" s="80">
        <f t="shared" si="76"/>
        <v>10201161</v>
      </c>
      <c r="R359" s="80">
        <f t="shared" si="76"/>
        <v>29402941</v>
      </c>
      <c r="S359" s="84">
        <f>M359/'[21]2014'!M359-1</f>
        <v>-0.0844239445049779</v>
      </c>
      <c r="T359" s="84">
        <f>N359/'[21]2014'!N359-1</f>
        <v>0.0548002474957776</v>
      </c>
      <c r="U359" s="84">
        <f>O359/'[21]2014'!O359-1</f>
        <v>-0.0467962691731026</v>
      </c>
      <c r="V359" s="85">
        <f>P359/'[21]2014'!P359-1</f>
        <v>-0.0613537073091673</v>
      </c>
      <c r="W359" s="85">
        <f>Q359/'[21]2014'!Q359-1</f>
        <v>0.150415949265664</v>
      </c>
      <c r="X359" s="85">
        <f>R359/'[21]2014'!R359-1</f>
        <v>0.00392222098710038</v>
      </c>
      <c r="Y359" s="97">
        <v>141.0617</v>
      </c>
      <c r="Z359" s="54">
        <f>P359/10000-Y359</f>
        <v>1715.7408</v>
      </c>
      <c r="AA359" s="38">
        <f>3890.092+(12*(A359-"2015年6月30日")+100*(A359-"2015年9月14日")+66*(A359-"2015年11月17日")+100*(A359-"2015年12月14日")+66*(A359-"2015年12月19日"))/(A359-"2015年1月1日"+1)</f>
        <v>3931.39143502825</v>
      </c>
      <c r="AB359" s="38">
        <f>(Z359-4.9818-4.63)*10000/AA359</f>
        <v>4339.75865338309</v>
      </c>
    </row>
    <row r="360" ht="15" customHeight="1" spans="1:28">
      <c r="A360" s="21">
        <v>42359</v>
      </c>
      <c r="B360" s="21" t="s">
        <v>39</v>
      </c>
      <c r="C360" s="22">
        <v>65811</v>
      </c>
      <c r="D360" s="8">
        <f>15659+7659</f>
        <v>23318</v>
      </c>
      <c r="E360" s="8">
        <v>92035</v>
      </c>
      <c r="F360" s="23">
        <v>4779</v>
      </c>
      <c r="G360" s="24">
        <v>2786</v>
      </c>
      <c r="H360" s="25"/>
      <c r="I360" s="37"/>
      <c r="J360" s="9">
        <f t="shared" si="63"/>
        <v>68717</v>
      </c>
      <c r="K360" s="38">
        <f t="shared" si="68"/>
        <v>2116</v>
      </c>
      <c r="L360" s="38">
        <v>790</v>
      </c>
      <c r="M360" s="78">
        <f t="shared" si="83"/>
        <v>1352286</v>
      </c>
      <c r="N360" s="79">
        <f t="shared" si="83"/>
        <v>464850</v>
      </c>
      <c r="O360" s="79">
        <f t="shared" si="83"/>
        <v>1851162</v>
      </c>
      <c r="P360" s="80">
        <f t="shared" si="76"/>
        <v>18633836</v>
      </c>
      <c r="Q360" s="80">
        <f t="shared" si="76"/>
        <v>10224479</v>
      </c>
      <c r="R360" s="80">
        <f t="shared" si="76"/>
        <v>29494976</v>
      </c>
      <c r="S360" s="84">
        <f>M360/'[21]2014'!M360-1</f>
        <v>-0.08354884356397</v>
      </c>
      <c r="T360" s="84">
        <f>N360/'[21]2014'!N360-1</f>
        <v>0.0598374391536804</v>
      </c>
      <c r="U360" s="84">
        <f>O360/'[21]2014'!O360-1</f>
        <v>-0.0439773260149686</v>
      </c>
      <c r="V360" s="85">
        <f>P360/'[21]2014'!P360-1</f>
        <v>-0.0613705551154974</v>
      </c>
      <c r="W360" s="85">
        <f>Q360/'[21]2014'!Q360-1</f>
        <v>0.150449240971425</v>
      </c>
      <c r="X360" s="85">
        <f>R360/'[21]2014'!R360-1</f>
        <v>0.0039512131078463</v>
      </c>
      <c r="Y360" s="97"/>
      <c r="Z360" s="54"/>
      <c r="AA360" s="38"/>
      <c r="AB360" s="38"/>
    </row>
    <row r="361" ht="15" customHeight="1" spans="1:32">
      <c r="A361" s="21">
        <v>42360</v>
      </c>
      <c r="B361" s="15" t="s">
        <v>34</v>
      </c>
      <c r="C361" s="16">
        <v>65764</v>
      </c>
      <c r="D361" s="17">
        <v>24022</v>
      </c>
      <c r="E361" s="17">
        <v>91333</v>
      </c>
      <c r="F361" s="18">
        <v>4645</v>
      </c>
      <c r="G361" s="19">
        <v>2964</v>
      </c>
      <c r="H361" s="20">
        <v>1232</v>
      </c>
      <c r="I361" s="20">
        <v>752</v>
      </c>
      <c r="J361" s="33">
        <f t="shared" si="63"/>
        <v>67311</v>
      </c>
      <c r="K361" s="34">
        <f t="shared" si="68"/>
        <v>757</v>
      </c>
      <c r="L361" s="34">
        <v>790</v>
      </c>
      <c r="M361" s="81">
        <f t="shared" si="83"/>
        <v>1418050</v>
      </c>
      <c r="N361" s="82">
        <f t="shared" si="83"/>
        <v>488872</v>
      </c>
      <c r="O361" s="82">
        <f t="shared" si="83"/>
        <v>1942495</v>
      </c>
      <c r="P361" s="81">
        <f t="shared" si="76"/>
        <v>18699600</v>
      </c>
      <c r="Q361" s="81">
        <f t="shared" si="76"/>
        <v>10248501</v>
      </c>
      <c r="R361" s="81">
        <f t="shared" si="76"/>
        <v>29586309</v>
      </c>
      <c r="S361" s="86">
        <f>M361/'[21]2014'!M361-1</f>
        <v>-0.0839689232234113</v>
      </c>
      <c r="T361" s="86">
        <f>N361/'[21]2014'!N361-1</f>
        <v>0.0602735744912499</v>
      </c>
      <c r="U361" s="86">
        <f>O361/'[21]2014'!O361-1</f>
        <v>-0.0439682237351433</v>
      </c>
      <c r="V361" s="86">
        <f>P361/'[21]2014'!P361-1</f>
        <v>-0.0614838588835013</v>
      </c>
      <c r="W361" s="86">
        <f>Q361/'[21]2014'!Q361-1</f>
        <v>0.150243233462092</v>
      </c>
      <c r="X361" s="86">
        <f>R361/'[21]2014'!R361-1</f>
        <v>0.00379652297778255</v>
      </c>
      <c r="Y361" s="100">
        <f>Y359+(Y363-Y359)/4</f>
        <v>141.671275</v>
      </c>
      <c r="Z361" s="53">
        <f>P361/10000-Y361</f>
        <v>1728.288725</v>
      </c>
      <c r="AA361" s="34">
        <f>3890.092+(12*(A361-"2015年6月30日")+100*(A361-"2015年9月14日")+66*(A361-"2015年11月17日")+100*(A361-"2015年12月14日")+66*(A361-"2015年12月19日"))/(A361-"2015年1月1日"+1)</f>
        <v>3933.092</v>
      </c>
      <c r="AB361" s="34">
        <f>(Z361-4.9818-4.63)*10000/AA361</f>
        <v>4369.78571820847</v>
      </c>
      <c r="AC361" s="67">
        <f t="shared" ref="AC361" si="84">AC354+SUM(K355:K361)/10000</f>
        <v>38.7381</v>
      </c>
      <c r="AD361" s="2">
        <f t="shared" ref="AD361" si="85">AD354+SUM(L355:L361)/10000</f>
        <v>25.0664</v>
      </c>
      <c r="AF361" s="2">
        <f t="shared" ref="AF361" si="86">AF354+SUM(J355:J361)/10000</f>
        <v>1933.7648</v>
      </c>
    </row>
    <row r="362" ht="15" customHeight="1" spans="1:28">
      <c r="A362" s="21">
        <v>42361</v>
      </c>
      <c r="B362" s="21" t="s">
        <v>35</v>
      </c>
      <c r="C362" s="70">
        <v>62513</v>
      </c>
      <c r="D362" s="71">
        <v>23992</v>
      </c>
      <c r="E362" s="71">
        <v>89191</v>
      </c>
      <c r="F362" s="72">
        <v>4586</v>
      </c>
      <c r="G362" s="73">
        <v>2839</v>
      </c>
      <c r="H362" s="25"/>
      <c r="I362" s="25"/>
      <c r="J362" s="74">
        <f t="shared" si="63"/>
        <v>65199</v>
      </c>
      <c r="K362" s="75">
        <f t="shared" si="68"/>
        <v>1896</v>
      </c>
      <c r="L362" s="75">
        <v>790</v>
      </c>
      <c r="M362" s="76">
        <f t="shared" si="83"/>
        <v>1480563</v>
      </c>
      <c r="N362" s="77">
        <f t="shared" si="83"/>
        <v>512864</v>
      </c>
      <c r="O362" s="77">
        <f t="shared" si="83"/>
        <v>2031686</v>
      </c>
      <c r="P362" s="76">
        <f t="shared" si="76"/>
        <v>18762113</v>
      </c>
      <c r="Q362" s="76">
        <f t="shared" si="76"/>
        <v>10272493</v>
      </c>
      <c r="R362" s="76">
        <f t="shared" si="76"/>
        <v>29675500</v>
      </c>
      <c r="S362" s="83">
        <f>M362/'[21]2014'!M362-1</f>
        <v>-0.0865210674261289</v>
      </c>
      <c r="T362" s="83">
        <f>N362/'[21]2014'!N362-1</f>
        <v>0.0611162261418301</v>
      </c>
      <c r="U362" s="83">
        <f>O362/'[21]2014'!O362-1</f>
        <v>-0.0449461759037277</v>
      </c>
      <c r="V362" s="83">
        <f>P362/'[21]2014'!P362-1</f>
        <v>-0.0617725211618728</v>
      </c>
      <c r="W362" s="83">
        <f>Q362/'[21]2014'!Q362-1</f>
        <v>0.150064774804625</v>
      </c>
      <c r="X362" s="83">
        <f>R362/'[21]2014'!R362-1</f>
        <v>0.00357195491183382</v>
      </c>
      <c r="Y362" s="89"/>
      <c r="Z362" s="101"/>
      <c r="AA362" s="89"/>
      <c r="AB362" s="75"/>
    </row>
    <row r="363" ht="15" customHeight="1" spans="1:28">
      <c r="A363" s="21">
        <v>42362</v>
      </c>
      <c r="B363" s="21" t="s">
        <v>36</v>
      </c>
      <c r="C363" s="22">
        <v>62191</v>
      </c>
      <c r="D363" s="8">
        <v>24274</v>
      </c>
      <c r="E363" s="8">
        <v>89120</v>
      </c>
      <c r="F363" s="23">
        <v>4622</v>
      </c>
      <c r="G363" s="24">
        <v>2825</v>
      </c>
      <c r="H363" s="25"/>
      <c r="I363" s="37"/>
      <c r="J363" s="9">
        <f t="shared" si="63"/>
        <v>64846</v>
      </c>
      <c r="K363" s="38">
        <f t="shared" si="68"/>
        <v>1865</v>
      </c>
      <c r="L363" s="38">
        <v>790</v>
      </c>
      <c r="M363" s="78">
        <f t="shared" si="83"/>
        <v>1542754</v>
      </c>
      <c r="N363" s="79">
        <f t="shared" si="83"/>
        <v>537138</v>
      </c>
      <c r="O363" s="79">
        <f t="shared" si="83"/>
        <v>2120806</v>
      </c>
      <c r="P363" s="80">
        <f t="shared" si="76"/>
        <v>18824304</v>
      </c>
      <c r="Q363" s="80">
        <f t="shared" si="76"/>
        <v>10296767</v>
      </c>
      <c r="R363" s="80">
        <f t="shared" si="76"/>
        <v>29764620</v>
      </c>
      <c r="S363" s="84">
        <f>M363/'[21]2014'!M363-1</f>
        <v>-0.0873038691944631</v>
      </c>
      <c r="T363" s="84">
        <f>N363/'[21]2014'!N363-1</f>
        <v>0.0611181351244567</v>
      </c>
      <c r="U363" s="84">
        <f>O363/'[21]2014'!O363-1</f>
        <v>-0.0449336548702256</v>
      </c>
      <c r="V363" s="85">
        <f>P363/'[21]2014'!P363-1</f>
        <v>-0.0619242113381253</v>
      </c>
      <c r="W363" s="85">
        <f>Q363/'[21]2014'!Q363-1</f>
        <v>0.149837668437805</v>
      </c>
      <c r="X363" s="85">
        <f>R363/'[21]2014'!R363-1</f>
        <v>0.00342031195134118</v>
      </c>
      <c r="Y363" s="97">
        <v>143.5</v>
      </c>
      <c r="Z363" s="54">
        <f>P363/10000-Y363</f>
        <v>1738.9304</v>
      </c>
      <c r="AA363" s="38">
        <f>3890.092+(12*(A363-"2015年6月30日")+100*(A363-"2015年9月14日")+66*(A363-"2015年11月17日")+100*(A363-"2015年12月14日")+66*(A363-"2015年12月19日"))/(A363-"2015年1月1日"+1)</f>
        <v>3934.77356424581</v>
      </c>
      <c r="AB363" s="38">
        <f>(Z363-4.9818-4.63)*10000/AA363</f>
        <v>4394.96345028297</v>
      </c>
    </row>
    <row r="364" ht="15" customHeight="1" spans="1:28">
      <c r="A364" s="21">
        <v>42363</v>
      </c>
      <c r="B364" s="21" t="s">
        <v>37</v>
      </c>
      <c r="C364" s="22">
        <v>59538</v>
      </c>
      <c r="D364" s="8">
        <v>25064</v>
      </c>
      <c r="E364" s="8">
        <v>89642</v>
      </c>
      <c r="F364" s="23">
        <v>4608</v>
      </c>
      <c r="G364" s="24">
        <v>2729</v>
      </c>
      <c r="H364" s="25"/>
      <c r="I364" s="37"/>
      <c r="J364" s="9">
        <f t="shared" si="63"/>
        <v>64578</v>
      </c>
      <c r="K364" s="38">
        <f t="shared" si="68"/>
        <v>4250</v>
      </c>
      <c r="L364" s="38">
        <v>790</v>
      </c>
      <c r="M364" s="78">
        <f t="shared" si="83"/>
        <v>1602292</v>
      </c>
      <c r="N364" s="79">
        <f t="shared" si="83"/>
        <v>562202</v>
      </c>
      <c r="O364" s="79">
        <f t="shared" si="83"/>
        <v>2210448</v>
      </c>
      <c r="P364" s="80">
        <f t="shared" si="76"/>
        <v>18883842</v>
      </c>
      <c r="Q364" s="80">
        <f t="shared" si="76"/>
        <v>10321831</v>
      </c>
      <c r="R364" s="80">
        <f t="shared" si="76"/>
        <v>29854262</v>
      </c>
      <c r="S364" s="84">
        <f>M364/'[21]2014'!M364-1</f>
        <v>-0.0907537083905529</v>
      </c>
      <c r="T364" s="84">
        <f>N364/'[21]2014'!N364-1</f>
        <v>0.0659191481777814</v>
      </c>
      <c r="U364" s="84">
        <f>O364/'[21]2014'!O364-1</f>
        <v>-0.0451112911064312</v>
      </c>
      <c r="V364" s="85">
        <f>P364/'[21]2014'!P364-1</f>
        <v>-0.0623166880573531</v>
      </c>
      <c r="W364" s="85">
        <f>Q364/'[21]2014'!Q364-1</f>
        <v>0.149909897926279</v>
      </c>
      <c r="X364" s="85">
        <f>R364/'[21]2014'!R364-1</f>
        <v>0.00325327812425291</v>
      </c>
      <c r="Y364" s="97"/>
      <c r="Z364" s="54"/>
      <c r="AA364" s="38"/>
      <c r="AB364" s="38"/>
    </row>
    <row r="365" ht="15" customHeight="1" spans="1:28">
      <c r="A365" s="21">
        <v>42364</v>
      </c>
      <c r="B365" s="21" t="s">
        <v>38</v>
      </c>
      <c r="C365" s="22">
        <v>59367</v>
      </c>
      <c r="D365" s="8">
        <v>25011</v>
      </c>
      <c r="E365" s="8">
        <v>87294</v>
      </c>
      <c r="F365" s="23">
        <v>4460</v>
      </c>
      <c r="G365" s="24">
        <v>2836</v>
      </c>
      <c r="H365" s="25"/>
      <c r="I365" s="37"/>
      <c r="J365" s="9">
        <f t="shared" si="63"/>
        <v>62283</v>
      </c>
      <c r="K365" s="38">
        <f t="shared" si="68"/>
        <v>2126</v>
      </c>
      <c r="L365" s="38">
        <v>790</v>
      </c>
      <c r="M365" s="78">
        <f t="shared" si="83"/>
        <v>1661659</v>
      </c>
      <c r="N365" s="79">
        <f t="shared" si="83"/>
        <v>587213</v>
      </c>
      <c r="O365" s="79">
        <f t="shared" si="83"/>
        <v>2297742</v>
      </c>
      <c r="P365" s="80">
        <f t="shared" si="76"/>
        <v>18943209</v>
      </c>
      <c r="Q365" s="80">
        <f t="shared" si="76"/>
        <v>10346842</v>
      </c>
      <c r="R365" s="80">
        <f t="shared" si="76"/>
        <v>29941556</v>
      </c>
      <c r="S365" s="84">
        <f>M365/'[21]2014'!M365-1</f>
        <v>-0.0942515139787525</v>
      </c>
      <c r="T365" s="84">
        <f>N365/'[21]2014'!N365-1</f>
        <v>0.0699477428100812</v>
      </c>
      <c r="U365" s="84">
        <f>O365/'[21]2014'!O365-1</f>
        <v>-0.0464309147115545</v>
      </c>
      <c r="V365" s="85">
        <f>P365/'[21]2014'!P365-1</f>
        <v>-0.0627359801955126</v>
      </c>
      <c r="W365" s="85">
        <f>Q365/'[21]2014'!Q365-1</f>
        <v>0.149955957692489</v>
      </c>
      <c r="X365" s="85">
        <f>R365/'[21]2014'!R365-1</f>
        <v>0.00299325570024722</v>
      </c>
      <c r="Y365" s="97"/>
      <c r="Z365" s="54"/>
      <c r="AA365" s="38"/>
      <c r="AB365" s="38"/>
    </row>
    <row r="366" ht="15" customHeight="1" spans="1:28">
      <c r="A366" s="21">
        <v>42365</v>
      </c>
      <c r="B366" s="21" t="s">
        <v>1</v>
      </c>
      <c r="C366" s="22">
        <v>56573</v>
      </c>
      <c r="D366" s="8">
        <v>25275</v>
      </c>
      <c r="E366" s="8">
        <v>83724</v>
      </c>
      <c r="F366" s="23">
        <v>4212</v>
      </c>
      <c r="G366" s="24">
        <v>2787</v>
      </c>
      <c r="H366" s="25"/>
      <c r="I366" s="37"/>
      <c r="J366" s="9">
        <f t="shared" si="63"/>
        <v>58449</v>
      </c>
      <c r="K366" s="38">
        <f t="shared" si="68"/>
        <v>1086</v>
      </c>
      <c r="L366" s="38">
        <v>790</v>
      </c>
      <c r="M366" s="78">
        <f t="shared" si="83"/>
        <v>1718232</v>
      </c>
      <c r="N366" s="79">
        <f t="shared" si="83"/>
        <v>612488</v>
      </c>
      <c r="O366" s="79">
        <f t="shared" si="83"/>
        <v>2381466</v>
      </c>
      <c r="P366" s="80">
        <f t="shared" si="76"/>
        <v>18999782</v>
      </c>
      <c r="Q366" s="80">
        <f t="shared" si="76"/>
        <v>10372117</v>
      </c>
      <c r="R366" s="80">
        <f t="shared" si="76"/>
        <v>30025280</v>
      </c>
      <c r="S366" s="84">
        <f>M366/'[21]2014'!M366-1</f>
        <v>-0.0982336057335782</v>
      </c>
      <c r="T366" s="84">
        <f>N366/'[21]2014'!N366-1</f>
        <v>0.0748684686202454</v>
      </c>
      <c r="U366" s="84">
        <f>O366/'[21]2014'!O366-1</f>
        <v>-0.0483561081105274</v>
      </c>
      <c r="V366" s="85">
        <f>P366/'[21]2014'!P366-1</f>
        <v>-0.063220151608218</v>
      </c>
      <c r="W366" s="85">
        <f>Q366/'[21]2014'!Q366-1</f>
        <v>0.150080547419747</v>
      </c>
      <c r="X366" s="85">
        <f>R366/'[21]2014'!R366-1</f>
        <v>0.00267911591421277</v>
      </c>
      <c r="Y366" s="97"/>
      <c r="Z366" s="54"/>
      <c r="AA366" s="38"/>
      <c r="AB366" s="38"/>
    </row>
    <row r="367" ht="15" customHeight="1" spans="1:28">
      <c r="A367" s="21">
        <v>42366</v>
      </c>
      <c r="B367" s="21" t="s">
        <v>39</v>
      </c>
      <c r="C367" s="22">
        <v>63019</v>
      </c>
      <c r="D367" s="8">
        <v>25105</v>
      </c>
      <c r="E367" s="8">
        <v>91151</v>
      </c>
      <c r="F367" s="23">
        <v>4669</v>
      </c>
      <c r="G367" s="24">
        <v>2734</v>
      </c>
      <c r="H367" s="25"/>
      <c r="I367" s="37"/>
      <c r="J367" s="9">
        <f t="shared" si="63"/>
        <v>66046</v>
      </c>
      <c r="K367" s="38">
        <f t="shared" si="68"/>
        <v>2237</v>
      </c>
      <c r="L367" s="38">
        <v>790</v>
      </c>
      <c r="M367" s="78">
        <f t="shared" si="83"/>
        <v>1781251</v>
      </c>
      <c r="N367" s="79">
        <f t="shared" si="83"/>
        <v>637593</v>
      </c>
      <c r="O367" s="79">
        <f t="shared" si="83"/>
        <v>2472617</v>
      </c>
      <c r="P367" s="80">
        <f t="shared" si="76"/>
        <v>19062801</v>
      </c>
      <c r="Q367" s="80">
        <f t="shared" si="76"/>
        <v>10397222</v>
      </c>
      <c r="R367" s="80">
        <f t="shared" si="76"/>
        <v>30116431</v>
      </c>
      <c r="S367" s="84">
        <f>M367/'[21]2014'!M367-1</f>
        <v>-0.0967461073265322</v>
      </c>
      <c r="T367" s="84">
        <f>N367/'[21]2014'!N367-1</f>
        <v>0.0787207476686111</v>
      </c>
      <c r="U367" s="84">
        <f>O367/'[21]2014'!O367-1</f>
        <v>-0.0458016681183173</v>
      </c>
      <c r="V367" s="85">
        <f>P367/'[21]2014'!P367-1</f>
        <v>-0.0631906448807771</v>
      </c>
      <c r="W367" s="85">
        <f>Q367/'[21]2014'!Q367-1</f>
        <v>0.150155724574062</v>
      </c>
      <c r="X367" s="85">
        <f>R367/'[21]2014'!R367-1</f>
        <v>0.00274857154631847</v>
      </c>
      <c r="Y367" s="97"/>
      <c r="Z367" s="54"/>
      <c r="AA367" s="38"/>
      <c r="AB367" s="38"/>
    </row>
    <row r="368" ht="15" customHeight="1" spans="1:32">
      <c r="A368" s="21">
        <v>42367</v>
      </c>
      <c r="B368" s="15" t="s">
        <v>34</v>
      </c>
      <c r="C368" s="16">
        <v>65315</v>
      </c>
      <c r="D368" s="17">
        <v>24592</v>
      </c>
      <c r="E368" s="17">
        <v>92046</v>
      </c>
      <c r="F368" s="18">
        <v>4910</v>
      </c>
      <c r="G368" s="19">
        <v>2947</v>
      </c>
      <c r="H368" s="20"/>
      <c r="I368" s="20"/>
      <c r="J368" s="33">
        <f t="shared" si="63"/>
        <v>67454</v>
      </c>
      <c r="K368" s="34">
        <f t="shared" si="68"/>
        <v>1349</v>
      </c>
      <c r="L368" s="34">
        <v>790</v>
      </c>
      <c r="M368" s="81">
        <f t="shared" si="83"/>
        <v>1846566</v>
      </c>
      <c r="N368" s="82">
        <f t="shared" si="83"/>
        <v>662185</v>
      </c>
      <c r="O368" s="82">
        <f t="shared" si="83"/>
        <v>2564663</v>
      </c>
      <c r="P368" s="81">
        <f t="shared" si="76"/>
        <v>19128116</v>
      </c>
      <c r="Q368" s="81">
        <f t="shared" si="76"/>
        <v>10421814</v>
      </c>
      <c r="R368" s="81">
        <f t="shared" si="76"/>
        <v>30208477</v>
      </c>
      <c r="S368" s="86">
        <f>M368/'[21]2014'!M368-1</f>
        <v>-0.094571151464276</v>
      </c>
      <c r="T368" s="86">
        <f>N368/'[21]2014'!N368-1</f>
        <v>0.0801237717432437</v>
      </c>
      <c r="U368" s="86">
        <f>O368/'[21]2014'!O368-1</f>
        <v>-0.0437508832018458</v>
      </c>
      <c r="V368" s="86">
        <f>P368/'[21]2014'!P368-1</f>
        <v>-0.0630841575829207</v>
      </c>
      <c r="W368" s="86">
        <f>Q368/'[21]2014'!Q368-1</f>
        <v>0.150077216670767</v>
      </c>
      <c r="X368" s="86">
        <f>R368/'[21]2014'!R368-1</f>
        <v>0.00278497718364767</v>
      </c>
      <c r="Y368" s="100">
        <f>Y363+(Y370-Y363)/7*5</f>
        <v>147.261642857143</v>
      </c>
      <c r="Z368" s="53">
        <f>P368/10000-Y368</f>
        <v>1765.54995714286</v>
      </c>
      <c r="AA368" s="34">
        <f>3890.092+(12*(A368-"2015年6月30日")+100*(A368-"2015年9月14日")+66*(A368-"2015年11月17日")+100*(A368-"2015年12月14日")+66*(A368-"2015年12月19日"))/(A368-"2015年1月1日"+1)</f>
        <v>3938.8964077135</v>
      </c>
      <c r="AB368" s="34">
        <f>(Z368-4.9818-4.63)*10000/AA368</f>
        <v>4457.94449862713</v>
      </c>
      <c r="AC368" s="67">
        <f t="shared" ref="AC368" si="87">AC361+SUM(K362:K368)/10000</f>
        <v>40.219</v>
      </c>
      <c r="AD368" s="2">
        <f t="shared" ref="AD368" si="88">AD361+SUM(L362:L368)/10000</f>
        <v>25.6194</v>
      </c>
      <c r="AF368" s="2">
        <f t="shared" ref="AF368" si="89">AF361+SUM(J362:J368)/10000</f>
        <v>1978.6503</v>
      </c>
    </row>
    <row r="369" ht="15" customHeight="1" spans="1:28">
      <c r="A369" s="21">
        <v>42368</v>
      </c>
      <c r="B369" s="21" t="s">
        <v>35</v>
      </c>
      <c r="C369" s="70">
        <v>63694</v>
      </c>
      <c r="D369" s="71">
        <v>24731</v>
      </c>
      <c r="E369" s="71">
        <v>90411</v>
      </c>
      <c r="F369" s="72">
        <v>4615</v>
      </c>
      <c r="G369" s="73">
        <v>2951</v>
      </c>
      <c r="H369" s="25"/>
      <c r="I369" s="25"/>
      <c r="J369" s="74">
        <f t="shared" si="63"/>
        <v>65680</v>
      </c>
      <c r="K369" s="75">
        <f t="shared" si="68"/>
        <v>1196</v>
      </c>
      <c r="L369" s="75">
        <v>790</v>
      </c>
      <c r="M369" s="76">
        <f t="shared" si="83"/>
        <v>1910260</v>
      </c>
      <c r="N369" s="77">
        <f t="shared" si="83"/>
        <v>686916</v>
      </c>
      <c r="O369" s="77">
        <f t="shared" si="83"/>
        <v>2655074</v>
      </c>
      <c r="P369" s="76">
        <f t="shared" si="76"/>
        <v>19191810</v>
      </c>
      <c r="Q369" s="76">
        <f t="shared" si="76"/>
        <v>10446545</v>
      </c>
      <c r="R369" s="76">
        <f t="shared" si="76"/>
        <v>30298888</v>
      </c>
      <c r="S369" s="83">
        <f>M369/'[21]2014'!M369-1</f>
        <v>-0.0932995890500686</v>
      </c>
      <c r="T369" s="83">
        <f>N369/'[21]2014'!N369-1</f>
        <v>0.0813011201571621</v>
      </c>
      <c r="U369" s="83">
        <f>O369/'[21]2014'!O369-1</f>
        <v>-0.0424453568910456</v>
      </c>
      <c r="V369" s="83">
        <f>P369/'[21]2014'!P369-1</f>
        <v>-0.0630569592509225</v>
      </c>
      <c r="W369" s="83">
        <f>Q369/'[21]2014'!Q369-1</f>
        <v>0.149988565112944</v>
      </c>
      <c r="X369" s="83">
        <f>R369/'[21]2014'!R369-1</f>
        <v>0.00276499494798221</v>
      </c>
      <c r="Y369" s="89"/>
      <c r="Z369" s="101"/>
      <c r="AA369" s="89"/>
      <c r="AB369" s="75"/>
    </row>
    <row r="370" ht="15" customHeight="1" spans="1:32">
      <c r="A370" s="26">
        <v>42369</v>
      </c>
      <c r="B370" s="21" t="s">
        <v>36</v>
      </c>
      <c r="C370" s="22">
        <v>62659</v>
      </c>
      <c r="D370" s="8">
        <v>23729</v>
      </c>
      <c r="E370" s="8">
        <v>88033</v>
      </c>
      <c r="F370" s="23">
        <v>4530</v>
      </c>
      <c r="G370" s="24">
        <v>2872</v>
      </c>
      <c r="H370" s="25"/>
      <c r="I370" s="37"/>
      <c r="J370" s="9">
        <f t="shared" si="63"/>
        <v>64304</v>
      </c>
      <c r="K370" s="38">
        <f t="shared" si="68"/>
        <v>855</v>
      </c>
      <c r="L370" s="38">
        <v>790</v>
      </c>
      <c r="M370" s="78">
        <f t="shared" si="83"/>
        <v>1972919</v>
      </c>
      <c r="N370" s="79">
        <f t="shared" si="83"/>
        <v>710645</v>
      </c>
      <c r="O370" s="79">
        <f t="shared" si="83"/>
        <v>2743107</v>
      </c>
      <c r="P370" s="80">
        <v>19258132</v>
      </c>
      <c r="Q370" s="80">
        <v>10496234</v>
      </c>
      <c r="R370" s="80">
        <v>30416541</v>
      </c>
      <c r="S370" s="84">
        <f>M370/'[21]2014'!M370-1</f>
        <v>-0.0903453694234683</v>
      </c>
      <c r="T370" s="84">
        <f>N370/'[21]2014'!N370-1</f>
        <v>0.0786224377509126</v>
      </c>
      <c r="U370" s="84">
        <f>O370/'[21]2014'!O370-1</f>
        <v>-0.0406365336398886</v>
      </c>
      <c r="V370" s="85">
        <f>P370/'[21]2014'!P370-1</f>
        <v>-0.0626581339840655</v>
      </c>
      <c r="W370" s="85">
        <f>Q370/'[21]2014'!Q370-1</f>
        <v>0.15246733792513</v>
      </c>
      <c r="X370" s="85">
        <f>R370/'[21]2014'!R370-1</f>
        <v>0.00378406496144446</v>
      </c>
      <c r="Y370" s="97">
        <v>148.7663</v>
      </c>
      <c r="Z370" s="54">
        <f>P370/10000-Y370</f>
        <v>1777.0469</v>
      </c>
      <c r="AA370" s="38">
        <v>3940.73365296804</v>
      </c>
      <c r="AB370" s="38">
        <v>4480</v>
      </c>
      <c r="AC370" s="67">
        <f>AC368+SUM(K369:K370)/10000</f>
        <v>40.4241</v>
      </c>
      <c r="AD370" s="2">
        <f>AD368+SUM(L369:L370)/10000</f>
        <v>25.7774</v>
      </c>
      <c r="AF370" s="2">
        <f>AF368+SUM(J369:J370)/10000</f>
        <v>1991.6487</v>
      </c>
    </row>
    <row r="371" ht="15" customHeight="1" spans="1:29">
      <c r="A371" s="21"/>
      <c r="B371" s="21"/>
      <c r="C371" s="22">
        <f>MAX(C5:C370)</f>
        <v>75646</v>
      </c>
      <c r="D371" s="8">
        <f>MAX(D5:D370)</f>
        <v>45613</v>
      </c>
      <c r="E371" s="8">
        <f>MAX(E5:E370)</f>
        <v>116518</v>
      </c>
      <c r="F371" s="23">
        <f>MAX(F5:F370)</f>
        <v>5850</v>
      </c>
      <c r="G371" s="24"/>
      <c r="H371" s="25"/>
      <c r="I371" s="37"/>
      <c r="J371" s="9"/>
      <c r="K371" s="38"/>
      <c r="L371" s="38"/>
      <c r="M371" s="39"/>
      <c r="N371" s="40"/>
      <c r="O371" s="40"/>
      <c r="P371" s="41"/>
      <c r="Q371" s="40"/>
      <c r="R371" s="40"/>
      <c r="S371" s="40"/>
      <c r="T371" s="40"/>
      <c r="U371" s="40"/>
      <c r="V371" s="40"/>
      <c r="W371" s="40"/>
      <c r="X371" s="40"/>
      <c r="Y371" s="38"/>
      <c r="Z371" s="38"/>
      <c r="AA371" s="38"/>
      <c r="AB371" s="38"/>
      <c r="AC371" s="2"/>
    </row>
    <row r="372" spans="6:29">
      <c r="F372" s="65"/>
      <c r="G372" s="65"/>
      <c r="H372" s="65"/>
      <c r="I372" s="65"/>
      <c r="J372" s="66"/>
      <c r="K372" s="66"/>
      <c r="Z372" s="104">
        <f>Z370-Z339</f>
        <v>170.9302</v>
      </c>
      <c r="AC372" s="2"/>
    </row>
    <row r="374" spans="7:29">
      <c r="G374" s="2" t="e">
        <f>G372/F372</f>
        <v>#DIV/0!</v>
      </c>
      <c r="I374" s="2" t="e">
        <f>I372/H372</f>
        <v>#DIV/0!</v>
      </c>
      <c r="AC374" s="2"/>
    </row>
  </sheetData>
  <mergeCells count="7">
    <mergeCell ref="F1:G1"/>
    <mergeCell ref="A2:B2"/>
    <mergeCell ref="C2:L2"/>
    <mergeCell ref="M2:O2"/>
    <mergeCell ref="P2:R2"/>
    <mergeCell ref="S2:U2"/>
    <mergeCell ref="V2:X2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4"/>
  <sheetViews>
    <sheetView workbookViewId="0">
      <pane xSplit="2" ySplit="4" topLeftCell="C353" activePane="bottomRight" state="frozen"/>
      <selection/>
      <selection pane="topRight"/>
      <selection pane="bottomLeft"/>
      <selection pane="bottomRight" activeCell="F379" sqref="F379"/>
    </sheetView>
  </sheetViews>
  <sheetFormatPr defaultColWidth="9" defaultRowHeight="14.25"/>
  <cols>
    <col min="1" max="1" width="9.625" style="2" customWidth="1"/>
    <col min="2" max="2" width="6" style="2" customWidth="1"/>
    <col min="3" max="3" width="10.625" style="2" customWidth="1"/>
    <col min="4" max="4" width="8.75" style="2" customWidth="1"/>
    <col min="5" max="6" width="9.5" style="2" customWidth="1"/>
    <col min="7" max="7" width="8.625" style="2" customWidth="1"/>
    <col min="8" max="8" width="7.375" style="2" customWidth="1"/>
    <col min="9" max="9" width="8.75" style="2" customWidth="1"/>
    <col min="10" max="10" width="11.25" style="2" customWidth="1"/>
    <col min="11" max="12" width="9" style="2"/>
    <col min="13" max="13" width="8.875" style="2" customWidth="1"/>
    <col min="14" max="14" width="9" style="2"/>
    <col min="15" max="15" width="10.625" style="2" customWidth="1"/>
    <col min="16" max="16" width="10" style="3" customWidth="1"/>
    <col min="17" max="17" width="9" style="2"/>
    <col min="18" max="18" width="10.625" style="2" customWidth="1"/>
    <col min="19" max="19" width="8.625" style="2" customWidth="1"/>
    <col min="20" max="20" width="9.625" style="2" customWidth="1"/>
    <col min="21" max="22" width="8.125" style="2" customWidth="1"/>
    <col min="23" max="16384" width="9" style="2"/>
  </cols>
  <sheetData>
    <row r="1" ht="15" customHeight="1" spans="1:22">
      <c r="A1" s="4" t="s">
        <v>68</v>
      </c>
      <c r="B1" s="4"/>
      <c r="C1" s="5"/>
      <c r="D1" s="5"/>
      <c r="E1" s="5"/>
      <c r="F1" s="6"/>
      <c r="G1" s="6"/>
      <c r="H1" s="6"/>
      <c r="I1" s="32"/>
      <c r="M1" s="6"/>
      <c r="N1" s="5"/>
      <c r="O1" s="6"/>
      <c r="P1" s="5"/>
      <c r="Q1" s="5"/>
      <c r="R1" s="6"/>
      <c r="S1" s="32"/>
      <c r="T1" s="32"/>
      <c r="U1" s="32"/>
      <c r="V1" s="32"/>
    </row>
    <row r="2" ht="15" customHeight="1" spans="1:22">
      <c r="A2" s="7"/>
      <c r="B2" s="7"/>
      <c r="C2" s="8" t="s">
        <v>1</v>
      </c>
      <c r="D2" s="8"/>
      <c r="E2" s="8"/>
      <c r="F2" s="8"/>
      <c r="G2" s="8"/>
      <c r="H2" s="8"/>
      <c r="I2" s="8"/>
      <c r="J2" s="8"/>
      <c r="K2" s="8"/>
      <c r="L2" s="8"/>
      <c r="M2" s="8" t="s">
        <v>2</v>
      </c>
      <c r="N2" s="8"/>
      <c r="O2" s="8"/>
      <c r="P2" s="8" t="s">
        <v>3</v>
      </c>
      <c r="Q2" s="8"/>
      <c r="R2" s="8"/>
      <c r="S2" s="48"/>
      <c r="T2" s="49"/>
      <c r="U2" s="49"/>
      <c r="V2" s="50"/>
    </row>
    <row r="3" ht="24.75" customHeight="1" spans="1:22">
      <c r="A3" s="9" t="s">
        <v>6</v>
      </c>
      <c r="B3" s="10" t="s">
        <v>7</v>
      </c>
      <c r="C3" s="8" t="s">
        <v>8</v>
      </c>
      <c r="D3" s="8" t="s">
        <v>9</v>
      </c>
      <c r="E3" s="8" t="s">
        <v>10</v>
      </c>
      <c r="F3" s="11" t="s">
        <v>11</v>
      </c>
      <c r="G3" s="8" t="s">
        <v>12</v>
      </c>
      <c r="H3" s="12" t="s">
        <v>13</v>
      </c>
      <c r="I3" s="12" t="s">
        <v>14</v>
      </c>
      <c r="J3" s="8" t="s">
        <v>15</v>
      </c>
      <c r="K3" s="8" t="s">
        <v>16</v>
      </c>
      <c r="L3" s="8" t="s">
        <v>17</v>
      </c>
      <c r="M3" s="8" t="s">
        <v>8</v>
      </c>
      <c r="N3" s="8" t="s">
        <v>9</v>
      </c>
      <c r="O3" s="8" t="s">
        <v>10</v>
      </c>
      <c r="P3" s="8" t="s">
        <v>8</v>
      </c>
      <c r="Q3" s="8" t="s">
        <v>9</v>
      </c>
      <c r="R3" s="8" t="s">
        <v>10</v>
      </c>
      <c r="S3" s="51" t="s">
        <v>19</v>
      </c>
      <c r="T3" s="51" t="s">
        <v>20</v>
      </c>
      <c r="U3" s="52" t="s">
        <v>21</v>
      </c>
      <c r="V3" s="52" t="s">
        <v>22</v>
      </c>
    </row>
    <row r="4" ht="15" customHeight="1" spans="1:22">
      <c r="A4" s="9"/>
      <c r="B4" s="9"/>
      <c r="C4" s="8" t="s">
        <v>29</v>
      </c>
      <c r="D4" s="8" t="s">
        <v>29</v>
      </c>
      <c r="E4" s="8" t="s">
        <v>29</v>
      </c>
      <c r="F4" s="13" t="s">
        <v>30</v>
      </c>
      <c r="G4" s="9" t="s">
        <v>30</v>
      </c>
      <c r="H4" s="9" t="s">
        <v>30</v>
      </c>
      <c r="I4" s="9" t="s">
        <v>30</v>
      </c>
      <c r="J4" s="9" t="s">
        <v>29</v>
      </c>
      <c r="K4" s="9" t="s">
        <v>29</v>
      </c>
      <c r="L4" s="9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 t="s">
        <v>29</v>
      </c>
      <c r="U4" s="9" t="s">
        <v>30</v>
      </c>
      <c r="V4" s="9" t="s">
        <v>33</v>
      </c>
    </row>
    <row r="5" ht="15" customHeight="1" spans="1:22">
      <c r="A5" s="14">
        <v>40909</v>
      </c>
      <c r="B5" s="15" t="s">
        <v>35</v>
      </c>
      <c r="C5" s="16">
        <v>53508</v>
      </c>
      <c r="D5" s="17">
        <v>16795</v>
      </c>
      <c r="E5" s="17">
        <v>71301</v>
      </c>
      <c r="F5" s="18">
        <v>3240</v>
      </c>
      <c r="G5" s="19">
        <v>2715</v>
      </c>
      <c r="H5" s="20">
        <v>1008</v>
      </c>
      <c r="I5" s="20">
        <v>570</v>
      </c>
      <c r="J5" s="33">
        <f t="shared" ref="J5:J36" si="0">E5-D5</f>
        <v>54506</v>
      </c>
      <c r="K5" s="34">
        <f t="shared" ref="K5:K36" si="1">J5-C5-L5</f>
        <v>203</v>
      </c>
      <c r="L5" s="34">
        <v>795</v>
      </c>
      <c r="M5" s="35">
        <f>C5</f>
        <v>53508</v>
      </c>
      <c r="N5" s="36">
        <f>D5</f>
        <v>16795</v>
      </c>
      <c r="O5" s="36">
        <f>E5</f>
        <v>71301</v>
      </c>
      <c r="P5" s="35">
        <f>M5</f>
        <v>53508</v>
      </c>
      <c r="Q5" s="35">
        <f>N5</f>
        <v>16795</v>
      </c>
      <c r="R5" s="35">
        <f>O5</f>
        <v>71301</v>
      </c>
      <c r="S5" s="53"/>
      <c r="T5" s="34"/>
      <c r="U5" s="34"/>
      <c r="V5" s="34"/>
    </row>
    <row r="6" ht="15" customHeight="1" spans="1:22">
      <c r="A6" s="21">
        <v>40910</v>
      </c>
      <c r="B6" s="21" t="s">
        <v>36</v>
      </c>
      <c r="C6" s="22">
        <v>64509</v>
      </c>
      <c r="D6" s="8">
        <v>18252</v>
      </c>
      <c r="E6" s="8">
        <v>83767</v>
      </c>
      <c r="F6" s="23">
        <v>4430</v>
      </c>
      <c r="G6" s="24">
        <v>2433</v>
      </c>
      <c r="H6" s="25">
        <v>1044</v>
      </c>
      <c r="I6" s="37">
        <v>460</v>
      </c>
      <c r="J6" s="9">
        <f t="shared" si="0"/>
        <v>65515</v>
      </c>
      <c r="K6" s="38">
        <f t="shared" si="1"/>
        <v>211</v>
      </c>
      <c r="L6" s="38">
        <v>795</v>
      </c>
      <c r="M6" s="39">
        <f t="shared" ref="M6:M33" si="2">M5+C6</f>
        <v>118017</v>
      </c>
      <c r="N6" s="40">
        <f t="shared" ref="N6:N23" si="3">N5+D6</f>
        <v>35047</v>
      </c>
      <c r="O6" s="40">
        <f t="shared" ref="O6:O23" si="4">O5+E6</f>
        <v>155068</v>
      </c>
      <c r="P6" s="41">
        <f t="shared" ref="P6:P35" si="5">M6</f>
        <v>118017</v>
      </c>
      <c r="Q6" s="41">
        <f t="shared" ref="Q6:Q35" si="6">N6</f>
        <v>35047</v>
      </c>
      <c r="R6" s="41">
        <f t="shared" ref="R6:R35" si="7">O6</f>
        <v>155068</v>
      </c>
      <c r="S6" s="54">
        <v>1</v>
      </c>
      <c r="T6" s="54">
        <f>P6/10000-S6</f>
        <v>10.8017</v>
      </c>
      <c r="U6" s="38">
        <v>3298.592</v>
      </c>
      <c r="V6" s="38">
        <f>T6*10000/3298.592</f>
        <v>32.7463960380671</v>
      </c>
    </row>
    <row r="7" ht="15" customHeight="1" spans="1:22">
      <c r="A7" s="21">
        <v>40911</v>
      </c>
      <c r="B7" s="21" t="s">
        <v>37</v>
      </c>
      <c r="C7" s="22">
        <v>63998</v>
      </c>
      <c r="D7" s="8">
        <v>21223</v>
      </c>
      <c r="E7" s="8">
        <v>86208</v>
      </c>
      <c r="F7" s="23">
        <v>4403</v>
      </c>
      <c r="G7" s="24">
        <v>2787</v>
      </c>
      <c r="H7" s="25">
        <v>1145</v>
      </c>
      <c r="I7" s="37">
        <v>701</v>
      </c>
      <c r="J7" s="9">
        <f t="shared" si="0"/>
        <v>64985</v>
      </c>
      <c r="K7" s="38">
        <f t="shared" si="1"/>
        <v>191</v>
      </c>
      <c r="L7" s="38">
        <v>796</v>
      </c>
      <c r="M7" s="39">
        <f t="shared" si="2"/>
        <v>182015</v>
      </c>
      <c r="N7" s="40">
        <f t="shared" si="3"/>
        <v>56270</v>
      </c>
      <c r="O7" s="40">
        <f t="shared" si="4"/>
        <v>241276</v>
      </c>
      <c r="P7" s="41">
        <f t="shared" si="5"/>
        <v>182015</v>
      </c>
      <c r="Q7" s="41">
        <f t="shared" si="6"/>
        <v>56270</v>
      </c>
      <c r="R7" s="41">
        <f t="shared" si="7"/>
        <v>241276</v>
      </c>
      <c r="S7" s="54"/>
      <c r="T7" s="38"/>
      <c r="U7" s="38"/>
      <c r="V7" s="9"/>
    </row>
    <row r="8" ht="15" customHeight="1" spans="1:22">
      <c r="A8" s="21">
        <v>40912</v>
      </c>
      <c r="B8" s="21" t="s">
        <v>38</v>
      </c>
      <c r="C8" s="22">
        <v>66208</v>
      </c>
      <c r="D8" s="8">
        <v>20121</v>
      </c>
      <c r="E8" s="8">
        <v>87278</v>
      </c>
      <c r="F8" s="23">
        <v>4432</v>
      </c>
      <c r="G8" s="24">
        <v>2813</v>
      </c>
      <c r="H8" s="25">
        <v>1085</v>
      </c>
      <c r="I8" s="37">
        <v>598</v>
      </c>
      <c r="J8" s="9">
        <f t="shared" si="0"/>
        <v>67157</v>
      </c>
      <c r="K8" s="38">
        <f t="shared" si="1"/>
        <v>152</v>
      </c>
      <c r="L8" s="38">
        <v>797</v>
      </c>
      <c r="M8" s="39">
        <f t="shared" si="2"/>
        <v>248223</v>
      </c>
      <c r="N8" s="40">
        <f t="shared" si="3"/>
        <v>76391</v>
      </c>
      <c r="O8" s="40">
        <f t="shared" si="4"/>
        <v>328554</v>
      </c>
      <c r="P8" s="41">
        <f t="shared" si="5"/>
        <v>248223</v>
      </c>
      <c r="Q8" s="41">
        <f t="shared" si="6"/>
        <v>76391</v>
      </c>
      <c r="R8" s="41">
        <f t="shared" si="7"/>
        <v>328554</v>
      </c>
      <c r="S8" s="54"/>
      <c r="T8" s="38"/>
      <c r="U8" s="38"/>
      <c r="V8" s="9"/>
    </row>
    <row r="9" ht="15" customHeight="1" spans="1:22">
      <c r="A9" s="21">
        <v>40913</v>
      </c>
      <c r="B9" s="21" t="s">
        <v>1</v>
      </c>
      <c r="C9" s="22">
        <v>66025</v>
      </c>
      <c r="D9" s="8">
        <v>19073</v>
      </c>
      <c r="E9" s="8">
        <v>86138</v>
      </c>
      <c r="F9" s="23">
        <v>4353</v>
      </c>
      <c r="G9" s="24">
        <v>2866</v>
      </c>
      <c r="H9" s="25">
        <v>1028</v>
      </c>
      <c r="I9" s="37">
        <v>483</v>
      </c>
      <c r="J9" s="9">
        <f t="shared" si="0"/>
        <v>67065</v>
      </c>
      <c r="K9" s="38">
        <f t="shared" si="1"/>
        <v>245</v>
      </c>
      <c r="L9" s="38">
        <v>795</v>
      </c>
      <c r="M9" s="39">
        <f t="shared" si="2"/>
        <v>314248</v>
      </c>
      <c r="N9" s="40">
        <f t="shared" si="3"/>
        <v>95464</v>
      </c>
      <c r="O9" s="40">
        <f t="shared" si="4"/>
        <v>414692</v>
      </c>
      <c r="P9" s="41">
        <f t="shared" si="5"/>
        <v>314248</v>
      </c>
      <c r="Q9" s="41">
        <f t="shared" si="6"/>
        <v>95464</v>
      </c>
      <c r="R9" s="41">
        <f t="shared" si="7"/>
        <v>414692</v>
      </c>
      <c r="S9" s="54"/>
      <c r="T9" s="38"/>
      <c r="U9" s="38"/>
      <c r="V9" s="9"/>
    </row>
    <row r="10" ht="15" customHeight="1" spans="1:22">
      <c r="A10" s="21">
        <v>40914</v>
      </c>
      <c r="B10" s="21" t="s">
        <v>39</v>
      </c>
      <c r="C10" s="22">
        <v>66691</v>
      </c>
      <c r="D10" s="8">
        <v>20566</v>
      </c>
      <c r="E10" s="8">
        <v>88473</v>
      </c>
      <c r="F10" s="23">
        <v>4559</v>
      </c>
      <c r="G10" s="24">
        <v>2824</v>
      </c>
      <c r="H10" s="25">
        <v>1073</v>
      </c>
      <c r="I10" s="37">
        <v>646</v>
      </c>
      <c r="J10" s="9">
        <f t="shared" si="0"/>
        <v>67907</v>
      </c>
      <c r="K10" s="38">
        <f t="shared" si="1"/>
        <v>421</v>
      </c>
      <c r="L10" s="38">
        <v>795</v>
      </c>
      <c r="M10" s="39">
        <f t="shared" si="2"/>
        <v>380939</v>
      </c>
      <c r="N10" s="40">
        <f t="shared" si="3"/>
        <v>116030</v>
      </c>
      <c r="O10" s="40">
        <f t="shared" si="4"/>
        <v>503165</v>
      </c>
      <c r="P10" s="41">
        <f t="shared" si="5"/>
        <v>380939</v>
      </c>
      <c r="Q10" s="41">
        <f t="shared" si="6"/>
        <v>116030</v>
      </c>
      <c r="R10" s="41">
        <f t="shared" si="7"/>
        <v>503165</v>
      </c>
      <c r="S10" s="54"/>
      <c r="T10" s="38"/>
      <c r="U10" s="38"/>
      <c r="V10" s="9"/>
    </row>
    <row r="11" ht="15" customHeight="1" spans="1:22">
      <c r="A11" s="21">
        <v>40915</v>
      </c>
      <c r="B11" s="21" t="s">
        <v>34</v>
      </c>
      <c r="C11" s="22">
        <v>65670</v>
      </c>
      <c r="D11" s="8">
        <v>22544</v>
      </c>
      <c r="E11" s="8">
        <v>89157</v>
      </c>
      <c r="F11" s="23">
        <v>4555</v>
      </c>
      <c r="G11" s="24">
        <v>2834</v>
      </c>
      <c r="H11" s="25">
        <v>1169</v>
      </c>
      <c r="I11" s="37">
        <v>740</v>
      </c>
      <c r="J11" s="9">
        <f t="shared" si="0"/>
        <v>66613</v>
      </c>
      <c r="K11" s="38">
        <f t="shared" si="1"/>
        <v>149</v>
      </c>
      <c r="L11" s="38">
        <v>794</v>
      </c>
      <c r="M11" s="39">
        <f t="shared" si="2"/>
        <v>446609</v>
      </c>
      <c r="N11" s="40">
        <f t="shared" si="3"/>
        <v>138574</v>
      </c>
      <c r="O11" s="40">
        <f t="shared" si="4"/>
        <v>592322</v>
      </c>
      <c r="P11" s="41">
        <f t="shared" si="5"/>
        <v>446609</v>
      </c>
      <c r="Q11" s="41">
        <f t="shared" si="6"/>
        <v>138574</v>
      </c>
      <c r="R11" s="41">
        <f t="shared" si="7"/>
        <v>592322</v>
      </c>
      <c r="S11" s="54"/>
      <c r="T11" s="38"/>
      <c r="U11" s="38"/>
      <c r="V11" s="9"/>
    </row>
    <row r="12" ht="15" customHeight="1" spans="1:22">
      <c r="A12" s="15">
        <v>40916</v>
      </c>
      <c r="B12" s="15" t="s">
        <v>35</v>
      </c>
      <c r="C12" s="16">
        <v>65455</v>
      </c>
      <c r="D12" s="17">
        <v>22138</v>
      </c>
      <c r="E12" s="17">
        <v>88466</v>
      </c>
      <c r="F12" s="18">
        <v>4502</v>
      </c>
      <c r="G12" s="19">
        <v>2773</v>
      </c>
      <c r="H12" s="20">
        <v>1177</v>
      </c>
      <c r="I12" s="20">
        <v>735</v>
      </c>
      <c r="J12" s="33">
        <f t="shared" si="0"/>
        <v>66328</v>
      </c>
      <c r="K12" s="34">
        <f t="shared" si="1"/>
        <v>76</v>
      </c>
      <c r="L12" s="34">
        <v>797</v>
      </c>
      <c r="M12" s="35">
        <f t="shared" si="2"/>
        <v>512064</v>
      </c>
      <c r="N12" s="36">
        <f t="shared" si="3"/>
        <v>160712</v>
      </c>
      <c r="O12" s="36">
        <f t="shared" si="4"/>
        <v>680788</v>
      </c>
      <c r="P12" s="35">
        <f t="shared" si="5"/>
        <v>512064</v>
      </c>
      <c r="Q12" s="35">
        <f t="shared" si="6"/>
        <v>160712</v>
      </c>
      <c r="R12" s="35">
        <f t="shared" si="7"/>
        <v>680788</v>
      </c>
      <c r="S12" s="53"/>
      <c r="T12" s="33"/>
      <c r="U12" s="33"/>
      <c r="V12" s="33"/>
    </row>
    <row r="13" ht="15" customHeight="1" spans="1:22">
      <c r="A13" s="21">
        <v>40917</v>
      </c>
      <c r="B13" s="21" t="s">
        <v>36</v>
      </c>
      <c r="C13" s="22">
        <v>66661</v>
      </c>
      <c r="D13" s="8">
        <v>22456</v>
      </c>
      <c r="E13" s="8">
        <v>90007</v>
      </c>
      <c r="F13" s="23">
        <v>4575</v>
      </c>
      <c r="G13" s="24">
        <v>2834</v>
      </c>
      <c r="H13" s="25"/>
      <c r="I13" s="37"/>
      <c r="J13" s="9">
        <f t="shared" si="0"/>
        <v>67551</v>
      </c>
      <c r="K13" s="38">
        <f t="shared" si="1"/>
        <v>95</v>
      </c>
      <c r="L13" s="38">
        <v>795</v>
      </c>
      <c r="M13" s="39">
        <f t="shared" si="2"/>
        <v>578725</v>
      </c>
      <c r="N13" s="40">
        <f t="shared" si="3"/>
        <v>183168</v>
      </c>
      <c r="O13" s="40">
        <f t="shared" si="4"/>
        <v>770795</v>
      </c>
      <c r="P13" s="41">
        <f t="shared" si="5"/>
        <v>578725</v>
      </c>
      <c r="Q13" s="41">
        <f t="shared" si="6"/>
        <v>183168</v>
      </c>
      <c r="R13" s="41">
        <f t="shared" si="7"/>
        <v>770795</v>
      </c>
      <c r="S13" s="54">
        <v>4.5</v>
      </c>
      <c r="T13" s="54">
        <f>P13/10000-S13</f>
        <v>53.3725</v>
      </c>
      <c r="U13" s="38"/>
      <c r="V13" s="38">
        <f>T13*10000/3298.592</f>
        <v>161.803884809034</v>
      </c>
    </row>
    <row r="14" ht="15" customHeight="1" spans="1:22">
      <c r="A14" s="21">
        <v>40918</v>
      </c>
      <c r="B14" s="21" t="s">
        <v>37</v>
      </c>
      <c r="C14" s="22">
        <v>66447</v>
      </c>
      <c r="D14" s="8">
        <v>22447</v>
      </c>
      <c r="E14" s="8">
        <v>89787</v>
      </c>
      <c r="F14" s="23">
        <v>4582</v>
      </c>
      <c r="G14" s="24">
        <v>2902</v>
      </c>
      <c r="H14" s="25"/>
      <c r="I14" s="37"/>
      <c r="J14" s="9">
        <f t="shared" si="0"/>
        <v>67340</v>
      </c>
      <c r="K14" s="38">
        <f t="shared" si="1"/>
        <v>97</v>
      </c>
      <c r="L14" s="38">
        <v>796</v>
      </c>
      <c r="M14" s="39">
        <f t="shared" si="2"/>
        <v>645172</v>
      </c>
      <c r="N14" s="40">
        <f t="shared" si="3"/>
        <v>205615</v>
      </c>
      <c r="O14" s="40">
        <f t="shared" si="4"/>
        <v>860582</v>
      </c>
      <c r="P14" s="41">
        <f t="shared" si="5"/>
        <v>645172</v>
      </c>
      <c r="Q14" s="41">
        <f t="shared" si="6"/>
        <v>205615</v>
      </c>
      <c r="R14" s="41">
        <f t="shared" si="7"/>
        <v>860582</v>
      </c>
      <c r="S14" s="54">
        <v>5.0596</v>
      </c>
      <c r="T14" s="54">
        <f>P14/10000-S14</f>
        <v>59.4576</v>
      </c>
      <c r="U14" s="38"/>
      <c r="V14" s="55">
        <f>T14*10000/3298.592</f>
        <v>180.251452741048</v>
      </c>
    </row>
    <row r="15" ht="15" customHeight="1" spans="1:22">
      <c r="A15" s="21">
        <v>40919</v>
      </c>
      <c r="B15" s="21" t="s">
        <v>38</v>
      </c>
      <c r="C15" s="22">
        <v>65560</v>
      </c>
      <c r="D15" s="8">
        <v>22223</v>
      </c>
      <c r="E15" s="8">
        <v>88675</v>
      </c>
      <c r="F15" s="23">
        <v>4517</v>
      </c>
      <c r="G15" s="24">
        <v>2827</v>
      </c>
      <c r="H15" s="25"/>
      <c r="I15" s="37"/>
      <c r="J15" s="9">
        <f t="shared" si="0"/>
        <v>66452</v>
      </c>
      <c r="K15" s="38">
        <f t="shared" si="1"/>
        <v>97</v>
      </c>
      <c r="L15" s="38">
        <v>795</v>
      </c>
      <c r="M15" s="39">
        <f t="shared" si="2"/>
        <v>710732</v>
      </c>
      <c r="N15" s="40">
        <f t="shared" si="3"/>
        <v>227838</v>
      </c>
      <c r="O15" s="40">
        <f t="shared" si="4"/>
        <v>949257</v>
      </c>
      <c r="P15" s="41">
        <f t="shared" si="5"/>
        <v>710732</v>
      </c>
      <c r="Q15" s="41">
        <f t="shared" si="6"/>
        <v>227838</v>
      </c>
      <c r="R15" s="41">
        <f t="shared" si="7"/>
        <v>949257</v>
      </c>
      <c r="S15" s="54"/>
      <c r="T15" s="38"/>
      <c r="U15" s="38"/>
      <c r="V15" s="9"/>
    </row>
    <row r="16" ht="15" customHeight="1" spans="1:22">
      <c r="A16" s="21">
        <v>40920</v>
      </c>
      <c r="B16" s="21" t="s">
        <v>1</v>
      </c>
      <c r="C16" s="22">
        <v>62238</v>
      </c>
      <c r="D16" s="8">
        <v>21055</v>
      </c>
      <c r="E16" s="8">
        <v>84371</v>
      </c>
      <c r="F16" s="23">
        <v>4248</v>
      </c>
      <c r="G16" s="24">
        <v>2747</v>
      </c>
      <c r="H16" s="25"/>
      <c r="I16" s="37"/>
      <c r="J16" s="9">
        <f t="shared" si="0"/>
        <v>63316</v>
      </c>
      <c r="K16" s="38">
        <f t="shared" si="1"/>
        <v>286</v>
      </c>
      <c r="L16" s="38">
        <v>792</v>
      </c>
      <c r="M16" s="39">
        <f t="shared" si="2"/>
        <v>772970</v>
      </c>
      <c r="N16" s="40">
        <f t="shared" si="3"/>
        <v>248893</v>
      </c>
      <c r="O16" s="40">
        <f t="shared" si="4"/>
        <v>1033628</v>
      </c>
      <c r="P16" s="41">
        <f t="shared" si="5"/>
        <v>772970</v>
      </c>
      <c r="Q16" s="41">
        <f t="shared" si="6"/>
        <v>248893</v>
      </c>
      <c r="R16" s="41">
        <f t="shared" si="7"/>
        <v>1033628</v>
      </c>
      <c r="S16" s="54"/>
      <c r="T16" s="38"/>
      <c r="U16" s="38"/>
      <c r="V16" s="9"/>
    </row>
    <row r="17" ht="15" customHeight="1" spans="1:22">
      <c r="A17" s="21">
        <v>40921</v>
      </c>
      <c r="B17" s="21" t="s">
        <v>39</v>
      </c>
      <c r="C17" s="22">
        <v>63272</v>
      </c>
      <c r="D17" s="8">
        <v>22761</v>
      </c>
      <c r="E17" s="8">
        <v>87098</v>
      </c>
      <c r="F17" s="23">
        <v>4483</v>
      </c>
      <c r="G17" s="24">
        <v>2648</v>
      </c>
      <c r="H17" s="25"/>
      <c r="I17" s="37"/>
      <c r="J17" s="9">
        <f t="shared" si="0"/>
        <v>64337</v>
      </c>
      <c r="K17" s="38">
        <f t="shared" si="1"/>
        <v>266</v>
      </c>
      <c r="L17" s="38">
        <v>799</v>
      </c>
      <c r="M17" s="39">
        <f t="shared" si="2"/>
        <v>836242</v>
      </c>
      <c r="N17" s="40">
        <f t="shared" si="3"/>
        <v>271654</v>
      </c>
      <c r="O17" s="40">
        <f t="shared" si="4"/>
        <v>1120726</v>
      </c>
      <c r="P17" s="41">
        <f t="shared" si="5"/>
        <v>836242</v>
      </c>
      <c r="Q17" s="41">
        <f t="shared" si="6"/>
        <v>271654</v>
      </c>
      <c r="R17" s="41">
        <f t="shared" si="7"/>
        <v>1120726</v>
      </c>
      <c r="S17" s="54"/>
      <c r="T17" s="38"/>
      <c r="U17" s="38"/>
      <c r="V17" s="9"/>
    </row>
    <row r="18" ht="15" customHeight="1" spans="1:22">
      <c r="A18" s="21">
        <v>40922</v>
      </c>
      <c r="B18" s="21" t="s">
        <v>34</v>
      </c>
      <c r="C18" s="22">
        <v>62433</v>
      </c>
      <c r="D18" s="8">
        <v>22132</v>
      </c>
      <c r="E18" s="8">
        <v>85774</v>
      </c>
      <c r="F18" s="23">
        <v>4357</v>
      </c>
      <c r="G18" s="24">
        <v>2754</v>
      </c>
      <c r="H18" s="25"/>
      <c r="I18" s="37"/>
      <c r="J18" s="9">
        <f t="shared" si="0"/>
        <v>63642</v>
      </c>
      <c r="K18" s="38">
        <f t="shared" si="1"/>
        <v>413</v>
      </c>
      <c r="L18" s="38">
        <v>796</v>
      </c>
      <c r="M18" s="39">
        <f t="shared" si="2"/>
        <v>898675</v>
      </c>
      <c r="N18" s="40">
        <f t="shared" si="3"/>
        <v>293786</v>
      </c>
      <c r="O18" s="40">
        <f t="shared" si="4"/>
        <v>1206500</v>
      </c>
      <c r="P18" s="41">
        <f t="shared" si="5"/>
        <v>898675</v>
      </c>
      <c r="Q18" s="41">
        <f t="shared" si="6"/>
        <v>293786</v>
      </c>
      <c r="R18" s="41">
        <f t="shared" si="7"/>
        <v>1206500</v>
      </c>
      <c r="S18" s="54"/>
      <c r="T18" s="38"/>
      <c r="U18" s="38"/>
      <c r="V18" s="9"/>
    </row>
    <row r="19" ht="15" customHeight="1" spans="1:22">
      <c r="A19" s="15">
        <v>40923</v>
      </c>
      <c r="B19" s="15" t="s">
        <v>35</v>
      </c>
      <c r="C19" s="16">
        <v>60564</v>
      </c>
      <c r="D19" s="17">
        <v>22409</v>
      </c>
      <c r="E19" s="17">
        <v>84240</v>
      </c>
      <c r="F19" s="18">
        <v>4272</v>
      </c>
      <c r="G19" s="19">
        <v>2703</v>
      </c>
      <c r="H19" s="20"/>
      <c r="I19" s="20"/>
      <c r="J19" s="33">
        <f t="shared" si="0"/>
        <v>61831</v>
      </c>
      <c r="K19" s="34">
        <f t="shared" si="1"/>
        <v>470</v>
      </c>
      <c r="L19" s="34">
        <v>797</v>
      </c>
      <c r="M19" s="35">
        <f t="shared" si="2"/>
        <v>959239</v>
      </c>
      <c r="N19" s="36">
        <f t="shared" si="3"/>
        <v>316195</v>
      </c>
      <c r="O19" s="36">
        <f t="shared" si="4"/>
        <v>1290740</v>
      </c>
      <c r="P19" s="35">
        <f t="shared" si="5"/>
        <v>959239</v>
      </c>
      <c r="Q19" s="35">
        <f t="shared" si="6"/>
        <v>316195</v>
      </c>
      <c r="R19" s="35">
        <f t="shared" si="7"/>
        <v>1290740</v>
      </c>
      <c r="S19" s="53"/>
      <c r="T19" s="33"/>
      <c r="U19" s="33"/>
      <c r="V19" s="33"/>
    </row>
    <row r="20" ht="15" customHeight="1" spans="1:22">
      <c r="A20" s="21">
        <v>40924</v>
      </c>
      <c r="B20" s="21" t="s">
        <v>36</v>
      </c>
      <c r="C20" s="22">
        <v>58424</v>
      </c>
      <c r="D20" s="8">
        <v>21889</v>
      </c>
      <c r="E20" s="8">
        <v>81355</v>
      </c>
      <c r="F20" s="23">
        <v>4148</v>
      </c>
      <c r="G20" s="24">
        <v>2648</v>
      </c>
      <c r="H20" s="25">
        <v>1090</v>
      </c>
      <c r="I20" s="37"/>
      <c r="J20" s="9">
        <f t="shared" si="0"/>
        <v>59466</v>
      </c>
      <c r="K20" s="38">
        <f t="shared" si="1"/>
        <v>245</v>
      </c>
      <c r="L20" s="38">
        <v>797</v>
      </c>
      <c r="M20" s="39">
        <f t="shared" si="2"/>
        <v>1017663</v>
      </c>
      <c r="N20" s="40">
        <f t="shared" si="3"/>
        <v>338084</v>
      </c>
      <c r="O20" s="40">
        <f t="shared" si="4"/>
        <v>1372095</v>
      </c>
      <c r="P20" s="41">
        <f t="shared" si="5"/>
        <v>1017663</v>
      </c>
      <c r="Q20" s="41">
        <f t="shared" si="6"/>
        <v>338084</v>
      </c>
      <c r="R20" s="41">
        <f t="shared" si="7"/>
        <v>1372095</v>
      </c>
      <c r="S20" s="54">
        <v>8.0596</v>
      </c>
      <c r="T20" s="54">
        <f>P20/10000-S20</f>
        <v>93.7067</v>
      </c>
      <c r="U20" s="38"/>
      <c r="V20" s="38">
        <f>T20*10000/3298.592</f>
        <v>284.080904822421</v>
      </c>
    </row>
    <row r="21" ht="15" customHeight="1" spans="1:22">
      <c r="A21" s="21">
        <v>40925</v>
      </c>
      <c r="B21" s="21" t="s">
        <v>37</v>
      </c>
      <c r="C21" s="22">
        <v>54722</v>
      </c>
      <c r="D21" s="8">
        <v>22090</v>
      </c>
      <c r="E21" s="8">
        <v>77728</v>
      </c>
      <c r="F21" s="23">
        <v>3955</v>
      </c>
      <c r="G21" s="24">
        <v>2534</v>
      </c>
      <c r="H21" s="25"/>
      <c r="I21" s="37"/>
      <c r="J21" s="9">
        <f t="shared" si="0"/>
        <v>55638</v>
      </c>
      <c r="K21" s="38">
        <f t="shared" si="1"/>
        <v>121</v>
      </c>
      <c r="L21" s="38">
        <v>795</v>
      </c>
      <c r="M21" s="39">
        <f t="shared" si="2"/>
        <v>1072385</v>
      </c>
      <c r="N21" s="40">
        <f t="shared" si="3"/>
        <v>360174</v>
      </c>
      <c r="O21" s="40">
        <f t="shared" si="4"/>
        <v>1449823</v>
      </c>
      <c r="P21" s="41">
        <f t="shared" si="5"/>
        <v>1072385</v>
      </c>
      <c r="Q21" s="41">
        <f t="shared" si="6"/>
        <v>360174</v>
      </c>
      <c r="R21" s="41">
        <f t="shared" si="7"/>
        <v>1449823</v>
      </c>
      <c r="S21" s="54"/>
      <c r="T21" s="38"/>
      <c r="U21" s="38"/>
      <c r="V21" s="9"/>
    </row>
    <row r="22" ht="15" customHeight="1" spans="1:22">
      <c r="A22" s="21">
        <v>40926</v>
      </c>
      <c r="B22" s="21" t="s">
        <v>38</v>
      </c>
      <c r="C22" s="22">
        <v>51558</v>
      </c>
      <c r="D22" s="8">
        <v>22300</v>
      </c>
      <c r="E22" s="8">
        <v>74893</v>
      </c>
      <c r="F22" s="23">
        <v>3745</v>
      </c>
      <c r="G22" s="24">
        <v>2408</v>
      </c>
      <c r="H22" s="25"/>
      <c r="I22" s="37"/>
      <c r="J22" s="9">
        <f t="shared" si="0"/>
        <v>52593</v>
      </c>
      <c r="K22" s="38">
        <f t="shared" si="1"/>
        <v>240</v>
      </c>
      <c r="L22" s="38">
        <v>795</v>
      </c>
      <c r="M22" s="39">
        <f t="shared" si="2"/>
        <v>1123943</v>
      </c>
      <c r="N22" s="40">
        <f t="shared" si="3"/>
        <v>382474</v>
      </c>
      <c r="O22" s="40">
        <f t="shared" si="4"/>
        <v>1524716</v>
      </c>
      <c r="P22" s="41">
        <f t="shared" si="5"/>
        <v>1123943</v>
      </c>
      <c r="Q22" s="41">
        <f t="shared" si="6"/>
        <v>382474</v>
      </c>
      <c r="R22" s="41">
        <f t="shared" si="7"/>
        <v>1524716</v>
      </c>
      <c r="S22" s="54"/>
      <c r="T22" s="38"/>
      <c r="U22" s="38"/>
      <c r="V22" s="9"/>
    </row>
    <row r="23" ht="15" customHeight="1" spans="1:22">
      <c r="A23" s="21">
        <v>40927</v>
      </c>
      <c r="B23" s="21" t="s">
        <v>1</v>
      </c>
      <c r="C23" s="22">
        <v>46941</v>
      </c>
      <c r="D23" s="8">
        <v>21891</v>
      </c>
      <c r="E23" s="8">
        <v>69890</v>
      </c>
      <c r="F23" s="23">
        <v>3512</v>
      </c>
      <c r="G23" s="24">
        <v>2360</v>
      </c>
      <c r="H23" s="25"/>
      <c r="I23" s="37"/>
      <c r="J23" s="9">
        <f t="shared" si="0"/>
        <v>47999</v>
      </c>
      <c r="K23" s="38">
        <f t="shared" si="1"/>
        <v>263</v>
      </c>
      <c r="L23" s="38">
        <v>795</v>
      </c>
      <c r="M23" s="39">
        <f t="shared" si="2"/>
        <v>1170884</v>
      </c>
      <c r="N23" s="40">
        <f t="shared" si="3"/>
        <v>404365</v>
      </c>
      <c r="O23" s="40">
        <f t="shared" si="4"/>
        <v>1594606</v>
      </c>
      <c r="P23" s="41">
        <f t="shared" si="5"/>
        <v>1170884</v>
      </c>
      <c r="Q23" s="41">
        <f t="shared" si="6"/>
        <v>404365</v>
      </c>
      <c r="R23" s="41">
        <f t="shared" si="7"/>
        <v>1594606</v>
      </c>
      <c r="S23" s="54"/>
      <c r="T23" s="38"/>
      <c r="U23" s="38"/>
      <c r="V23" s="9"/>
    </row>
    <row r="24" ht="15" customHeight="1" spans="1:22">
      <c r="A24" s="21">
        <v>40928</v>
      </c>
      <c r="B24" s="21" t="s">
        <v>39</v>
      </c>
      <c r="C24" s="22">
        <v>44797</v>
      </c>
      <c r="D24" s="8">
        <v>22271</v>
      </c>
      <c r="E24" s="8">
        <v>68012</v>
      </c>
      <c r="F24" s="23">
        <v>3478</v>
      </c>
      <c r="G24" s="24">
        <v>2192</v>
      </c>
      <c r="H24" s="25"/>
      <c r="I24" s="37"/>
      <c r="J24" s="9">
        <f t="shared" si="0"/>
        <v>45741</v>
      </c>
      <c r="K24" s="38">
        <f t="shared" si="1"/>
        <v>185</v>
      </c>
      <c r="L24" s="38">
        <v>759</v>
      </c>
      <c r="M24" s="39">
        <v>1215690</v>
      </c>
      <c r="N24" s="40">
        <v>426635</v>
      </c>
      <c r="O24" s="40">
        <v>1662618</v>
      </c>
      <c r="P24" s="41">
        <f t="shared" si="5"/>
        <v>1215690</v>
      </c>
      <c r="Q24" s="41">
        <f t="shared" si="6"/>
        <v>426635</v>
      </c>
      <c r="R24" s="41">
        <f t="shared" si="7"/>
        <v>1662618</v>
      </c>
      <c r="S24" s="54">
        <v>10.0053</v>
      </c>
      <c r="T24" s="54">
        <f>P24/10000-S24</f>
        <v>111.5637</v>
      </c>
      <c r="U24" s="38"/>
      <c r="V24" s="55">
        <f>T24*10000/3298.592</f>
        <v>338.216123727942</v>
      </c>
    </row>
    <row r="25" ht="15" customHeight="1" spans="1:22">
      <c r="A25" s="21">
        <v>40929</v>
      </c>
      <c r="B25" s="21" t="s">
        <v>34</v>
      </c>
      <c r="C25" s="22">
        <v>42021</v>
      </c>
      <c r="D25" s="8">
        <v>22084</v>
      </c>
      <c r="E25" s="8">
        <v>65337</v>
      </c>
      <c r="F25" s="23">
        <v>3282</v>
      </c>
      <c r="G25" s="24">
        <v>2097</v>
      </c>
      <c r="H25" s="25"/>
      <c r="I25" s="37"/>
      <c r="J25" s="9">
        <f t="shared" si="0"/>
        <v>43253</v>
      </c>
      <c r="K25" s="38">
        <f t="shared" si="1"/>
        <v>437</v>
      </c>
      <c r="L25" s="38">
        <v>795</v>
      </c>
      <c r="M25" s="39">
        <f t="shared" si="2"/>
        <v>1257711</v>
      </c>
      <c r="N25" s="40">
        <f t="shared" ref="N25:N33" si="8">N24+D25</f>
        <v>448719</v>
      </c>
      <c r="O25" s="40">
        <f t="shared" ref="O25:O33" si="9">O24+E25</f>
        <v>1727955</v>
      </c>
      <c r="P25" s="41">
        <f t="shared" si="5"/>
        <v>1257711</v>
      </c>
      <c r="Q25" s="41">
        <f t="shared" si="6"/>
        <v>448719</v>
      </c>
      <c r="R25" s="41">
        <f t="shared" si="7"/>
        <v>1727955</v>
      </c>
      <c r="S25" s="54"/>
      <c r="T25" s="38"/>
      <c r="U25" s="38"/>
      <c r="V25" s="9"/>
    </row>
    <row r="26" ht="15" customHeight="1" spans="1:22">
      <c r="A26" s="15">
        <v>40930</v>
      </c>
      <c r="B26" s="15" t="s">
        <v>35</v>
      </c>
      <c r="C26" s="16">
        <v>42396</v>
      </c>
      <c r="D26" s="17">
        <v>19080</v>
      </c>
      <c r="E26" s="17">
        <v>62683</v>
      </c>
      <c r="F26" s="18">
        <v>3140</v>
      </c>
      <c r="G26" s="19">
        <v>2026</v>
      </c>
      <c r="H26" s="20">
        <v>1013</v>
      </c>
      <c r="I26" s="20">
        <v>570</v>
      </c>
      <c r="J26" s="33">
        <f t="shared" si="0"/>
        <v>43603</v>
      </c>
      <c r="K26" s="34">
        <f t="shared" si="1"/>
        <v>414</v>
      </c>
      <c r="L26" s="34">
        <v>793</v>
      </c>
      <c r="M26" s="35">
        <f t="shared" si="2"/>
        <v>1300107</v>
      </c>
      <c r="N26" s="36">
        <f t="shared" si="8"/>
        <v>467799</v>
      </c>
      <c r="O26" s="36">
        <f t="shared" si="9"/>
        <v>1790638</v>
      </c>
      <c r="P26" s="35">
        <f t="shared" si="5"/>
        <v>1300107</v>
      </c>
      <c r="Q26" s="35">
        <f t="shared" si="6"/>
        <v>467799</v>
      </c>
      <c r="R26" s="35">
        <f t="shared" si="7"/>
        <v>1790638</v>
      </c>
      <c r="S26" s="53"/>
      <c r="T26" s="33"/>
      <c r="U26" s="33"/>
      <c r="V26" s="33"/>
    </row>
    <row r="27" ht="15" customHeight="1" spans="1:22">
      <c r="A27" s="21">
        <v>40931</v>
      </c>
      <c r="B27" s="21" t="s">
        <v>36</v>
      </c>
      <c r="C27" s="22">
        <v>38282</v>
      </c>
      <c r="D27" s="8">
        <v>18747</v>
      </c>
      <c r="E27" s="8">
        <v>58109</v>
      </c>
      <c r="F27" s="23">
        <v>2923</v>
      </c>
      <c r="G27" s="24">
        <v>1913</v>
      </c>
      <c r="H27" s="25">
        <v>993.8</v>
      </c>
      <c r="I27" s="37">
        <v>569</v>
      </c>
      <c r="J27" s="9">
        <f t="shared" si="0"/>
        <v>39362</v>
      </c>
      <c r="K27" s="38">
        <f t="shared" si="1"/>
        <v>287</v>
      </c>
      <c r="L27" s="38">
        <v>793</v>
      </c>
      <c r="M27" s="39">
        <f t="shared" si="2"/>
        <v>1338389</v>
      </c>
      <c r="N27" s="40">
        <f t="shared" si="8"/>
        <v>486546</v>
      </c>
      <c r="O27" s="40">
        <f t="shared" si="9"/>
        <v>1848747</v>
      </c>
      <c r="P27" s="41">
        <f t="shared" si="5"/>
        <v>1338389</v>
      </c>
      <c r="Q27" s="41">
        <f t="shared" si="6"/>
        <v>486546</v>
      </c>
      <c r="R27" s="41">
        <f t="shared" si="7"/>
        <v>1848747</v>
      </c>
      <c r="S27" s="54">
        <v>11.2053</v>
      </c>
      <c r="T27" s="54">
        <f>P27/10000-S27</f>
        <v>122.6336</v>
      </c>
      <c r="U27" s="38"/>
      <c r="V27" s="38">
        <f>T27*10000/3298.592</f>
        <v>371.775593950388</v>
      </c>
    </row>
    <row r="28" ht="15" customHeight="1" spans="1:22">
      <c r="A28" s="21">
        <v>40932</v>
      </c>
      <c r="B28" s="21" t="s">
        <v>37</v>
      </c>
      <c r="C28" s="22">
        <v>32400</v>
      </c>
      <c r="D28" s="8">
        <v>18223</v>
      </c>
      <c r="E28" s="8">
        <v>51713</v>
      </c>
      <c r="F28" s="23">
        <v>2574.4</v>
      </c>
      <c r="G28" s="24">
        <v>1741.4</v>
      </c>
      <c r="H28" s="25">
        <v>921.3</v>
      </c>
      <c r="I28" s="37">
        <v>554.7</v>
      </c>
      <c r="J28" s="9">
        <f t="shared" si="0"/>
        <v>33490</v>
      </c>
      <c r="K28" s="38">
        <f t="shared" si="1"/>
        <v>297</v>
      </c>
      <c r="L28" s="38">
        <v>793</v>
      </c>
      <c r="M28" s="39">
        <f t="shared" si="2"/>
        <v>1370789</v>
      </c>
      <c r="N28" s="40">
        <f t="shared" si="8"/>
        <v>504769</v>
      </c>
      <c r="O28" s="40">
        <f t="shared" si="9"/>
        <v>1900460</v>
      </c>
      <c r="P28" s="41">
        <f t="shared" si="5"/>
        <v>1370789</v>
      </c>
      <c r="Q28" s="41">
        <f t="shared" si="6"/>
        <v>504769</v>
      </c>
      <c r="R28" s="41">
        <f t="shared" si="7"/>
        <v>1900460</v>
      </c>
      <c r="S28" s="54"/>
      <c r="T28" s="38"/>
      <c r="U28" s="38"/>
      <c r="V28" s="9"/>
    </row>
    <row r="29" ht="15" customHeight="1" spans="1:22">
      <c r="A29" s="21">
        <v>40933</v>
      </c>
      <c r="B29" s="21" t="s">
        <v>38</v>
      </c>
      <c r="C29" s="22">
        <v>26760</v>
      </c>
      <c r="D29" s="8">
        <v>16693</v>
      </c>
      <c r="E29" s="8">
        <v>45412</v>
      </c>
      <c r="F29" s="23">
        <v>2195</v>
      </c>
      <c r="G29" s="24">
        <v>1534</v>
      </c>
      <c r="H29" s="25"/>
      <c r="I29" s="37"/>
      <c r="J29" s="9">
        <f t="shared" si="0"/>
        <v>28719</v>
      </c>
      <c r="K29" s="38">
        <f t="shared" si="1"/>
        <v>1166</v>
      </c>
      <c r="L29" s="38">
        <v>793</v>
      </c>
      <c r="M29" s="39">
        <f t="shared" si="2"/>
        <v>1397549</v>
      </c>
      <c r="N29" s="40">
        <f t="shared" si="8"/>
        <v>521462</v>
      </c>
      <c r="O29" s="40">
        <f t="shared" si="9"/>
        <v>1945872</v>
      </c>
      <c r="P29" s="41">
        <f t="shared" si="5"/>
        <v>1397549</v>
      </c>
      <c r="Q29" s="41">
        <f t="shared" si="6"/>
        <v>521462</v>
      </c>
      <c r="R29" s="41">
        <f t="shared" si="7"/>
        <v>1945872</v>
      </c>
      <c r="S29" s="54"/>
      <c r="T29" s="38"/>
      <c r="U29" s="38"/>
      <c r="V29" s="9"/>
    </row>
    <row r="30" ht="15" customHeight="1" spans="1:22">
      <c r="A30" s="21">
        <v>40934</v>
      </c>
      <c r="B30" s="21" t="s">
        <v>1</v>
      </c>
      <c r="C30" s="22">
        <v>24652</v>
      </c>
      <c r="D30" s="8">
        <v>16967</v>
      </c>
      <c r="E30" s="8">
        <v>42498</v>
      </c>
      <c r="F30" s="23">
        <v>2042</v>
      </c>
      <c r="G30" s="24">
        <v>1394</v>
      </c>
      <c r="H30" s="25"/>
      <c r="I30" s="37"/>
      <c r="J30" s="9">
        <f t="shared" si="0"/>
        <v>25531</v>
      </c>
      <c r="K30" s="38">
        <f t="shared" si="1"/>
        <v>86</v>
      </c>
      <c r="L30" s="38">
        <v>793</v>
      </c>
      <c r="M30" s="39">
        <f t="shared" si="2"/>
        <v>1422201</v>
      </c>
      <c r="N30" s="40">
        <f t="shared" si="8"/>
        <v>538429</v>
      </c>
      <c r="O30" s="40">
        <f t="shared" si="9"/>
        <v>1988370</v>
      </c>
      <c r="P30" s="41">
        <f t="shared" si="5"/>
        <v>1422201</v>
      </c>
      <c r="Q30" s="41">
        <f t="shared" si="6"/>
        <v>538429</v>
      </c>
      <c r="R30" s="41">
        <f t="shared" si="7"/>
        <v>1988370</v>
      </c>
      <c r="S30" s="54"/>
      <c r="T30" s="38"/>
      <c r="U30" s="38"/>
      <c r="V30" s="9"/>
    </row>
    <row r="31" ht="15" customHeight="1" spans="1:22">
      <c r="A31" s="21">
        <v>40935</v>
      </c>
      <c r="B31" s="21" t="s">
        <v>39</v>
      </c>
      <c r="C31" s="22">
        <v>22104</v>
      </c>
      <c r="D31" s="8">
        <v>16864</v>
      </c>
      <c r="E31" s="8">
        <v>39919</v>
      </c>
      <c r="F31" s="23">
        <v>1899</v>
      </c>
      <c r="G31" s="24">
        <v>1331</v>
      </c>
      <c r="H31" s="25"/>
      <c r="I31" s="37"/>
      <c r="J31" s="9">
        <f t="shared" si="0"/>
        <v>23055</v>
      </c>
      <c r="K31" s="38">
        <f t="shared" si="1"/>
        <v>158</v>
      </c>
      <c r="L31" s="38">
        <v>793</v>
      </c>
      <c r="M31" s="39">
        <f t="shared" si="2"/>
        <v>1444305</v>
      </c>
      <c r="N31" s="40">
        <f t="shared" si="8"/>
        <v>555293</v>
      </c>
      <c r="O31" s="40">
        <f t="shared" si="9"/>
        <v>2028289</v>
      </c>
      <c r="P31" s="41">
        <f t="shared" si="5"/>
        <v>1444305</v>
      </c>
      <c r="Q31" s="41">
        <f t="shared" si="6"/>
        <v>555293</v>
      </c>
      <c r="R31" s="41">
        <f t="shared" si="7"/>
        <v>2028289</v>
      </c>
      <c r="S31" s="54"/>
      <c r="T31" s="38"/>
      <c r="U31" s="38"/>
      <c r="V31" s="9"/>
    </row>
    <row r="32" ht="15" customHeight="1" spans="1:22">
      <c r="A32" s="21">
        <v>40936</v>
      </c>
      <c r="B32" s="21" t="s">
        <v>34</v>
      </c>
      <c r="C32" s="22">
        <v>20465</v>
      </c>
      <c r="D32" s="8">
        <v>15842</v>
      </c>
      <c r="E32" s="8">
        <v>37207</v>
      </c>
      <c r="F32" s="23">
        <v>1832.5</v>
      </c>
      <c r="G32" s="24">
        <v>1223</v>
      </c>
      <c r="H32" s="25">
        <v>836</v>
      </c>
      <c r="I32" s="37">
        <v>480</v>
      </c>
      <c r="J32" s="9">
        <f t="shared" si="0"/>
        <v>21365</v>
      </c>
      <c r="K32" s="38">
        <f t="shared" si="1"/>
        <v>107</v>
      </c>
      <c r="L32" s="38">
        <v>793</v>
      </c>
      <c r="M32" s="39">
        <f t="shared" si="2"/>
        <v>1464770</v>
      </c>
      <c r="N32" s="40">
        <f t="shared" si="8"/>
        <v>571135</v>
      </c>
      <c r="O32" s="40">
        <f t="shared" si="9"/>
        <v>2065496</v>
      </c>
      <c r="P32" s="41">
        <f t="shared" si="5"/>
        <v>1464770</v>
      </c>
      <c r="Q32" s="41">
        <f t="shared" si="6"/>
        <v>571135</v>
      </c>
      <c r="R32" s="41">
        <f t="shared" si="7"/>
        <v>2065496</v>
      </c>
      <c r="S32" s="54"/>
      <c r="T32" s="38"/>
      <c r="U32" s="38"/>
      <c r="V32" s="9"/>
    </row>
    <row r="33" ht="15" customHeight="1" spans="1:22">
      <c r="A33" s="15">
        <v>40937</v>
      </c>
      <c r="B33" s="15" t="s">
        <v>35</v>
      </c>
      <c r="C33" s="16">
        <v>19376</v>
      </c>
      <c r="D33" s="17">
        <v>14214</v>
      </c>
      <c r="E33" s="17">
        <v>34438</v>
      </c>
      <c r="F33" s="18">
        <v>1726.7</v>
      </c>
      <c r="G33" s="19">
        <v>1120</v>
      </c>
      <c r="H33" s="20">
        <v>801</v>
      </c>
      <c r="I33" s="20">
        <v>392.3</v>
      </c>
      <c r="J33" s="33">
        <f t="shared" si="0"/>
        <v>20224</v>
      </c>
      <c r="K33" s="34">
        <f t="shared" si="1"/>
        <v>58</v>
      </c>
      <c r="L33" s="34">
        <v>790</v>
      </c>
      <c r="M33" s="35">
        <f t="shared" si="2"/>
        <v>1484146</v>
      </c>
      <c r="N33" s="36">
        <f t="shared" si="8"/>
        <v>585349</v>
      </c>
      <c r="O33" s="36">
        <f t="shared" si="9"/>
        <v>2099934</v>
      </c>
      <c r="P33" s="35">
        <f t="shared" si="5"/>
        <v>1484146</v>
      </c>
      <c r="Q33" s="35">
        <f t="shared" si="6"/>
        <v>585349</v>
      </c>
      <c r="R33" s="35">
        <f t="shared" si="7"/>
        <v>2099934</v>
      </c>
      <c r="S33" s="53"/>
      <c r="T33" s="33"/>
      <c r="U33" s="33"/>
      <c r="V33" s="33"/>
    </row>
    <row r="34" ht="15" customHeight="1" spans="1:22">
      <c r="A34" s="21">
        <v>40938</v>
      </c>
      <c r="B34" s="21" t="s">
        <v>36</v>
      </c>
      <c r="C34" s="22">
        <v>17222</v>
      </c>
      <c r="D34" s="8">
        <v>14258</v>
      </c>
      <c r="E34" s="8">
        <v>32182</v>
      </c>
      <c r="F34" s="23">
        <v>1704.3</v>
      </c>
      <c r="G34" s="24">
        <v>1033.7</v>
      </c>
      <c r="H34" s="25">
        <v>864.5</v>
      </c>
      <c r="I34" s="37">
        <v>390.5</v>
      </c>
      <c r="J34" s="9">
        <f t="shared" si="0"/>
        <v>17924</v>
      </c>
      <c r="K34" s="38">
        <f t="shared" si="1"/>
        <v>67</v>
      </c>
      <c r="L34" s="38">
        <v>635</v>
      </c>
      <c r="M34" s="39">
        <v>1502306</v>
      </c>
      <c r="N34" s="42">
        <v>599607.5</v>
      </c>
      <c r="O34" s="40">
        <v>2132116</v>
      </c>
      <c r="P34" s="41">
        <f t="shared" si="5"/>
        <v>1502306</v>
      </c>
      <c r="Q34" s="41">
        <f t="shared" si="6"/>
        <v>599607.5</v>
      </c>
      <c r="R34" s="41">
        <f t="shared" si="7"/>
        <v>2132116</v>
      </c>
      <c r="S34" s="54">
        <v>12.3807</v>
      </c>
      <c r="T34" s="54">
        <f>P34/10000-S34</f>
        <v>137.8499</v>
      </c>
      <c r="U34" s="38"/>
      <c r="V34" s="38">
        <f>T34*10000/(3298.592+19.3)</f>
        <v>415.474343348126</v>
      </c>
    </row>
    <row r="35" s="1" customFormat="1" ht="15" customHeight="1" spans="1:22">
      <c r="A35" s="14">
        <v>40939</v>
      </c>
      <c r="B35" s="26" t="s">
        <v>37</v>
      </c>
      <c r="C35" s="27">
        <v>15853</v>
      </c>
      <c r="D35" s="28">
        <v>11945</v>
      </c>
      <c r="E35" s="28">
        <v>28651</v>
      </c>
      <c r="F35" s="29">
        <v>1444.3</v>
      </c>
      <c r="G35" s="30">
        <v>1024.8</v>
      </c>
      <c r="H35" s="31">
        <v>683.2</v>
      </c>
      <c r="I35" s="31">
        <v>388</v>
      </c>
      <c r="J35" s="43">
        <f t="shared" si="0"/>
        <v>16706</v>
      </c>
      <c r="K35" s="44">
        <f t="shared" si="1"/>
        <v>250</v>
      </c>
      <c r="L35" s="44">
        <v>603</v>
      </c>
      <c r="M35" s="45">
        <v>1518159</v>
      </c>
      <c r="N35" s="46">
        <v>611552.5</v>
      </c>
      <c r="O35" s="47">
        <v>2160767</v>
      </c>
      <c r="P35" s="45">
        <f t="shared" si="5"/>
        <v>1518159</v>
      </c>
      <c r="Q35" s="45">
        <f t="shared" si="6"/>
        <v>611552.5</v>
      </c>
      <c r="R35" s="45">
        <f t="shared" si="7"/>
        <v>2160767</v>
      </c>
      <c r="S35" s="56">
        <v>12.42785</v>
      </c>
      <c r="T35" s="56">
        <f>P35/10000-S35</f>
        <v>139.38805</v>
      </c>
      <c r="U35" s="44"/>
      <c r="V35" s="44">
        <f>(T35-2.515)*10000/(3298.592+22.6)</f>
        <v>412.120256823454</v>
      </c>
    </row>
    <row r="36" ht="15" customHeight="1" spans="1:22">
      <c r="A36" s="14">
        <v>40940</v>
      </c>
      <c r="B36" s="21" t="s">
        <v>38</v>
      </c>
      <c r="C36" s="22">
        <v>15318</v>
      </c>
      <c r="D36" s="8">
        <v>11730</v>
      </c>
      <c r="E36" s="8">
        <v>27871</v>
      </c>
      <c r="F36" s="23">
        <v>1452</v>
      </c>
      <c r="G36" s="24">
        <v>922.7</v>
      </c>
      <c r="H36" s="25">
        <v>658.7</v>
      </c>
      <c r="I36" s="37">
        <v>360.2</v>
      </c>
      <c r="J36" s="9">
        <f t="shared" si="0"/>
        <v>16141</v>
      </c>
      <c r="K36" s="38">
        <f t="shared" si="1"/>
        <v>218</v>
      </c>
      <c r="L36" s="38">
        <v>605</v>
      </c>
      <c r="M36" s="39">
        <f>C36</f>
        <v>15318</v>
      </c>
      <c r="N36" s="40">
        <f>D36</f>
        <v>11730</v>
      </c>
      <c r="O36" s="40">
        <f>E36</f>
        <v>27871</v>
      </c>
      <c r="P36" s="41">
        <f>M36+P$35</f>
        <v>1533477</v>
      </c>
      <c r="Q36" s="41">
        <f t="shared" ref="Q36:Q63" si="10">Q$35+N36</f>
        <v>623282.5</v>
      </c>
      <c r="R36" s="41">
        <f t="shared" ref="R36:R63" si="11">R$35+O36</f>
        <v>2188638</v>
      </c>
      <c r="S36" s="54"/>
      <c r="T36" s="38"/>
      <c r="U36" s="38"/>
      <c r="V36" s="9"/>
    </row>
    <row r="37" ht="15" customHeight="1" spans="1:22">
      <c r="A37" s="14">
        <v>40941</v>
      </c>
      <c r="B37" s="21" t="s">
        <v>1</v>
      </c>
      <c r="C37" s="22">
        <v>16057</v>
      </c>
      <c r="D37" s="8">
        <v>11659</v>
      </c>
      <c r="E37" s="8">
        <v>28491</v>
      </c>
      <c r="F37" s="23">
        <v>1491.6</v>
      </c>
      <c r="G37" s="24">
        <v>941.2</v>
      </c>
      <c r="H37" s="25">
        <v>639.4</v>
      </c>
      <c r="I37" s="37">
        <v>360.9</v>
      </c>
      <c r="J37" s="9">
        <f t="shared" ref="J37:J63" si="12">E37-D37</f>
        <v>16832</v>
      </c>
      <c r="K37" s="38">
        <f t="shared" ref="K37:K63" si="13">J37-C37-L37</f>
        <v>29</v>
      </c>
      <c r="L37" s="38">
        <v>746</v>
      </c>
      <c r="M37" s="39">
        <f t="shared" ref="M37:M62" si="14">M36+C37</f>
        <v>31375</v>
      </c>
      <c r="N37" s="40">
        <f t="shared" ref="N37:N63" si="15">N36+D37</f>
        <v>23389</v>
      </c>
      <c r="O37" s="40">
        <f t="shared" ref="O37:O62" si="16">O36+E37</f>
        <v>56362</v>
      </c>
      <c r="P37" s="41">
        <f t="shared" ref="P37:P63" si="17">M37+P$35</f>
        <v>1549534</v>
      </c>
      <c r="Q37" s="41">
        <f t="shared" si="10"/>
        <v>634941.5</v>
      </c>
      <c r="R37" s="41">
        <f t="shared" si="11"/>
        <v>2217129</v>
      </c>
      <c r="S37" s="54"/>
      <c r="T37" s="38"/>
      <c r="U37" s="38"/>
      <c r="V37" s="9"/>
    </row>
    <row r="38" ht="15" customHeight="1" spans="1:22">
      <c r="A38" s="14">
        <v>40942</v>
      </c>
      <c r="B38" s="21" t="s">
        <v>39</v>
      </c>
      <c r="C38" s="22">
        <v>16559</v>
      </c>
      <c r="D38" s="8">
        <v>12666</v>
      </c>
      <c r="E38" s="8">
        <v>30179</v>
      </c>
      <c r="F38" s="23">
        <v>1571.9</v>
      </c>
      <c r="G38" s="24">
        <v>962.7</v>
      </c>
      <c r="H38" s="25">
        <v>763.2</v>
      </c>
      <c r="I38" s="37">
        <v>356.4</v>
      </c>
      <c r="J38" s="9">
        <f t="shared" si="12"/>
        <v>17513</v>
      </c>
      <c r="K38" s="38">
        <f t="shared" si="13"/>
        <v>159</v>
      </c>
      <c r="L38" s="38">
        <v>795</v>
      </c>
      <c r="M38" s="39">
        <f t="shared" si="14"/>
        <v>47934</v>
      </c>
      <c r="N38" s="40">
        <f t="shared" si="15"/>
        <v>36055</v>
      </c>
      <c r="O38" s="40">
        <f t="shared" si="16"/>
        <v>86541</v>
      </c>
      <c r="P38" s="41">
        <f t="shared" si="17"/>
        <v>1566093</v>
      </c>
      <c r="Q38" s="41">
        <f t="shared" si="10"/>
        <v>647607.5</v>
      </c>
      <c r="R38" s="41">
        <f t="shared" si="11"/>
        <v>2247308</v>
      </c>
      <c r="S38" s="54"/>
      <c r="T38" s="38"/>
      <c r="U38" s="38"/>
      <c r="V38" s="9"/>
    </row>
    <row r="39" ht="15" customHeight="1" spans="1:22">
      <c r="A39" s="14">
        <v>40943</v>
      </c>
      <c r="B39" s="21" t="s">
        <v>34</v>
      </c>
      <c r="C39" s="22">
        <v>18278</v>
      </c>
      <c r="D39" s="8">
        <v>13340</v>
      </c>
      <c r="E39" s="8">
        <v>32697</v>
      </c>
      <c r="F39" s="23">
        <v>1737.3</v>
      </c>
      <c r="G39" s="24">
        <v>1013.9</v>
      </c>
      <c r="H39" s="25">
        <v>779.2</v>
      </c>
      <c r="I39" s="37">
        <v>392.5</v>
      </c>
      <c r="J39" s="9">
        <f t="shared" si="12"/>
        <v>19357</v>
      </c>
      <c r="K39" s="38">
        <f t="shared" si="13"/>
        <v>284</v>
      </c>
      <c r="L39" s="38">
        <v>795</v>
      </c>
      <c r="M39" s="39">
        <f t="shared" si="14"/>
        <v>66212</v>
      </c>
      <c r="N39" s="40">
        <f t="shared" si="15"/>
        <v>49395</v>
      </c>
      <c r="O39" s="40">
        <f t="shared" si="16"/>
        <v>119238</v>
      </c>
      <c r="P39" s="41">
        <f t="shared" si="17"/>
        <v>1584371</v>
      </c>
      <c r="Q39" s="41">
        <f t="shared" si="10"/>
        <v>660947.5</v>
      </c>
      <c r="R39" s="41">
        <f t="shared" si="11"/>
        <v>2280005</v>
      </c>
      <c r="S39" s="54"/>
      <c r="T39" s="38"/>
      <c r="U39" s="38"/>
      <c r="V39" s="9"/>
    </row>
    <row r="40" ht="15" customHeight="1" spans="1:22">
      <c r="A40" s="14">
        <v>40944</v>
      </c>
      <c r="B40" s="15" t="s">
        <v>35</v>
      </c>
      <c r="C40" s="16">
        <v>21971</v>
      </c>
      <c r="D40" s="17">
        <v>12171</v>
      </c>
      <c r="E40" s="17">
        <v>35226</v>
      </c>
      <c r="F40" s="18">
        <v>1800.6</v>
      </c>
      <c r="G40" s="19">
        <v>1090.6</v>
      </c>
      <c r="H40" s="20">
        <v>722.6</v>
      </c>
      <c r="I40" s="20">
        <v>357.8</v>
      </c>
      <c r="J40" s="33">
        <f t="shared" si="12"/>
        <v>23055</v>
      </c>
      <c r="K40" s="34">
        <f t="shared" si="13"/>
        <v>289</v>
      </c>
      <c r="L40" s="34">
        <v>795</v>
      </c>
      <c r="M40" s="35">
        <f t="shared" si="14"/>
        <v>88183</v>
      </c>
      <c r="N40" s="36">
        <f t="shared" si="15"/>
        <v>61566</v>
      </c>
      <c r="O40" s="36">
        <f t="shared" si="16"/>
        <v>154464</v>
      </c>
      <c r="P40" s="35">
        <f t="shared" si="17"/>
        <v>1606342</v>
      </c>
      <c r="Q40" s="35">
        <f t="shared" si="10"/>
        <v>673118.5</v>
      </c>
      <c r="R40" s="35">
        <f t="shared" si="11"/>
        <v>2315231</v>
      </c>
      <c r="S40" s="53"/>
      <c r="T40" s="33"/>
      <c r="U40" s="33"/>
      <c r="V40" s="33"/>
    </row>
    <row r="41" ht="15" customHeight="1" spans="1:22">
      <c r="A41" s="14">
        <v>40945</v>
      </c>
      <c r="B41" s="21" t="s">
        <v>36</v>
      </c>
      <c r="C41" s="22">
        <v>23100</v>
      </c>
      <c r="D41" s="8">
        <v>12660</v>
      </c>
      <c r="E41" s="8">
        <v>36642</v>
      </c>
      <c r="F41" s="23">
        <v>1890.7</v>
      </c>
      <c r="G41" s="24">
        <v>1128.5</v>
      </c>
      <c r="H41" s="25">
        <v>743</v>
      </c>
      <c r="I41" s="37">
        <v>374.7</v>
      </c>
      <c r="J41" s="9">
        <f t="shared" si="12"/>
        <v>23982</v>
      </c>
      <c r="K41" s="38">
        <f t="shared" si="13"/>
        <v>87</v>
      </c>
      <c r="L41" s="38">
        <v>795</v>
      </c>
      <c r="M41" s="39">
        <f t="shared" si="14"/>
        <v>111283</v>
      </c>
      <c r="N41" s="40">
        <f t="shared" si="15"/>
        <v>74226</v>
      </c>
      <c r="O41" s="40">
        <f t="shared" si="16"/>
        <v>191106</v>
      </c>
      <c r="P41" s="41">
        <f t="shared" si="17"/>
        <v>1629442</v>
      </c>
      <c r="Q41" s="41">
        <f t="shared" si="10"/>
        <v>685778.5</v>
      </c>
      <c r="R41" s="41">
        <f t="shared" si="11"/>
        <v>2351873</v>
      </c>
      <c r="S41" s="54">
        <v>13.62785</v>
      </c>
      <c r="T41" s="54">
        <f>P41/10000-S41</f>
        <v>149.31635</v>
      </c>
      <c r="U41" s="38"/>
      <c r="V41" s="38">
        <f>V$34+(T41-T$34)*10000/(3298.592+100)</f>
        <v>449.213168132036</v>
      </c>
    </row>
    <row r="42" ht="15" customHeight="1" spans="1:22">
      <c r="A42" s="21">
        <v>40946</v>
      </c>
      <c r="B42" s="21" t="s">
        <v>37</v>
      </c>
      <c r="C42" s="22">
        <v>26277</v>
      </c>
      <c r="D42" s="8">
        <v>14300</v>
      </c>
      <c r="E42" s="8">
        <v>41967</v>
      </c>
      <c r="F42" s="23">
        <v>2155</v>
      </c>
      <c r="G42" s="24">
        <v>1159</v>
      </c>
      <c r="H42" s="25">
        <v>776</v>
      </c>
      <c r="I42" s="37">
        <v>389</v>
      </c>
      <c r="J42" s="9">
        <f t="shared" si="12"/>
        <v>27667</v>
      </c>
      <c r="K42" s="38">
        <f t="shared" si="13"/>
        <v>597</v>
      </c>
      <c r="L42" s="38">
        <v>793</v>
      </c>
      <c r="M42" s="39">
        <f t="shared" si="14"/>
        <v>137560</v>
      </c>
      <c r="N42" s="40">
        <f t="shared" si="15"/>
        <v>88526</v>
      </c>
      <c r="O42" s="40">
        <f t="shared" si="16"/>
        <v>233073</v>
      </c>
      <c r="P42" s="41">
        <f t="shared" si="17"/>
        <v>1655719</v>
      </c>
      <c r="Q42" s="41">
        <f t="shared" si="10"/>
        <v>700078.5</v>
      </c>
      <c r="R42" s="41">
        <f t="shared" si="11"/>
        <v>2393840</v>
      </c>
      <c r="S42" s="54"/>
      <c r="T42" s="38"/>
      <c r="U42" s="38"/>
      <c r="V42" s="9"/>
    </row>
    <row r="43" ht="15" customHeight="1" spans="1:22">
      <c r="A43" s="21">
        <v>40947</v>
      </c>
      <c r="B43" s="21" t="s">
        <v>38</v>
      </c>
      <c r="C43" s="22">
        <v>33479</v>
      </c>
      <c r="D43" s="8">
        <v>12461</v>
      </c>
      <c r="E43" s="8">
        <v>47845</v>
      </c>
      <c r="F43" s="23">
        <v>2470.4</v>
      </c>
      <c r="G43" s="24">
        <v>1325</v>
      </c>
      <c r="H43" s="25"/>
      <c r="I43" s="37"/>
      <c r="J43" s="9">
        <f t="shared" si="12"/>
        <v>35384</v>
      </c>
      <c r="K43" s="38">
        <f t="shared" si="13"/>
        <v>1112</v>
      </c>
      <c r="L43" s="38">
        <v>793</v>
      </c>
      <c r="M43" s="39">
        <f t="shared" si="14"/>
        <v>171039</v>
      </c>
      <c r="N43" s="40">
        <f t="shared" si="15"/>
        <v>100987</v>
      </c>
      <c r="O43" s="40">
        <f t="shared" si="16"/>
        <v>280918</v>
      </c>
      <c r="P43" s="41">
        <f t="shared" si="17"/>
        <v>1689198</v>
      </c>
      <c r="Q43" s="41">
        <f t="shared" si="10"/>
        <v>712539.5</v>
      </c>
      <c r="R43" s="41">
        <f t="shared" si="11"/>
        <v>2441685</v>
      </c>
      <c r="S43" s="54"/>
      <c r="T43" s="38"/>
      <c r="U43" s="38"/>
      <c r="V43" s="9"/>
    </row>
    <row r="44" ht="15" customHeight="1" spans="1:22">
      <c r="A44" s="21">
        <v>40948</v>
      </c>
      <c r="B44" s="21" t="s">
        <v>1</v>
      </c>
      <c r="C44" s="22">
        <v>39423</v>
      </c>
      <c r="D44" s="8">
        <v>13071</v>
      </c>
      <c r="E44" s="8">
        <v>53398</v>
      </c>
      <c r="F44" s="23">
        <v>2727.6</v>
      </c>
      <c r="G44" s="24">
        <v>1489.3</v>
      </c>
      <c r="H44" s="25">
        <v>718</v>
      </c>
      <c r="I44" s="37">
        <v>334</v>
      </c>
      <c r="J44" s="9">
        <f t="shared" si="12"/>
        <v>40327</v>
      </c>
      <c r="K44" s="38">
        <f t="shared" si="13"/>
        <v>111</v>
      </c>
      <c r="L44" s="38">
        <v>793</v>
      </c>
      <c r="M44" s="39">
        <f t="shared" si="14"/>
        <v>210462</v>
      </c>
      <c r="N44" s="40">
        <f t="shared" si="15"/>
        <v>114058</v>
      </c>
      <c r="O44" s="40">
        <f t="shared" si="16"/>
        <v>334316</v>
      </c>
      <c r="P44" s="41">
        <f t="shared" si="17"/>
        <v>1728621</v>
      </c>
      <c r="Q44" s="41">
        <f t="shared" si="10"/>
        <v>725610.5</v>
      </c>
      <c r="R44" s="41">
        <f t="shared" si="11"/>
        <v>2495083</v>
      </c>
      <c r="S44" s="54"/>
      <c r="T44" s="38"/>
      <c r="U44" s="38"/>
      <c r="V44" s="9"/>
    </row>
    <row r="45" ht="15" customHeight="1" spans="1:22">
      <c r="A45" s="21">
        <v>40949</v>
      </c>
      <c r="B45" s="21" t="s">
        <v>39</v>
      </c>
      <c r="C45" s="22">
        <v>45318</v>
      </c>
      <c r="D45" s="8">
        <v>13542</v>
      </c>
      <c r="E45" s="8">
        <v>60161</v>
      </c>
      <c r="F45" s="23">
        <v>3160</v>
      </c>
      <c r="G45" s="24">
        <v>1668</v>
      </c>
      <c r="H45" s="25">
        <v>760</v>
      </c>
      <c r="I45" s="37">
        <v>336</v>
      </c>
      <c r="J45" s="9">
        <f t="shared" si="12"/>
        <v>46619</v>
      </c>
      <c r="K45" s="38">
        <f t="shared" si="13"/>
        <v>508</v>
      </c>
      <c r="L45" s="38">
        <v>793</v>
      </c>
      <c r="M45" s="39">
        <v>255782.5</v>
      </c>
      <c r="N45" s="40">
        <f t="shared" si="15"/>
        <v>127600</v>
      </c>
      <c r="O45" s="40">
        <f t="shared" si="16"/>
        <v>394477</v>
      </c>
      <c r="P45" s="41">
        <f t="shared" si="17"/>
        <v>1773941.5</v>
      </c>
      <c r="Q45" s="41">
        <f t="shared" si="10"/>
        <v>739152.5</v>
      </c>
      <c r="R45" s="41">
        <f t="shared" si="11"/>
        <v>2555244</v>
      </c>
      <c r="S45" s="54">
        <v>13.2614</v>
      </c>
      <c r="T45" s="54">
        <f>P45/10000-S45</f>
        <v>164.13275</v>
      </c>
      <c r="U45" s="38"/>
      <c r="V45" s="55">
        <f>V$34+(T45-T$34)*10000/(3298.592+100)</f>
        <v>492.8088689399</v>
      </c>
    </row>
    <row r="46" ht="15" customHeight="1" spans="1:22">
      <c r="A46" s="21">
        <v>40950</v>
      </c>
      <c r="B46" s="21" t="s">
        <v>34</v>
      </c>
      <c r="C46" s="22">
        <v>47754</v>
      </c>
      <c r="D46" s="8">
        <v>15766</v>
      </c>
      <c r="E46" s="8">
        <v>64387</v>
      </c>
      <c r="F46" s="23">
        <v>3371.3</v>
      </c>
      <c r="G46" s="24">
        <v>1843.5</v>
      </c>
      <c r="H46" s="25">
        <v>890</v>
      </c>
      <c r="I46" s="37">
        <v>441</v>
      </c>
      <c r="J46" s="9">
        <f t="shared" si="12"/>
        <v>48621</v>
      </c>
      <c r="K46" s="38">
        <f t="shared" si="13"/>
        <v>75</v>
      </c>
      <c r="L46" s="38">
        <v>792</v>
      </c>
      <c r="M46" s="39">
        <f t="shared" si="14"/>
        <v>303536.5</v>
      </c>
      <c r="N46" s="40">
        <f t="shared" si="15"/>
        <v>143366</v>
      </c>
      <c r="O46" s="40">
        <f t="shared" si="16"/>
        <v>458864</v>
      </c>
      <c r="P46" s="41">
        <f t="shared" si="17"/>
        <v>1821695.5</v>
      </c>
      <c r="Q46" s="41">
        <f t="shared" si="10"/>
        <v>754918.5</v>
      </c>
      <c r="R46" s="41">
        <f t="shared" si="11"/>
        <v>2619631</v>
      </c>
      <c r="S46" s="54"/>
      <c r="T46" s="38"/>
      <c r="U46" s="38"/>
      <c r="V46" s="9"/>
    </row>
    <row r="47" ht="15" customHeight="1" spans="1:22">
      <c r="A47" s="15">
        <v>40951</v>
      </c>
      <c r="B47" s="15" t="s">
        <v>35</v>
      </c>
      <c r="C47" s="16">
        <v>51541</v>
      </c>
      <c r="D47" s="17">
        <v>16566</v>
      </c>
      <c r="E47" s="17">
        <v>69442</v>
      </c>
      <c r="F47" s="18">
        <v>3637.9</v>
      </c>
      <c r="G47" s="19">
        <v>1934.3</v>
      </c>
      <c r="H47" s="20">
        <v>947.2</v>
      </c>
      <c r="I47" s="20">
        <v>450.8</v>
      </c>
      <c r="J47" s="33">
        <f t="shared" si="12"/>
        <v>52876</v>
      </c>
      <c r="K47" s="34">
        <f t="shared" si="13"/>
        <v>542</v>
      </c>
      <c r="L47" s="34">
        <v>793</v>
      </c>
      <c r="M47" s="35">
        <f t="shared" si="14"/>
        <v>355077.5</v>
      </c>
      <c r="N47" s="36">
        <f t="shared" si="15"/>
        <v>159932</v>
      </c>
      <c r="O47" s="36">
        <f t="shared" si="16"/>
        <v>528306</v>
      </c>
      <c r="P47" s="35">
        <f t="shared" si="17"/>
        <v>1873236.5</v>
      </c>
      <c r="Q47" s="35">
        <f t="shared" si="10"/>
        <v>771484.5</v>
      </c>
      <c r="R47" s="35">
        <f t="shared" si="11"/>
        <v>2689073</v>
      </c>
      <c r="S47" s="53"/>
      <c r="T47" s="33"/>
      <c r="U47" s="33"/>
      <c r="V47" s="33"/>
    </row>
    <row r="48" ht="15" customHeight="1" spans="1:22">
      <c r="A48" s="21">
        <v>40952</v>
      </c>
      <c r="B48" s="21" t="s">
        <v>36</v>
      </c>
      <c r="C48" s="22">
        <v>53544</v>
      </c>
      <c r="D48" s="8">
        <v>16722</v>
      </c>
      <c r="E48" s="8">
        <v>71303</v>
      </c>
      <c r="F48" s="23">
        <v>3774</v>
      </c>
      <c r="G48" s="24">
        <v>2063</v>
      </c>
      <c r="H48" s="25"/>
      <c r="I48" s="37"/>
      <c r="J48" s="9">
        <f t="shared" si="12"/>
        <v>54581</v>
      </c>
      <c r="K48" s="38">
        <f t="shared" si="13"/>
        <v>244</v>
      </c>
      <c r="L48" s="38">
        <v>793</v>
      </c>
      <c r="M48" s="39">
        <f t="shared" si="14"/>
        <v>408621.5</v>
      </c>
      <c r="N48" s="40">
        <f t="shared" si="15"/>
        <v>176654</v>
      </c>
      <c r="O48" s="40">
        <f t="shared" si="16"/>
        <v>599609</v>
      </c>
      <c r="P48" s="41">
        <f t="shared" si="17"/>
        <v>1926780.5</v>
      </c>
      <c r="Q48" s="41">
        <f t="shared" si="10"/>
        <v>788206.5</v>
      </c>
      <c r="R48" s="41">
        <f t="shared" si="11"/>
        <v>2760376</v>
      </c>
      <c r="S48" s="54">
        <v>13.7114</v>
      </c>
      <c r="T48" s="54">
        <f>P48/10000-S48</f>
        <v>178.96665</v>
      </c>
      <c r="U48" s="38"/>
      <c r="V48" s="38">
        <f>V$34+(T48-T$34)*10000/(3298.592+100)</f>
        <v>536.456061659709</v>
      </c>
    </row>
    <row r="49" ht="15" customHeight="1" spans="1:22">
      <c r="A49" s="21">
        <v>40953</v>
      </c>
      <c r="B49" s="21" t="s">
        <v>37</v>
      </c>
      <c r="C49" s="22">
        <v>49942</v>
      </c>
      <c r="D49" s="8">
        <v>18280</v>
      </c>
      <c r="E49" s="8">
        <v>69151</v>
      </c>
      <c r="F49" s="23">
        <v>3636.7</v>
      </c>
      <c r="G49" s="24">
        <v>2090.2</v>
      </c>
      <c r="H49" s="25">
        <v>1011.6</v>
      </c>
      <c r="I49" s="37">
        <v>531</v>
      </c>
      <c r="J49" s="9">
        <f t="shared" si="12"/>
        <v>50871</v>
      </c>
      <c r="K49" s="38">
        <f t="shared" si="13"/>
        <v>136</v>
      </c>
      <c r="L49" s="38">
        <v>793</v>
      </c>
      <c r="M49" s="39">
        <f t="shared" si="14"/>
        <v>458563.5</v>
      </c>
      <c r="N49" s="40">
        <f t="shared" si="15"/>
        <v>194934</v>
      </c>
      <c r="O49" s="40">
        <f t="shared" si="16"/>
        <v>668760</v>
      </c>
      <c r="P49" s="41">
        <f t="shared" si="17"/>
        <v>1976722.5</v>
      </c>
      <c r="Q49" s="41">
        <f t="shared" si="10"/>
        <v>806486.5</v>
      </c>
      <c r="R49" s="41">
        <f t="shared" si="11"/>
        <v>2829527</v>
      </c>
      <c r="S49" s="54"/>
      <c r="T49" s="38"/>
      <c r="U49" s="38"/>
      <c r="V49" s="9"/>
    </row>
    <row r="50" ht="15" customHeight="1" spans="1:22">
      <c r="A50" s="21">
        <v>40954</v>
      </c>
      <c r="B50" s="21" t="s">
        <v>38</v>
      </c>
      <c r="C50" s="22">
        <v>52277</v>
      </c>
      <c r="D50" s="8">
        <v>16547</v>
      </c>
      <c r="E50" s="8">
        <v>69702</v>
      </c>
      <c r="F50" s="23">
        <v>3637.3</v>
      </c>
      <c r="G50" s="24">
        <v>2117.5</v>
      </c>
      <c r="H50" s="25">
        <v>906.7</v>
      </c>
      <c r="I50" s="37">
        <v>490.7</v>
      </c>
      <c r="J50" s="9">
        <f t="shared" si="12"/>
        <v>53155</v>
      </c>
      <c r="K50" s="38">
        <f t="shared" si="13"/>
        <v>85</v>
      </c>
      <c r="L50" s="38">
        <v>793</v>
      </c>
      <c r="M50" s="39">
        <f t="shared" si="14"/>
        <v>510840.5</v>
      </c>
      <c r="N50" s="40">
        <f t="shared" si="15"/>
        <v>211481</v>
      </c>
      <c r="O50" s="40">
        <f t="shared" si="16"/>
        <v>738462</v>
      </c>
      <c r="P50" s="41">
        <f t="shared" si="17"/>
        <v>2028999.5</v>
      </c>
      <c r="Q50" s="41">
        <f t="shared" si="10"/>
        <v>823033.5</v>
      </c>
      <c r="R50" s="41">
        <f t="shared" si="11"/>
        <v>2899229</v>
      </c>
      <c r="S50" s="54"/>
      <c r="T50" s="38"/>
      <c r="U50" s="38"/>
      <c r="V50" s="9"/>
    </row>
    <row r="51" ht="15" customHeight="1" spans="1:22">
      <c r="A51" s="21">
        <v>40955</v>
      </c>
      <c r="B51" s="21" t="s">
        <v>1</v>
      </c>
      <c r="C51" s="22">
        <v>53632</v>
      </c>
      <c r="D51" s="8">
        <v>16055</v>
      </c>
      <c r="E51" s="8">
        <v>70538</v>
      </c>
      <c r="F51" s="23">
        <v>3597.9</v>
      </c>
      <c r="G51" s="24">
        <v>2173.5</v>
      </c>
      <c r="H51" s="25">
        <v>849.1</v>
      </c>
      <c r="I51" s="37">
        <v>470.4</v>
      </c>
      <c r="J51" s="9">
        <f t="shared" si="12"/>
        <v>54483</v>
      </c>
      <c r="K51" s="38">
        <f t="shared" si="13"/>
        <v>58</v>
      </c>
      <c r="L51" s="38">
        <v>793</v>
      </c>
      <c r="M51" s="39">
        <f t="shared" si="14"/>
        <v>564472.5</v>
      </c>
      <c r="N51" s="40">
        <f t="shared" si="15"/>
        <v>227536</v>
      </c>
      <c r="O51" s="40">
        <f t="shared" si="16"/>
        <v>809000</v>
      </c>
      <c r="P51" s="41">
        <f t="shared" si="17"/>
        <v>2082631.5</v>
      </c>
      <c r="Q51" s="41">
        <f t="shared" si="10"/>
        <v>839088.5</v>
      </c>
      <c r="R51" s="41">
        <f t="shared" si="11"/>
        <v>2969767</v>
      </c>
      <c r="S51" s="54"/>
      <c r="T51" s="38"/>
      <c r="U51" s="38"/>
      <c r="V51" s="9"/>
    </row>
    <row r="52" ht="15" customHeight="1" spans="1:22">
      <c r="A52" s="21">
        <v>40956</v>
      </c>
      <c r="B52" s="21" t="s">
        <v>39</v>
      </c>
      <c r="C52" s="22">
        <v>57432</v>
      </c>
      <c r="D52" s="8">
        <v>15214</v>
      </c>
      <c r="E52" s="8">
        <v>73668</v>
      </c>
      <c r="F52" s="23">
        <v>3878.2</v>
      </c>
      <c r="G52" s="24">
        <v>2220</v>
      </c>
      <c r="H52" s="25">
        <v>858.1</v>
      </c>
      <c r="I52" s="37">
        <v>444.4</v>
      </c>
      <c r="J52" s="9">
        <f t="shared" si="12"/>
        <v>58454</v>
      </c>
      <c r="K52" s="38">
        <f t="shared" si="13"/>
        <v>229</v>
      </c>
      <c r="L52" s="38">
        <v>793</v>
      </c>
      <c r="M52" s="39">
        <f t="shared" si="14"/>
        <v>621904.5</v>
      </c>
      <c r="N52" s="40">
        <f t="shared" si="15"/>
        <v>242750</v>
      </c>
      <c r="O52" s="40">
        <f t="shared" si="16"/>
        <v>882668</v>
      </c>
      <c r="P52" s="41">
        <f t="shared" si="17"/>
        <v>2140063.5</v>
      </c>
      <c r="Q52" s="41">
        <f t="shared" si="10"/>
        <v>854302.5</v>
      </c>
      <c r="R52" s="41">
        <f t="shared" si="11"/>
        <v>3043435</v>
      </c>
      <c r="S52" s="54"/>
      <c r="T52" s="38"/>
      <c r="U52" s="38"/>
      <c r="V52" s="9"/>
    </row>
    <row r="53" ht="15" customHeight="1" spans="1:22">
      <c r="A53" s="21">
        <v>40957</v>
      </c>
      <c r="B53" s="21" t="s">
        <v>34</v>
      </c>
      <c r="C53" s="22">
        <v>60053</v>
      </c>
      <c r="D53" s="8">
        <v>16601</v>
      </c>
      <c r="E53" s="8">
        <v>78301</v>
      </c>
      <c r="F53" s="23">
        <v>4139.1</v>
      </c>
      <c r="G53" s="24">
        <v>2307.8</v>
      </c>
      <c r="H53" s="25">
        <v>941.5</v>
      </c>
      <c r="I53" s="37">
        <v>487.5</v>
      </c>
      <c r="J53" s="9">
        <f t="shared" si="12"/>
        <v>61700</v>
      </c>
      <c r="K53" s="38">
        <f t="shared" si="13"/>
        <v>854</v>
      </c>
      <c r="L53" s="38">
        <v>793</v>
      </c>
      <c r="M53" s="39">
        <f t="shared" si="14"/>
        <v>681957.5</v>
      </c>
      <c r="N53" s="40">
        <f t="shared" si="15"/>
        <v>259351</v>
      </c>
      <c r="O53" s="40">
        <f t="shared" si="16"/>
        <v>960969</v>
      </c>
      <c r="P53" s="41">
        <f t="shared" si="17"/>
        <v>2200116.5</v>
      </c>
      <c r="Q53" s="41">
        <f t="shared" si="10"/>
        <v>870903.5</v>
      </c>
      <c r="R53" s="41">
        <f t="shared" si="11"/>
        <v>3121736</v>
      </c>
      <c r="S53" s="54"/>
      <c r="T53" s="38"/>
      <c r="U53" s="38"/>
      <c r="V53" s="9"/>
    </row>
    <row r="54" ht="15" customHeight="1" spans="1:22">
      <c r="A54" s="15">
        <v>40958</v>
      </c>
      <c r="B54" s="15" t="s">
        <v>35</v>
      </c>
      <c r="C54" s="16">
        <v>59299</v>
      </c>
      <c r="D54" s="17">
        <v>19455</v>
      </c>
      <c r="E54" s="17">
        <v>80192</v>
      </c>
      <c r="F54" s="18">
        <v>4271.5</v>
      </c>
      <c r="G54" s="19">
        <v>2381.2</v>
      </c>
      <c r="H54" s="20">
        <v>1078.7</v>
      </c>
      <c r="I54" s="20">
        <v>584.6</v>
      </c>
      <c r="J54" s="33">
        <f t="shared" si="12"/>
        <v>60737</v>
      </c>
      <c r="K54" s="34">
        <f t="shared" si="13"/>
        <v>643</v>
      </c>
      <c r="L54" s="34">
        <v>795</v>
      </c>
      <c r="M54" s="35">
        <f t="shared" si="14"/>
        <v>741256.5</v>
      </c>
      <c r="N54" s="36">
        <f t="shared" si="15"/>
        <v>278806</v>
      </c>
      <c r="O54" s="36">
        <f t="shared" si="16"/>
        <v>1041161</v>
      </c>
      <c r="P54" s="35">
        <f t="shared" si="17"/>
        <v>2259415.5</v>
      </c>
      <c r="Q54" s="35">
        <f t="shared" si="10"/>
        <v>890358.5</v>
      </c>
      <c r="R54" s="35">
        <f t="shared" si="11"/>
        <v>3201928</v>
      </c>
      <c r="S54" s="53"/>
      <c r="T54" s="33"/>
      <c r="U54" s="33"/>
      <c r="V54" s="33"/>
    </row>
    <row r="55" ht="15" customHeight="1" spans="1:22">
      <c r="A55" s="21">
        <v>40959</v>
      </c>
      <c r="B55" s="21" t="s">
        <v>36</v>
      </c>
      <c r="C55" s="22">
        <v>59804</v>
      </c>
      <c r="D55" s="8">
        <v>19328</v>
      </c>
      <c r="E55" s="8">
        <v>80301</v>
      </c>
      <c r="F55" s="23">
        <v>4193</v>
      </c>
      <c r="G55" s="24">
        <v>2489</v>
      </c>
      <c r="H55" s="25">
        <v>1061</v>
      </c>
      <c r="I55" s="37">
        <v>589</v>
      </c>
      <c r="J55" s="9">
        <f t="shared" si="12"/>
        <v>60973</v>
      </c>
      <c r="K55" s="38">
        <f t="shared" si="13"/>
        <v>374</v>
      </c>
      <c r="L55" s="38">
        <v>795</v>
      </c>
      <c r="M55" s="39">
        <f t="shared" si="14"/>
        <v>801060.5</v>
      </c>
      <c r="N55" s="40">
        <f t="shared" si="15"/>
        <v>298134</v>
      </c>
      <c r="O55" s="40">
        <f t="shared" si="16"/>
        <v>1121462</v>
      </c>
      <c r="P55" s="41">
        <f t="shared" si="17"/>
        <v>2319219.5</v>
      </c>
      <c r="Q55" s="41">
        <f t="shared" si="10"/>
        <v>909686.5</v>
      </c>
      <c r="R55" s="41">
        <f t="shared" si="11"/>
        <v>3282229</v>
      </c>
      <c r="S55" s="54">
        <v>17.8262</v>
      </c>
      <c r="T55" s="54">
        <f>P55/10000-S55</f>
        <v>214.09575</v>
      </c>
      <c r="U55" s="38"/>
      <c r="V55" s="55">
        <f>V$34+(T55-T$34)*10000/(3298.592+100)</f>
        <v>639.819748739535</v>
      </c>
    </row>
    <row r="56" ht="15" customHeight="1" spans="1:22">
      <c r="A56" s="21">
        <v>40960</v>
      </c>
      <c r="B56" s="21" t="s">
        <v>37</v>
      </c>
      <c r="C56" s="22">
        <v>60134</v>
      </c>
      <c r="D56" s="8">
        <v>20410</v>
      </c>
      <c r="E56" s="8">
        <v>81867</v>
      </c>
      <c r="F56" s="23">
        <v>4269</v>
      </c>
      <c r="G56" s="24">
        <v>2574.1</v>
      </c>
      <c r="H56" s="25"/>
      <c r="I56" s="37"/>
      <c r="J56" s="9">
        <f t="shared" si="12"/>
        <v>61457</v>
      </c>
      <c r="K56" s="38">
        <f t="shared" si="13"/>
        <v>528</v>
      </c>
      <c r="L56" s="38">
        <v>795</v>
      </c>
      <c r="M56" s="39">
        <f t="shared" si="14"/>
        <v>861194.5</v>
      </c>
      <c r="N56" s="40">
        <f t="shared" si="15"/>
        <v>318544</v>
      </c>
      <c r="O56" s="40">
        <f t="shared" si="16"/>
        <v>1203329</v>
      </c>
      <c r="P56" s="41">
        <f t="shared" si="17"/>
        <v>2379353.5</v>
      </c>
      <c r="Q56" s="41">
        <f t="shared" si="10"/>
        <v>930096.5</v>
      </c>
      <c r="R56" s="41">
        <f t="shared" si="11"/>
        <v>3364096</v>
      </c>
      <c r="S56" s="54"/>
      <c r="T56" s="38"/>
      <c r="U56" s="38"/>
      <c r="V56" s="9"/>
    </row>
    <row r="57" ht="15" customHeight="1" spans="1:22">
      <c r="A57" s="21">
        <v>40961</v>
      </c>
      <c r="B57" s="21" t="s">
        <v>38</v>
      </c>
      <c r="C57" s="22">
        <v>59154</v>
      </c>
      <c r="D57" s="8">
        <v>20138</v>
      </c>
      <c r="E57" s="8">
        <v>80376</v>
      </c>
      <c r="F57" s="23">
        <v>4142.3</v>
      </c>
      <c r="G57" s="24">
        <v>2611</v>
      </c>
      <c r="H57" s="25"/>
      <c r="I57" s="37"/>
      <c r="J57" s="9">
        <f t="shared" si="12"/>
        <v>60238</v>
      </c>
      <c r="K57" s="38">
        <f t="shared" si="13"/>
        <v>289</v>
      </c>
      <c r="L57" s="38">
        <v>795</v>
      </c>
      <c r="M57" s="39">
        <f t="shared" si="14"/>
        <v>920348.5</v>
      </c>
      <c r="N57" s="40">
        <f t="shared" si="15"/>
        <v>338682</v>
      </c>
      <c r="O57" s="40">
        <f t="shared" si="16"/>
        <v>1283705</v>
      </c>
      <c r="P57" s="41">
        <f t="shared" si="17"/>
        <v>2438507.5</v>
      </c>
      <c r="Q57" s="41">
        <f t="shared" si="10"/>
        <v>950234.5</v>
      </c>
      <c r="R57" s="41">
        <f t="shared" si="11"/>
        <v>3444472</v>
      </c>
      <c r="S57" s="54"/>
      <c r="T57" s="38"/>
      <c r="U57" s="38"/>
      <c r="V57" s="9"/>
    </row>
    <row r="58" ht="15" customHeight="1" spans="1:22">
      <c r="A58" s="21">
        <v>40962</v>
      </c>
      <c r="B58" s="21" t="s">
        <v>1</v>
      </c>
      <c r="C58" s="22">
        <v>56571</v>
      </c>
      <c r="D58" s="8">
        <v>19797</v>
      </c>
      <c r="E58" s="8">
        <v>77422</v>
      </c>
      <c r="F58" s="23">
        <v>3929.5</v>
      </c>
      <c r="G58" s="24">
        <v>2581</v>
      </c>
      <c r="H58" s="25"/>
      <c r="I58" s="37"/>
      <c r="J58" s="9">
        <f t="shared" si="12"/>
        <v>57625</v>
      </c>
      <c r="K58" s="38">
        <f t="shared" si="13"/>
        <v>259</v>
      </c>
      <c r="L58" s="38">
        <v>795</v>
      </c>
      <c r="M58" s="39">
        <f t="shared" si="14"/>
        <v>976919.5</v>
      </c>
      <c r="N58" s="40">
        <f t="shared" si="15"/>
        <v>358479</v>
      </c>
      <c r="O58" s="40">
        <f t="shared" si="16"/>
        <v>1361127</v>
      </c>
      <c r="P58" s="41">
        <f t="shared" si="17"/>
        <v>2495078.5</v>
      </c>
      <c r="Q58" s="41">
        <f t="shared" si="10"/>
        <v>970031.5</v>
      </c>
      <c r="R58" s="41">
        <f t="shared" si="11"/>
        <v>3521894</v>
      </c>
      <c r="S58" s="54"/>
      <c r="T58" s="38"/>
      <c r="U58" s="38"/>
      <c r="V58" s="9"/>
    </row>
    <row r="59" ht="15" customHeight="1" spans="1:22">
      <c r="A59" s="21">
        <v>40963</v>
      </c>
      <c r="B59" s="21" t="s">
        <v>39</v>
      </c>
      <c r="C59" s="22">
        <v>60968</v>
      </c>
      <c r="D59" s="8">
        <v>20435</v>
      </c>
      <c r="E59" s="8">
        <v>82699</v>
      </c>
      <c r="F59" s="23">
        <v>4348.4</v>
      </c>
      <c r="G59" s="24">
        <v>2548.3</v>
      </c>
      <c r="H59" s="25"/>
      <c r="I59" s="37"/>
      <c r="J59" s="9">
        <f t="shared" si="12"/>
        <v>62264</v>
      </c>
      <c r="K59" s="38">
        <f t="shared" si="13"/>
        <v>500</v>
      </c>
      <c r="L59" s="38">
        <v>796</v>
      </c>
      <c r="M59" s="39">
        <f t="shared" si="14"/>
        <v>1037887.5</v>
      </c>
      <c r="N59" s="40">
        <f t="shared" si="15"/>
        <v>378914</v>
      </c>
      <c r="O59" s="40">
        <f t="shared" si="16"/>
        <v>1443826</v>
      </c>
      <c r="P59" s="41">
        <f t="shared" si="17"/>
        <v>2556046.5</v>
      </c>
      <c r="Q59" s="41">
        <f t="shared" si="10"/>
        <v>990466.5</v>
      </c>
      <c r="R59" s="41">
        <f t="shared" si="11"/>
        <v>3604593</v>
      </c>
      <c r="S59" s="54"/>
      <c r="T59" s="38"/>
      <c r="U59" s="38"/>
      <c r="V59" s="9"/>
    </row>
    <row r="60" ht="15" customHeight="1" spans="1:22">
      <c r="A60" s="21">
        <v>40964</v>
      </c>
      <c r="B60" s="21" t="s">
        <v>34</v>
      </c>
      <c r="C60" s="22">
        <v>60951</v>
      </c>
      <c r="D60" s="8">
        <v>20568</v>
      </c>
      <c r="E60" s="8">
        <v>82667</v>
      </c>
      <c r="F60" s="23">
        <v>4292</v>
      </c>
      <c r="G60" s="24">
        <v>2632.3</v>
      </c>
      <c r="H60" s="25"/>
      <c r="I60" s="37"/>
      <c r="J60" s="9">
        <f t="shared" si="12"/>
        <v>62099</v>
      </c>
      <c r="K60" s="38">
        <f t="shared" si="13"/>
        <v>353</v>
      </c>
      <c r="L60" s="38">
        <v>795</v>
      </c>
      <c r="M60" s="39">
        <f t="shared" si="14"/>
        <v>1098838.5</v>
      </c>
      <c r="N60" s="40">
        <f t="shared" si="15"/>
        <v>399482</v>
      </c>
      <c r="O60" s="40">
        <f t="shared" si="16"/>
        <v>1526493</v>
      </c>
      <c r="P60" s="41">
        <f t="shared" si="17"/>
        <v>2616997.5</v>
      </c>
      <c r="Q60" s="41">
        <f t="shared" si="10"/>
        <v>1011034.5</v>
      </c>
      <c r="R60" s="41">
        <f t="shared" si="11"/>
        <v>3687260</v>
      </c>
      <c r="S60" s="54"/>
      <c r="T60" s="38"/>
      <c r="U60" s="38"/>
      <c r="V60" s="9"/>
    </row>
    <row r="61" ht="15" customHeight="1" spans="1:22">
      <c r="A61" s="15">
        <v>40965</v>
      </c>
      <c r="B61" s="15" t="s">
        <v>35</v>
      </c>
      <c r="C61" s="16">
        <v>59520</v>
      </c>
      <c r="D61" s="17">
        <v>20158</v>
      </c>
      <c r="E61" s="17">
        <v>80935</v>
      </c>
      <c r="F61" s="18">
        <v>4190</v>
      </c>
      <c r="G61" s="19">
        <v>2595.5</v>
      </c>
      <c r="H61" s="20"/>
      <c r="I61" s="20"/>
      <c r="J61" s="33">
        <f t="shared" si="12"/>
        <v>60777</v>
      </c>
      <c r="K61" s="34">
        <f t="shared" si="13"/>
        <v>461</v>
      </c>
      <c r="L61" s="34">
        <v>796</v>
      </c>
      <c r="M61" s="35">
        <f t="shared" si="14"/>
        <v>1158358.5</v>
      </c>
      <c r="N61" s="36">
        <f t="shared" si="15"/>
        <v>419640</v>
      </c>
      <c r="O61" s="36">
        <f t="shared" si="16"/>
        <v>1607428</v>
      </c>
      <c r="P61" s="35">
        <f t="shared" si="17"/>
        <v>2676517.5</v>
      </c>
      <c r="Q61" s="35">
        <f t="shared" si="10"/>
        <v>1031192.5</v>
      </c>
      <c r="R61" s="35">
        <f t="shared" si="11"/>
        <v>3768195</v>
      </c>
      <c r="S61" s="53"/>
      <c r="T61" s="33"/>
      <c r="U61" s="33"/>
      <c r="V61" s="33"/>
    </row>
    <row r="62" ht="15" customHeight="1" spans="1:22">
      <c r="A62" s="21">
        <v>40966</v>
      </c>
      <c r="B62" s="21" t="s">
        <v>36</v>
      </c>
      <c r="C62" s="22">
        <v>59699</v>
      </c>
      <c r="D62" s="8">
        <v>20190</v>
      </c>
      <c r="E62" s="8">
        <v>81059</v>
      </c>
      <c r="F62" s="23">
        <v>4173</v>
      </c>
      <c r="G62" s="24">
        <v>2627.3</v>
      </c>
      <c r="H62" s="25"/>
      <c r="I62" s="37"/>
      <c r="J62" s="9">
        <f t="shared" si="12"/>
        <v>60869</v>
      </c>
      <c r="K62" s="38">
        <f t="shared" si="13"/>
        <v>375</v>
      </c>
      <c r="L62" s="38">
        <v>795</v>
      </c>
      <c r="M62" s="39">
        <f t="shared" si="14"/>
        <v>1218057.5</v>
      </c>
      <c r="N62" s="40">
        <f t="shared" si="15"/>
        <v>439830</v>
      </c>
      <c r="O62" s="40">
        <f t="shared" si="16"/>
        <v>1688487</v>
      </c>
      <c r="P62" s="41">
        <f t="shared" si="17"/>
        <v>2736216.5</v>
      </c>
      <c r="Q62" s="41">
        <f t="shared" si="10"/>
        <v>1051382.5</v>
      </c>
      <c r="R62" s="41">
        <f t="shared" si="11"/>
        <v>3849254</v>
      </c>
      <c r="S62" s="54">
        <v>21.3262</v>
      </c>
      <c r="T62" s="54">
        <f>P62/10000-S62</f>
        <v>252.29545</v>
      </c>
      <c r="U62" s="38"/>
      <c r="V62" s="38">
        <f>V$34+(T62-T$34)*10000/(3298.592+100)</f>
        <v>752.218353808928</v>
      </c>
    </row>
    <row r="63" s="1" customFormat="1" ht="15" customHeight="1" spans="1:22">
      <c r="A63" s="26">
        <v>40967</v>
      </c>
      <c r="B63" s="26" t="s">
        <v>37</v>
      </c>
      <c r="C63" s="27">
        <v>59863</v>
      </c>
      <c r="D63" s="28">
        <v>21358</v>
      </c>
      <c r="E63" s="28">
        <v>82535</v>
      </c>
      <c r="F63" s="29">
        <v>4243</v>
      </c>
      <c r="G63" s="30">
        <v>2665.6</v>
      </c>
      <c r="H63" s="31"/>
      <c r="I63" s="31"/>
      <c r="J63" s="43">
        <f t="shared" si="12"/>
        <v>61177</v>
      </c>
      <c r="K63" s="44">
        <f t="shared" si="13"/>
        <v>519</v>
      </c>
      <c r="L63" s="44">
        <v>795</v>
      </c>
      <c r="M63" s="45">
        <v>1277962</v>
      </c>
      <c r="N63" s="47">
        <f t="shared" si="15"/>
        <v>461188</v>
      </c>
      <c r="O63" s="47">
        <v>1771062</v>
      </c>
      <c r="P63" s="45">
        <f t="shared" si="17"/>
        <v>2796121</v>
      </c>
      <c r="Q63" s="45">
        <f t="shared" si="10"/>
        <v>1072740.5</v>
      </c>
      <c r="R63" s="45">
        <f t="shared" si="11"/>
        <v>3931829</v>
      </c>
      <c r="S63" s="56">
        <v>20.7681</v>
      </c>
      <c r="T63" s="56">
        <f>P63/10000-S63</f>
        <v>258.844</v>
      </c>
      <c r="U63" s="44"/>
      <c r="V63" s="44">
        <f>V$34+(T63-T$34)*10000/(3298.592+100)</f>
        <v>771.486774378388</v>
      </c>
    </row>
    <row r="64" ht="15" customHeight="1" spans="1:22">
      <c r="A64" s="21"/>
      <c r="B64" s="21"/>
      <c r="C64" s="22"/>
      <c r="D64" s="8"/>
      <c r="E64" s="8"/>
      <c r="F64" s="23"/>
      <c r="G64" s="24"/>
      <c r="H64" s="25"/>
      <c r="I64" s="37"/>
      <c r="J64" s="9"/>
      <c r="K64" s="38"/>
      <c r="L64" s="38"/>
      <c r="M64" s="39"/>
      <c r="N64" s="40"/>
      <c r="O64" s="40"/>
      <c r="P64" s="41"/>
      <c r="Q64" s="41"/>
      <c r="R64" s="41"/>
      <c r="S64" s="54"/>
      <c r="T64" s="38"/>
      <c r="U64" s="38"/>
      <c r="V64" s="9"/>
    </row>
    <row r="65" ht="15" customHeight="1" spans="1:22">
      <c r="A65" s="21">
        <v>40969</v>
      </c>
      <c r="B65" s="21" t="s">
        <v>38</v>
      </c>
      <c r="C65" s="22">
        <v>61965</v>
      </c>
      <c r="D65" s="8">
        <v>17993</v>
      </c>
      <c r="E65" s="8">
        <v>81370</v>
      </c>
      <c r="F65" s="23">
        <v>4131.7</v>
      </c>
      <c r="G65" s="24">
        <v>2686.3</v>
      </c>
      <c r="H65" s="25"/>
      <c r="I65" s="37"/>
      <c r="J65" s="9">
        <f t="shared" ref="J65:J128" si="18">E65-D65</f>
        <v>63377</v>
      </c>
      <c r="K65" s="38">
        <f t="shared" ref="K65:K128" si="19">J65-C65-L65</f>
        <v>617</v>
      </c>
      <c r="L65" s="38">
        <v>795</v>
      </c>
      <c r="M65" s="39">
        <f>C65</f>
        <v>61965</v>
      </c>
      <c r="N65" s="40">
        <f>D65</f>
        <v>17993</v>
      </c>
      <c r="O65" s="40">
        <f>E65</f>
        <v>81370</v>
      </c>
      <c r="P65" s="41">
        <f>P$63+M65</f>
        <v>2858086</v>
      </c>
      <c r="Q65" s="41">
        <f>Q$63+N65</f>
        <v>1090733.5</v>
      </c>
      <c r="R65" s="41">
        <f>R$63+O65</f>
        <v>4013199</v>
      </c>
      <c r="S65" s="54"/>
      <c r="T65" s="38"/>
      <c r="U65" s="38"/>
      <c r="V65" s="9"/>
    </row>
    <row r="66" ht="15" customHeight="1" spans="1:22">
      <c r="A66" s="21">
        <v>40970</v>
      </c>
      <c r="B66" s="21" t="s">
        <v>1</v>
      </c>
      <c r="C66" s="22">
        <v>58720</v>
      </c>
      <c r="D66" s="8">
        <v>17677</v>
      </c>
      <c r="E66" s="8">
        <v>77869</v>
      </c>
      <c r="F66" s="23">
        <v>3936.2</v>
      </c>
      <c r="G66" s="24">
        <v>2590.3</v>
      </c>
      <c r="H66" s="25"/>
      <c r="I66" s="37"/>
      <c r="J66" s="9">
        <f t="shared" si="18"/>
        <v>60192</v>
      </c>
      <c r="K66" s="38">
        <f t="shared" si="19"/>
        <v>676</v>
      </c>
      <c r="L66" s="38">
        <v>796</v>
      </c>
      <c r="M66" s="39">
        <f t="shared" ref="M66:M94" si="20">M65+C66</f>
        <v>120685</v>
      </c>
      <c r="N66" s="40">
        <f t="shared" ref="N66:N94" si="21">D66+N65</f>
        <v>35670</v>
      </c>
      <c r="O66" s="40">
        <f t="shared" ref="O66:O94" si="22">O65+E66</f>
        <v>159239</v>
      </c>
      <c r="P66" s="41">
        <f t="shared" ref="P66:P95" si="23">P$63+M66</f>
        <v>2916806</v>
      </c>
      <c r="Q66" s="41">
        <f t="shared" ref="Q66:Q95" si="24">Q$63+N66</f>
        <v>1108410.5</v>
      </c>
      <c r="R66" s="41">
        <f t="shared" ref="R66:R95" si="25">R$63+O66</f>
        <v>4091068</v>
      </c>
      <c r="S66" s="54"/>
      <c r="T66" s="38"/>
      <c r="U66" s="38"/>
      <c r="V66" s="9"/>
    </row>
    <row r="67" ht="15" customHeight="1" spans="1:22">
      <c r="A67" s="21">
        <v>40971</v>
      </c>
      <c r="B67" s="21" t="s">
        <v>39</v>
      </c>
      <c r="C67" s="22">
        <v>60588</v>
      </c>
      <c r="D67" s="8">
        <v>19858</v>
      </c>
      <c r="E67" s="8">
        <v>81978</v>
      </c>
      <c r="F67" s="23">
        <v>4240</v>
      </c>
      <c r="G67" s="24">
        <v>2576</v>
      </c>
      <c r="H67" s="25"/>
      <c r="I67" s="37"/>
      <c r="J67" s="9">
        <f t="shared" si="18"/>
        <v>62120</v>
      </c>
      <c r="K67" s="38">
        <f t="shared" si="19"/>
        <v>737</v>
      </c>
      <c r="L67" s="38">
        <v>795</v>
      </c>
      <c r="M67" s="39">
        <f t="shared" si="20"/>
        <v>181273</v>
      </c>
      <c r="N67" s="40">
        <f t="shared" si="21"/>
        <v>55528</v>
      </c>
      <c r="O67" s="40">
        <f t="shared" si="22"/>
        <v>241217</v>
      </c>
      <c r="P67" s="41">
        <f t="shared" si="23"/>
        <v>2977394</v>
      </c>
      <c r="Q67" s="41">
        <f t="shared" si="24"/>
        <v>1128268.5</v>
      </c>
      <c r="R67" s="41">
        <f t="shared" si="25"/>
        <v>4173046</v>
      </c>
      <c r="S67" s="54"/>
      <c r="T67" s="38"/>
      <c r="U67" s="38"/>
      <c r="V67" s="9"/>
    </row>
    <row r="68" ht="15" customHeight="1" spans="1:22">
      <c r="A68" s="21">
        <v>40972</v>
      </c>
      <c r="B68" s="21" t="s">
        <v>34</v>
      </c>
      <c r="C68" s="22">
        <v>63630</v>
      </c>
      <c r="D68" s="8">
        <v>19959</v>
      </c>
      <c r="E68" s="8">
        <v>84910</v>
      </c>
      <c r="F68" s="23">
        <v>4358</v>
      </c>
      <c r="G68" s="24">
        <v>2755.6</v>
      </c>
      <c r="H68" s="25"/>
      <c r="I68" s="37"/>
      <c r="J68" s="9">
        <f t="shared" si="18"/>
        <v>64951</v>
      </c>
      <c r="K68" s="38">
        <f t="shared" si="19"/>
        <v>526</v>
      </c>
      <c r="L68" s="38">
        <v>795</v>
      </c>
      <c r="M68" s="39">
        <f t="shared" si="20"/>
        <v>244903</v>
      </c>
      <c r="N68" s="40">
        <f t="shared" si="21"/>
        <v>75487</v>
      </c>
      <c r="O68" s="40">
        <f t="shared" si="22"/>
        <v>326127</v>
      </c>
      <c r="P68" s="41">
        <f t="shared" si="23"/>
        <v>3041024</v>
      </c>
      <c r="Q68" s="41">
        <f t="shared" si="24"/>
        <v>1148227.5</v>
      </c>
      <c r="R68" s="41">
        <f t="shared" si="25"/>
        <v>4257956</v>
      </c>
      <c r="S68" s="54"/>
      <c r="T68" s="38"/>
      <c r="U68" s="38"/>
      <c r="V68" s="9"/>
    </row>
    <row r="69" ht="15" customHeight="1" spans="1:22">
      <c r="A69" s="15">
        <v>40973</v>
      </c>
      <c r="B69" s="15" t="s">
        <v>35</v>
      </c>
      <c r="C69" s="16">
        <v>63921</v>
      </c>
      <c r="D69" s="17">
        <v>19622</v>
      </c>
      <c r="E69" s="17">
        <v>85730</v>
      </c>
      <c r="F69" s="18">
        <v>4409.8</v>
      </c>
      <c r="G69" s="19">
        <v>2794.3</v>
      </c>
      <c r="H69" s="20"/>
      <c r="I69" s="20"/>
      <c r="J69" s="33">
        <f t="shared" si="18"/>
        <v>66108</v>
      </c>
      <c r="K69" s="34">
        <f t="shared" si="19"/>
        <v>1392</v>
      </c>
      <c r="L69" s="34">
        <v>795</v>
      </c>
      <c r="M69" s="35">
        <f t="shared" si="20"/>
        <v>308824</v>
      </c>
      <c r="N69" s="36">
        <f t="shared" si="21"/>
        <v>95109</v>
      </c>
      <c r="O69" s="36">
        <f t="shared" si="22"/>
        <v>411857</v>
      </c>
      <c r="P69" s="35">
        <f t="shared" si="23"/>
        <v>3104945</v>
      </c>
      <c r="Q69" s="35">
        <f t="shared" si="24"/>
        <v>1167849.5</v>
      </c>
      <c r="R69" s="35">
        <f t="shared" si="25"/>
        <v>4343686</v>
      </c>
      <c r="S69" s="53"/>
      <c r="T69" s="33"/>
      <c r="U69" s="33"/>
      <c r="V69" s="33"/>
    </row>
    <row r="70" ht="15" customHeight="1" spans="1:22">
      <c r="A70" s="21">
        <v>40974</v>
      </c>
      <c r="B70" s="21" t="s">
        <v>36</v>
      </c>
      <c r="C70" s="22">
        <v>67906</v>
      </c>
      <c r="D70" s="8">
        <v>19908</v>
      </c>
      <c r="E70" s="8">
        <v>89780</v>
      </c>
      <c r="F70" s="23">
        <v>4640</v>
      </c>
      <c r="G70" s="24">
        <v>2850.5</v>
      </c>
      <c r="H70" s="25"/>
      <c r="I70" s="37"/>
      <c r="J70" s="9">
        <f t="shared" si="18"/>
        <v>69872</v>
      </c>
      <c r="K70" s="38">
        <f t="shared" si="19"/>
        <v>1171</v>
      </c>
      <c r="L70" s="38">
        <v>795</v>
      </c>
      <c r="M70" s="39">
        <f t="shared" si="20"/>
        <v>376730</v>
      </c>
      <c r="N70" s="40">
        <f t="shared" si="21"/>
        <v>115017</v>
      </c>
      <c r="O70" s="40">
        <f t="shared" si="22"/>
        <v>501637</v>
      </c>
      <c r="P70" s="41">
        <f t="shared" si="23"/>
        <v>3172851</v>
      </c>
      <c r="Q70" s="41">
        <f t="shared" si="24"/>
        <v>1187757.5</v>
      </c>
      <c r="R70" s="41">
        <f t="shared" si="25"/>
        <v>4433466</v>
      </c>
      <c r="S70" s="54">
        <v>23.7681</v>
      </c>
      <c r="T70" s="54">
        <f>P70/10000-S70</f>
        <v>293.517</v>
      </c>
      <c r="U70" s="38"/>
      <c r="V70" s="38">
        <f>V$34+(T70-T$34)*10000/(3298.592+100)</f>
        <v>873.508435113186</v>
      </c>
    </row>
    <row r="71" ht="15" customHeight="1" spans="1:22">
      <c r="A71" s="21">
        <v>40975</v>
      </c>
      <c r="B71" s="21" t="s">
        <v>37</v>
      </c>
      <c r="C71" s="22">
        <v>65367</v>
      </c>
      <c r="D71" s="8">
        <v>21296</v>
      </c>
      <c r="E71" s="8">
        <v>89087</v>
      </c>
      <c r="F71" s="23">
        <v>4517</v>
      </c>
      <c r="G71" s="24">
        <v>2890</v>
      </c>
      <c r="H71" s="25"/>
      <c r="I71" s="37"/>
      <c r="J71" s="9">
        <f t="shared" si="18"/>
        <v>67791</v>
      </c>
      <c r="K71" s="38">
        <f t="shared" si="19"/>
        <v>1628</v>
      </c>
      <c r="L71" s="38">
        <v>796</v>
      </c>
      <c r="M71" s="39">
        <f t="shared" si="20"/>
        <v>442097</v>
      </c>
      <c r="N71" s="40">
        <f t="shared" si="21"/>
        <v>136313</v>
      </c>
      <c r="O71" s="40">
        <f t="shared" si="22"/>
        <v>590724</v>
      </c>
      <c r="P71" s="41">
        <f t="shared" si="23"/>
        <v>3238218</v>
      </c>
      <c r="Q71" s="41">
        <f t="shared" si="24"/>
        <v>1209053.5</v>
      </c>
      <c r="R71" s="41">
        <f t="shared" si="25"/>
        <v>4522553</v>
      </c>
      <c r="S71" s="54"/>
      <c r="T71" s="38"/>
      <c r="U71" s="38"/>
      <c r="V71" s="9"/>
    </row>
    <row r="72" ht="15" customHeight="1" spans="1:22">
      <c r="A72" s="21">
        <v>40976</v>
      </c>
      <c r="B72" s="21" t="s">
        <v>38</v>
      </c>
      <c r="C72" s="22">
        <v>65979</v>
      </c>
      <c r="D72" s="8">
        <v>20828</v>
      </c>
      <c r="E72" s="8">
        <v>88833</v>
      </c>
      <c r="F72" s="23">
        <v>4541</v>
      </c>
      <c r="G72" s="24">
        <v>2917</v>
      </c>
      <c r="H72" s="25"/>
      <c r="I72" s="37"/>
      <c r="J72" s="9">
        <f t="shared" si="18"/>
        <v>68005</v>
      </c>
      <c r="K72" s="38">
        <f t="shared" si="19"/>
        <v>1231</v>
      </c>
      <c r="L72" s="38">
        <v>795</v>
      </c>
      <c r="M72" s="39">
        <f t="shared" si="20"/>
        <v>508076</v>
      </c>
      <c r="N72" s="40">
        <f t="shared" si="21"/>
        <v>157141</v>
      </c>
      <c r="O72" s="40">
        <f t="shared" si="22"/>
        <v>679557</v>
      </c>
      <c r="P72" s="41">
        <f t="shared" si="23"/>
        <v>3304197</v>
      </c>
      <c r="Q72" s="41">
        <f t="shared" si="24"/>
        <v>1229881.5</v>
      </c>
      <c r="R72" s="41">
        <f t="shared" si="25"/>
        <v>4611386</v>
      </c>
      <c r="S72" s="54"/>
      <c r="T72" s="38"/>
      <c r="U72" s="38"/>
      <c r="V72" s="9"/>
    </row>
    <row r="73" ht="15" customHeight="1" spans="1:22">
      <c r="A73" s="21">
        <v>40977</v>
      </c>
      <c r="B73" s="21" t="s">
        <v>1</v>
      </c>
      <c r="C73" s="22">
        <v>60762</v>
      </c>
      <c r="D73" s="8">
        <v>20729</v>
      </c>
      <c r="E73" s="8">
        <v>83270</v>
      </c>
      <c r="F73" s="23">
        <v>4231</v>
      </c>
      <c r="G73" s="24">
        <v>2803.6</v>
      </c>
      <c r="H73" s="25"/>
      <c r="I73" s="37"/>
      <c r="J73" s="9">
        <f t="shared" si="18"/>
        <v>62541</v>
      </c>
      <c r="K73" s="38">
        <f t="shared" si="19"/>
        <v>984</v>
      </c>
      <c r="L73" s="38">
        <v>795</v>
      </c>
      <c r="M73" s="39">
        <f t="shared" si="20"/>
        <v>568838</v>
      </c>
      <c r="N73" s="40">
        <f t="shared" si="21"/>
        <v>177870</v>
      </c>
      <c r="O73" s="40">
        <f t="shared" si="22"/>
        <v>762827</v>
      </c>
      <c r="P73" s="41">
        <f t="shared" si="23"/>
        <v>3364959</v>
      </c>
      <c r="Q73" s="41">
        <f t="shared" si="24"/>
        <v>1250610.5</v>
      </c>
      <c r="R73" s="41">
        <f t="shared" si="25"/>
        <v>4694656</v>
      </c>
      <c r="S73" s="54"/>
      <c r="T73" s="38"/>
      <c r="U73" s="38"/>
      <c r="V73" s="9"/>
    </row>
    <row r="74" ht="15" customHeight="1" spans="1:22">
      <c r="A74" s="21">
        <v>40978</v>
      </c>
      <c r="B74" s="21" t="s">
        <v>39</v>
      </c>
      <c r="C74" s="22">
        <v>63329</v>
      </c>
      <c r="D74" s="8">
        <v>20918</v>
      </c>
      <c r="E74" s="8">
        <v>86031</v>
      </c>
      <c r="F74" s="23">
        <v>4456</v>
      </c>
      <c r="G74" s="24">
        <v>2782</v>
      </c>
      <c r="H74" s="25"/>
      <c r="I74" s="37"/>
      <c r="J74" s="9">
        <f t="shared" si="18"/>
        <v>65113</v>
      </c>
      <c r="K74" s="38">
        <f t="shared" si="19"/>
        <v>989</v>
      </c>
      <c r="L74" s="38">
        <v>795</v>
      </c>
      <c r="M74" s="39">
        <f t="shared" si="20"/>
        <v>632167</v>
      </c>
      <c r="N74" s="40">
        <f t="shared" si="21"/>
        <v>198788</v>
      </c>
      <c r="O74" s="40">
        <f t="shared" si="22"/>
        <v>848858</v>
      </c>
      <c r="P74" s="41">
        <f t="shared" si="23"/>
        <v>3428288</v>
      </c>
      <c r="Q74" s="41">
        <f t="shared" si="24"/>
        <v>1271528.5</v>
      </c>
      <c r="R74" s="41">
        <f t="shared" si="25"/>
        <v>4780687</v>
      </c>
      <c r="S74" s="54">
        <v>25.2822</v>
      </c>
      <c r="T74" s="54">
        <f>P74/10000-S74</f>
        <v>317.5466</v>
      </c>
      <c r="U74" s="38"/>
      <c r="V74" s="55">
        <f>V$34+(T74-T$34)*10000/(3298.592+100)</f>
        <v>944.213009242708</v>
      </c>
    </row>
    <row r="75" ht="15" customHeight="1" spans="1:22">
      <c r="A75" s="21">
        <v>40979</v>
      </c>
      <c r="B75" s="21" t="s">
        <v>34</v>
      </c>
      <c r="C75" s="22">
        <v>62413</v>
      </c>
      <c r="D75" s="8">
        <v>21438</v>
      </c>
      <c r="E75" s="8">
        <v>85894</v>
      </c>
      <c r="F75" s="23">
        <v>4337</v>
      </c>
      <c r="G75" s="24">
        <v>2881</v>
      </c>
      <c r="H75" s="25"/>
      <c r="I75" s="37"/>
      <c r="J75" s="9">
        <f t="shared" si="18"/>
        <v>64456</v>
      </c>
      <c r="K75" s="38">
        <f t="shared" si="19"/>
        <v>1248</v>
      </c>
      <c r="L75" s="38">
        <v>795</v>
      </c>
      <c r="M75" s="39">
        <f t="shared" si="20"/>
        <v>694580</v>
      </c>
      <c r="N75" s="40">
        <f t="shared" si="21"/>
        <v>220226</v>
      </c>
      <c r="O75" s="40">
        <f t="shared" si="22"/>
        <v>934752</v>
      </c>
      <c r="P75" s="41">
        <f t="shared" si="23"/>
        <v>3490701</v>
      </c>
      <c r="Q75" s="41">
        <f t="shared" si="24"/>
        <v>1292966.5</v>
      </c>
      <c r="R75" s="41">
        <f t="shared" si="25"/>
        <v>4866581</v>
      </c>
      <c r="S75" s="54"/>
      <c r="T75" s="38"/>
      <c r="U75" s="38"/>
      <c r="V75" s="9"/>
    </row>
    <row r="76" ht="15" customHeight="1" spans="1:22">
      <c r="A76" s="15">
        <v>40980</v>
      </c>
      <c r="B76" s="15" t="s">
        <v>35</v>
      </c>
      <c r="C76" s="16">
        <v>62207</v>
      </c>
      <c r="D76" s="17">
        <v>20212</v>
      </c>
      <c r="E76" s="17">
        <v>85221</v>
      </c>
      <c r="F76" s="18">
        <v>4337.6</v>
      </c>
      <c r="G76" s="19">
        <v>2822.4</v>
      </c>
      <c r="H76" s="20"/>
      <c r="I76" s="20"/>
      <c r="J76" s="33">
        <f t="shared" si="18"/>
        <v>65009</v>
      </c>
      <c r="K76" s="34">
        <f t="shared" si="19"/>
        <v>2007</v>
      </c>
      <c r="L76" s="34">
        <v>795</v>
      </c>
      <c r="M76" s="35">
        <f t="shared" si="20"/>
        <v>756787</v>
      </c>
      <c r="N76" s="36">
        <f t="shared" si="21"/>
        <v>240438</v>
      </c>
      <c r="O76" s="36">
        <f t="shared" si="22"/>
        <v>1019973</v>
      </c>
      <c r="P76" s="35">
        <f t="shared" si="23"/>
        <v>3552908</v>
      </c>
      <c r="Q76" s="35">
        <f t="shared" si="24"/>
        <v>1313178.5</v>
      </c>
      <c r="R76" s="35">
        <f t="shared" si="25"/>
        <v>4951802</v>
      </c>
      <c r="S76" s="53"/>
      <c r="T76" s="33"/>
      <c r="U76" s="33"/>
      <c r="V76" s="33"/>
    </row>
    <row r="77" ht="15" customHeight="1" spans="1:22">
      <c r="A77" s="21">
        <v>40981</v>
      </c>
      <c r="B77" s="21" t="s">
        <v>36</v>
      </c>
      <c r="C77" s="22">
        <v>60881</v>
      </c>
      <c r="D77" s="8">
        <v>21579</v>
      </c>
      <c r="E77" s="8">
        <v>85438</v>
      </c>
      <c r="F77" s="23">
        <v>4414</v>
      </c>
      <c r="G77" s="24">
        <v>2775</v>
      </c>
      <c r="H77" s="25"/>
      <c r="I77" s="37"/>
      <c r="J77" s="9">
        <f t="shared" si="18"/>
        <v>63859</v>
      </c>
      <c r="K77" s="38">
        <f t="shared" si="19"/>
        <v>2183</v>
      </c>
      <c r="L77" s="38">
        <v>795</v>
      </c>
      <c r="M77" s="39">
        <f t="shared" si="20"/>
        <v>817668</v>
      </c>
      <c r="N77" s="40">
        <f t="shared" si="21"/>
        <v>262017</v>
      </c>
      <c r="O77" s="40">
        <f t="shared" si="22"/>
        <v>1105411</v>
      </c>
      <c r="P77" s="41">
        <f t="shared" si="23"/>
        <v>3613789</v>
      </c>
      <c r="Q77" s="41">
        <f t="shared" si="24"/>
        <v>1334757.5</v>
      </c>
      <c r="R77" s="41">
        <f t="shared" si="25"/>
        <v>5037240</v>
      </c>
      <c r="S77" s="54">
        <v>26.6785</v>
      </c>
      <c r="T77" s="54">
        <f>P77/10000-S77</f>
        <v>334.7004</v>
      </c>
      <c r="U77" s="38"/>
      <c r="V77" s="38">
        <f>V$34+(T77-T$34)*10000/(3298.592+100)</f>
        <v>994.686264049404</v>
      </c>
    </row>
    <row r="78" ht="15" customHeight="1" spans="1:22">
      <c r="A78" s="21">
        <v>40982</v>
      </c>
      <c r="B78" s="21" t="s">
        <v>37</v>
      </c>
      <c r="C78" s="22">
        <v>60765</v>
      </c>
      <c r="D78" s="8">
        <v>21446</v>
      </c>
      <c r="E78" s="8">
        <v>85134</v>
      </c>
      <c r="F78" s="23">
        <v>4342.6</v>
      </c>
      <c r="G78" s="24">
        <v>2828.7</v>
      </c>
      <c r="H78" s="25"/>
      <c r="I78" s="37"/>
      <c r="J78" s="9">
        <f t="shared" si="18"/>
        <v>63688</v>
      </c>
      <c r="K78" s="38">
        <f t="shared" si="19"/>
        <v>2128</v>
      </c>
      <c r="L78" s="38">
        <v>795</v>
      </c>
      <c r="M78" s="39">
        <f t="shared" si="20"/>
        <v>878433</v>
      </c>
      <c r="N78" s="40">
        <f t="shared" si="21"/>
        <v>283463</v>
      </c>
      <c r="O78" s="40">
        <f t="shared" si="22"/>
        <v>1190545</v>
      </c>
      <c r="P78" s="41">
        <f t="shared" si="23"/>
        <v>3674554</v>
      </c>
      <c r="Q78" s="41">
        <f t="shared" si="24"/>
        <v>1356203.5</v>
      </c>
      <c r="R78" s="41">
        <f t="shared" si="25"/>
        <v>5122374</v>
      </c>
      <c r="S78" s="54"/>
      <c r="T78" s="38"/>
      <c r="U78" s="38"/>
      <c r="V78" s="9"/>
    </row>
    <row r="79" ht="15" customHeight="1" spans="1:22">
      <c r="A79" s="21">
        <v>40983</v>
      </c>
      <c r="B79" s="21" t="s">
        <v>38</v>
      </c>
      <c r="C79" s="22">
        <v>60310</v>
      </c>
      <c r="D79" s="8">
        <v>21828</v>
      </c>
      <c r="E79" s="8">
        <v>83195</v>
      </c>
      <c r="F79" s="23">
        <v>4249.3</v>
      </c>
      <c r="G79" s="24">
        <v>2832</v>
      </c>
      <c r="H79" s="25"/>
      <c r="I79" s="37"/>
      <c r="J79" s="9">
        <f t="shared" si="18"/>
        <v>61367</v>
      </c>
      <c r="K79" s="38">
        <f t="shared" si="19"/>
        <v>262</v>
      </c>
      <c r="L79" s="38">
        <v>795</v>
      </c>
      <c r="M79" s="39">
        <f t="shared" si="20"/>
        <v>938743</v>
      </c>
      <c r="N79" s="40">
        <f t="shared" si="21"/>
        <v>305291</v>
      </c>
      <c r="O79" s="40">
        <f t="shared" si="22"/>
        <v>1273740</v>
      </c>
      <c r="P79" s="41">
        <f t="shared" si="23"/>
        <v>3734864</v>
      </c>
      <c r="Q79" s="41">
        <f t="shared" si="24"/>
        <v>1378031.5</v>
      </c>
      <c r="R79" s="41">
        <f t="shared" si="25"/>
        <v>5205569</v>
      </c>
      <c r="S79" s="54"/>
      <c r="T79" s="38"/>
      <c r="U79" s="38"/>
      <c r="V79" s="9"/>
    </row>
    <row r="80" ht="15" customHeight="1" spans="1:22">
      <c r="A80" s="21">
        <v>40984</v>
      </c>
      <c r="B80" s="21" t="s">
        <v>1</v>
      </c>
      <c r="C80" s="22">
        <v>56442</v>
      </c>
      <c r="D80" s="8">
        <v>21075</v>
      </c>
      <c r="E80" s="8">
        <v>78976</v>
      </c>
      <c r="F80" s="23">
        <v>3943.4</v>
      </c>
      <c r="G80" s="24">
        <v>2798.3</v>
      </c>
      <c r="H80" s="25"/>
      <c r="I80" s="37"/>
      <c r="J80" s="9">
        <f t="shared" si="18"/>
        <v>57901</v>
      </c>
      <c r="K80" s="38">
        <f t="shared" si="19"/>
        <v>663</v>
      </c>
      <c r="L80" s="38">
        <v>796</v>
      </c>
      <c r="M80" s="39">
        <f t="shared" si="20"/>
        <v>995185</v>
      </c>
      <c r="N80" s="40">
        <f t="shared" si="21"/>
        <v>326366</v>
      </c>
      <c r="O80" s="40">
        <f t="shared" si="22"/>
        <v>1352716</v>
      </c>
      <c r="P80" s="41">
        <f t="shared" si="23"/>
        <v>3791306</v>
      </c>
      <c r="Q80" s="41">
        <f t="shared" si="24"/>
        <v>1399106.5</v>
      </c>
      <c r="R80" s="41">
        <f t="shared" si="25"/>
        <v>5284545</v>
      </c>
      <c r="S80" s="54"/>
      <c r="T80" s="38"/>
      <c r="U80" s="38"/>
      <c r="V80" s="9"/>
    </row>
    <row r="81" ht="15" customHeight="1" spans="1:22">
      <c r="A81" s="21">
        <v>40985</v>
      </c>
      <c r="B81" s="21" t="s">
        <v>39</v>
      </c>
      <c r="C81" s="22">
        <v>58672</v>
      </c>
      <c r="D81" s="8">
        <v>20798</v>
      </c>
      <c r="E81" s="8">
        <v>82777</v>
      </c>
      <c r="F81" s="23">
        <v>4200</v>
      </c>
      <c r="G81" s="24">
        <v>2800</v>
      </c>
      <c r="H81" s="25"/>
      <c r="I81" s="37"/>
      <c r="J81" s="9">
        <f t="shared" si="18"/>
        <v>61979</v>
      </c>
      <c r="K81" s="38">
        <f t="shared" si="19"/>
        <v>2512</v>
      </c>
      <c r="L81" s="38">
        <v>795</v>
      </c>
      <c r="M81" s="39">
        <f t="shared" si="20"/>
        <v>1053857</v>
      </c>
      <c r="N81" s="40">
        <f t="shared" si="21"/>
        <v>347164</v>
      </c>
      <c r="O81" s="40">
        <f t="shared" si="22"/>
        <v>1435493</v>
      </c>
      <c r="P81" s="41">
        <f t="shared" si="23"/>
        <v>3849978</v>
      </c>
      <c r="Q81" s="41">
        <f t="shared" si="24"/>
        <v>1419904.5</v>
      </c>
      <c r="R81" s="41">
        <f t="shared" si="25"/>
        <v>5367322</v>
      </c>
      <c r="S81" s="54"/>
      <c r="T81" s="38"/>
      <c r="U81" s="38"/>
      <c r="V81" s="9"/>
    </row>
    <row r="82" ht="15" customHeight="1" spans="1:22">
      <c r="A82" s="21">
        <v>40986</v>
      </c>
      <c r="B82" s="21" t="s">
        <v>34</v>
      </c>
      <c r="C82" s="22">
        <v>61987</v>
      </c>
      <c r="D82" s="8">
        <v>19498</v>
      </c>
      <c r="E82" s="8">
        <v>83155</v>
      </c>
      <c r="F82" s="23">
        <v>4211</v>
      </c>
      <c r="G82" s="24">
        <v>2820</v>
      </c>
      <c r="H82" s="25">
        <v>1027</v>
      </c>
      <c r="I82" s="37">
        <v>699</v>
      </c>
      <c r="J82" s="9">
        <f t="shared" si="18"/>
        <v>63657</v>
      </c>
      <c r="K82" s="38">
        <f t="shared" si="19"/>
        <v>875</v>
      </c>
      <c r="L82" s="38">
        <v>795</v>
      </c>
      <c r="M82" s="39">
        <f t="shared" si="20"/>
        <v>1115844</v>
      </c>
      <c r="N82" s="40">
        <f t="shared" si="21"/>
        <v>366662</v>
      </c>
      <c r="O82" s="40">
        <f t="shared" si="22"/>
        <v>1518648</v>
      </c>
      <c r="P82" s="41">
        <f t="shared" si="23"/>
        <v>3911965</v>
      </c>
      <c r="Q82" s="41">
        <f t="shared" si="24"/>
        <v>1439402.5</v>
      </c>
      <c r="R82" s="41">
        <f t="shared" si="25"/>
        <v>5450477</v>
      </c>
      <c r="S82" s="54"/>
      <c r="T82" s="38"/>
      <c r="U82" s="38"/>
      <c r="V82" s="9"/>
    </row>
    <row r="83" ht="15" customHeight="1" spans="1:22">
      <c r="A83" s="15">
        <v>40987</v>
      </c>
      <c r="B83" s="15" t="s">
        <v>35</v>
      </c>
      <c r="C83" s="16">
        <v>63546</v>
      </c>
      <c r="D83" s="17">
        <v>20130</v>
      </c>
      <c r="E83" s="17">
        <v>85603</v>
      </c>
      <c r="F83" s="18">
        <v>4355</v>
      </c>
      <c r="G83" s="19">
        <v>2868</v>
      </c>
      <c r="H83" s="20"/>
      <c r="I83" s="20"/>
      <c r="J83" s="33">
        <f t="shared" si="18"/>
        <v>65473</v>
      </c>
      <c r="K83" s="34">
        <f t="shared" si="19"/>
        <v>1131</v>
      </c>
      <c r="L83" s="34">
        <v>796</v>
      </c>
      <c r="M83" s="35">
        <f t="shared" si="20"/>
        <v>1179390</v>
      </c>
      <c r="N83" s="36">
        <f t="shared" si="21"/>
        <v>386792</v>
      </c>
      <c r="O83" s="36">
        <f t="shared" si="22"/>
        <v>1604251</v>
      </c>
      <c r="P83" s="35">
        <f t="shared" si="23"/>
        <v>3975511</v>
      </c>
      <c r="Q83" s="35">
        <f t="shared" si="24"/>
        <v>1459532.5</v>
      </c>
      <c r="R83" s="35">
        <f t="shared" si="25"/>
        <v>5536080</v>
      </c>
      <c r="S83" s="53"/>
      <c r="T83" s="33"/>
      <c r="U83" s="33"/>
      <c r="V83" s="33"/>
    </row>
    <row r="84" ht="15" customHeight="1" spans="1:22">
      <c r="A84" s="21">
        <v>40988</v>
      </c>
      <c r="B84" s="21" t="s">
        <v>36</v>
      </c>
      <c r="C84" s="22">
        <v>61811</v>
      </c>
      <c r="D84" s="8">
        <v>22052</v>
      </c>
      <c r="E84" s="8">
        <v>85915</v>
      </c>
      <c r="F84" s="23">
        <v>4362</v>
      </c>
      <c r="G84" s="24">
        <v>2847</v>
      </c>
      <c r="H84" s="25"/>
      <c r="I84" s="37"/>
      <c r="J84" s="9">
        <f t="shared" si="18"/>
        <v>63863</v>
      </c>
      <c r="K84" s="38">
        <f t="shared" si="19"/>
        <v>1257</v>
      </c>
      <c r="L84" s="38">
        <v>795</v>
      </c>
      <c r="M84" s="39">
        <f t="shared" si="20"/>
        <v>1241201</v>
      </c>
      <c r="N84" s="40">
        <f t="shared" si="21"/>
        <v>408844</v>
      </c>
      <c r="O84" s="40">
        <f t="shared" si="22"/>
        <v>1690166</v>
      </c>
      <c r="P84" s="41">
        <f t="shared" si="23"/>
        <v>4037322</v>
      </c>
      <c r="Q84" s="41">
        <f t="shared" si="24"/>
        <v>1481584.5</v>
      </c>
      <c r="R84" s="41">
        <f t="shared" si="25"/>
        <v>5621995</v>
      </c>
      <c r="S84" s="54">
        <v>29.5858</v>
      </c>
      <c r="T84" s="54">
        <f>P84/10000-S84</f>
        <v>374.1464</v>
      </c>
      <c r="U84" s="38"/>
      <c r="V84" s="55">
        <f>V$34+(T84-T$34)*10000/(3298.592+100)</f>
        <v>1110.75197596775</v>
      </c>
    </row>
    <row r="85" ht="15" customHeight="1" spans="1:22">
      <c r="A85" s="21">
        <v>40989</v>
      </c>
      <c r="B85" s="21" t="s">
        <v>37</v>
      </c>
      <c r="C85" s="22">
        <v>62260</v>
      </c>
      <c r="D85" s="8">
        <v>21910</v>
      </c>
      <c r="E85" s="8">
        <v>86065</v>
      </c>
      <c r="F85" s="23">
        <v>4343</v>
      </c>
      <c r="G85" s="24">
        <v>2901</v>
      </c>
      <c r="H85" s="25"/>
      <c r="I85" s="37"/>
      <c r="J85" s="9">
        <f t="shared" si="18"/>
        <v>64155</v>
      </c>
      <c r="K85" s="38">
        <f t="shared" si="19"/>
        <v>1100</v>
      </c>
      <c r="L85" s="38">
        <v>795</v>
      </c>
      <c r="M85" s="39">
        <f t="shared" si="20"/>
        <v>1303461</v>
      </c>
      <c r="N85" s="40">
        <f t="shared" si="21"/>
        <v>430754</v>
      </c>
      <c r="O85" s="40">
        <f t="shared" si="22"/>
        <v>1776231</v>
      </c>
      <c r="P85" s="41">
        <f t="shared" si="23"/>
        <v>4099582</v>
      </c>
      <c r="Q85" s="41">
        <f t="shared" si="24"/>
        <v>1503494.5</v>
      </c>
      <c r="R85" s="41">
        <f t="shared" si="25"/>
        <v>5708060</v>
      </c>
      <c r="S85" s="54"/>
      <c r="T85" s="38"/>
      <c r="U85" s="38"/>
      <c r="V85" s="9"/>
    </row>
    <row r="86" ht="15" customHeight="1" spans="1:22">
      <c r="A86" s="21">
        <v>40990</v>
      </c>
      <c r="B86" s="21" t="s">
        <v>38</v>
      </c>
      <c r="C86" s="22">
        <v>58923</v>
      </c>
      <c r="D86" s="8">
        <v>23714</v>
      </c>
      <c r="E86" s="8">
        <v>84857</v>
      </c>
      <c r="F86" s="23">
        <v>4293</v>
      </c>
      <c r="G86" s="24">
        <v>2922</v>
      </c>
      <c r="H86" s="25"/>
      <c r="I86" s="37"/>
      <c r="J86" s="9">
        <f t="shared" si="18"/>
        <v>61143</v>
      </c>
      <c r="K86" s="38">
        <f t="shared" si="19"/>
        <v>1425</v>
      </c>
      <c r="L86" s="38">
        <v>795</v>
      </c>
      <c r="M86" s="39">
        <f t="shared" si="20"/>
        <v>1362384</v>
      </c>
      <c r="N86" s="40">
        <f t="shared" si="21"/>
        <v>454468</v>
      </c>
      <c r="O86" s="40">
        <f t="shared" si="22"/>
        <v>1861088</v>
      </c>
      <c r="P86" s="41">
        <f t="shared" si="23"/>
        <v>4158505</v>
      </c>
      <c r="Q86" s="41">
        <f t="shared" si="24"/>
        <v>1527208.5</v>
      </c>
      <c r="R86" s="41">
        <f t="shared" si="25"/>
        <v>5792917</v>
      </c>
      <c r="S86" s="54"/>
      <c r="T86" s="38"/>
      <c r="U86" s="38"/>
      <c r="V86" s="9"/>
    </row>
    <row r="87" ht="15" customHeight="1" spans="1:22">
      <c r="A87" s="21">
        <v>40991</v>
      </c>
      <c r="B87" s="21" t="s">
        <v>1</v>
      </c>
      <c r="C87" s="22">
        <v>56295</v>
      </c>
      <c r="D87" s="8">
        <v>22855</v>
      </c>
      <c r="E87" s="8">
        <v>80966</v>
      </c>
      <c r="F87" s="23">
        <v>4029</v>
      </c>
      <c r="G87" s="24">
        <v>2851</v>
      </c>
      <c r="H87" s="25"/>
      <c r="I87" s="37"/>
      <c r="J87" s="9">
        <f t="shared" si="18"/>
        <v>58111</v>
      </c>
      <c r="K87" s="38">
        <f t="shared" si="19"/>
        <v>1021</v>
      </c>
      <c r="L87" s="38">
        <v>795</v>
      </c>
      <c r="M87" s="39">
        <f t="shared" si="20"/>
        <v>1418679</v>
      </c>
      <c r="N87" s="40">
        <f t="shared" si="21"/>
        <v>477323</v>
      </c>
      <c r="O87" s="40">
        <f t="shared" si="22"/>
        <v>1942054</v>
      </c>
      <c r="P87" s="41">
        <f t="shared" si="23"/>
        <v>4214800</v>
      </c>
      <c r="Q87" s="41">
        <f t="shared" si="24"/>
        <v>1550063.5</v>
      </c>
      <c r="R87" s="41">
        <f t="shared" si="25"/>
        <v>5873883</v>
      </c>
      <c r="S87" s="54"/>
      <c r="T87" s="38"/>
      <c r="U87" s="38"/>
      <c r="V87" s="9"/>
    </row>
    <row r="88" ht="15" customHeight="1" spans="1:22">
      <c r="A88" s="21">
        <v>40992</v>
      </c>
      <c r="B88" s="21" t="s">
        <v>39</v>
      </c>
      <c r="C88" s="22">
        <v>58176</v>
      </c>
      <c r="D88" s="8">
        <v>23249</v>
      </c>
      <c r="E88" s="8">
        <v>84029</v>
      </c>
      <c r="F88" s="23">
        <v>4292</v>
      </c>
      <c r="G88" s="24">
        <v>2758</v>
      </c>
      <c r="H88" s="25"/>
      <c r="I88" s="37"/>
      <c r="J88" s="9">
        <f t="shared" si="18"/>
        <v>60780</v>
      </c>
      <c r="K88" s="38">
        <f t="shared" si="19"/>
        <v>1809</v>
      </c>
      <c r="L88" s="38">
        <v>795</v>
      </c>
      <c r="M88" s="39">
        <f t="shared" si="20"/>
        <v>1476855</v>
      </c>
      <c r="N88" s="40">
        <f t="shared" si="21"/>
        <v>500572</v>
      </c>
      <c r="O88" s="40">
        <f t="shared" si="22"/>
        <v>2026083</v>
      </c>
      <c r="P88" s="41">
        <f t="shared" si="23"/>
        <v>4272976</v>
      </c>
      <c r="Q88" s="41">
        <f t="shared" si="24"/>
        <v>1573312.5</v>
      </c>
      <c r="R88" s="41">
        <f t="shared" si="25"/>
        <v>5957912</v>
      </c>
      <c r="S88" s="54"/>
      <c r="T88" s="38"/>
      <c r="U88" s="38"/>
      <c r="V88" s="9"/>
    </row>
    <row r="89" ht="15" customHeight="1" spans="1:22">
      <c r="A89" s="21">
        <v>40993</v>
      </c>
      <c r="B89" s="21" t="s">
        <v>34</v>
      </c>
      <c r="C89" s="22">
        <v>59144</v>
      </c>
      <c r="D89" s="8">
        <v>24100</v>
      </c>
      <c r="E89" s="8">
        <v>85051</v>
      </c>
      <c r="F89" s="23">
        <v>4309</v>
      </c>
      <c r="G89" s="24">
        <v>2849</v>
      </c>
      <c r="H89" s="25"/>
      <c r="I89" s="37"/>
      <c r="J89" s="9">
        <f t="shared" si="18"/>
        <v>60951</v>
      </c>
      <c r="K89" s="38">
        <f t="shared" si="19"/>
        <v>1012</v>
      </c>
      <c r="L89" s="38">
        <v>795</v>
      </c>
      <c r="M89" s="39">
        <f t="shared" si="20"/>
        <v>1535999</v>
      </c>
      <c r="N89" s="40">
        <f t="shared" si="21"/>
        <v>524672</v>
      </c>
      <c r="O89" s="40">
        <f t="shared" si="22"/>
        <v>2111134</v>
      </c>
      <c r="P89" s="41">
        <f t="shared" si="23"/>
        <v>4332120</v>
      </c>
      <c r="Q89" s="41">
        <f t="shared" si="24"/>
        <v>1597412.5</v>
      </c>
      <c r="R89" s="41">
        <f t="shared" si="25"/>
        <v>6042963</v>
      </c>
      <c r="S89" s="54"/>
      <c r="T89" s="38"/>
      <c r="U89" s="38"/>
      <c r="V89" s="9"/>
    </row>
    <row r="90" ht="15" customHeight="1" spans="1:22">
      <c r="A90" s="15">
        <v>40994</v>
      </c>
      <c r="B90" s="15" t="s">
        <v>35</v>
      </c>
      <c r="C90" s="16">
        <v>59812</v>
      </c>
      <c r="D90" s="17">
        <v>23252</v>
      </c>
      <c r="E90" s="17">
        <v>84984</v>
      </c>
      <c r="F90" s="18">
        <v>4274</v>
      </c>
      <c r="G90" s="19">
        <v>2867</v>
      </c>
      <c r="H90" s="20"/>
      <c r="I90" s="20"/>
      <c r="J90" s="33">
        <f t="shared" si="18"/>
        <v>61732</v>
      </c>
      <c r="K90" s="34">
        <f t="shared" si="19"/>
        <v>1125</v>
      </c>
      <c r="L90" s="34">
        <v>795</v>
      </c>
      <c r="M90" s="35">
        <f t="shared" si="20"/>
        <v>1595811</v>
      </c>
      <c r="N90" s="36">
        <f t="shared" si="21"/>
        <v>547924</v>
      </c>
      <c r="O90" s="36">
        <f t="shared" si="22"/>
        <v>2196118</v>
      </c>
      <c r="P90" s="35">
        <f t="shared" si="23"/>
        <v>4391932</v>
      </c>
      <c r="Q90" s="35">
        <f t="shared" si="24"/>
        <v>1620664.5</v>
      </c>
      <c r="R90" s="35">
        <f t="shared" si="25"/>
        <v>6127947</v>
      </c>
      <c r="S90" s="53"/>
      <c r="T90" s="33"/>
      <c r="U90" s="33"/>
      <c r="V90" s="33"/>
    </row>
    <row r="91" ht="15" customHeight="1" spans="1:22">
      <c r="A91" s="21">
        <v>40995</v>
      </c>
      <c r="B91" s="21" t="s">
        <v>36</v>
      </c>
      <c r="C91" s="22">
        <v>59653</v>
      </c>
      <c r="D91" s="8">
        <v>23259</v>
      </c>
      <c r="E91" s="8">
        <v>85048</v>
      </c>
      <c r="F91" s="23">
        <v>4274</v>
      </c>
      <c r="G91" s="24">
        <v>2884</v>
      </c>
      <c r="H91" s="25"/>
      <c r="I91" s="37"/>
      <c r="J91" s="9">
        <f t="shared" si="18"/>
        <v>61789</v>
      </c>
      <c r="K91" s="38">
        <f t="shared" si="19"/>
        <v>1341</v>
      </c>
      <c r="L91" s="38">
        <v>795</v>
      </c>
      <c r="M91" s="39">
        <f t="shared" si="20"/>
        <v>1655464</v>
      </c>
      <c r="N91" s="40">
        <f t="shared" si="21"/>
        <v>571183</v>
      </c>
      <c r="O91" s="40">
        <f t="shared" si="22"/>
        <v>2281166</v>
      </c>
      <c r="P91" s="41">
        <f t="shared" si="23"/>
        <v>4451585</v>
      </c>
      <c r="Q91" s="41">
        <f t="shared" si="24"/>
        <v>1643923.5</v>
      </c>
      <c r="R91" s="41">
        <f t="shared" si="25"/>
        <v>6212995</v>
      </c>
      <c r="S91" s="54">
        <v>32.7358</v>
      </c>
      <c r="T91" s="54">
        <f>P91/10000-S91</f>
        <v>412.4227</v>
      </c>
      <c r="U91" s="38"/>
      <c r="V91" s="38">
        <f>V$34+(T91-T$34)*10000/(3298.592+100)</f>
        <v>1223.37596849171</v>
      </c>
    </row>
    <row r="92" ht="15" customHeight="1" spans="1:22">
      <c r="A92" s="21">
        <v>40996</v>
      </c>
      <c r="B92" s="21" t="s">
        <v>37</v>
      </c>
      <c r="C92" s="22">
        <v>58154</v>
      </c>
      <c r="D92" s="8">
        <v>24535</v>
      </c>
      <c r="E92" s="8">
        <v>84815</v>
      </c>
      <c r="F92" s="23">
        <v>4292</v>
      </c>
      <c r="G92" s="24">
        <v>2887</v>
      </c>
      <c r="H92" s="25"/>
      <c r="I92" s="37"/>
      <c r="J92" s="9">
        <f t="shared" si="18"/>
        <v>60280</v>
      </c>
      <c r="K92" s="38">
        <f t="shared" si="19"/>
        <v>1331</v>
      </c>
      <c r="L92" s="38">
        <v>795</v>
      </c>
      <c r="M92" s="39">
        <f t="shared" si="20"/>
        <v>1713618</v>
      </c>
      <c r="N92" s="40">
        <f t="shared" si="21"/>
        <v>595718</v>
      </c>
      <c r="O92" s="40">
        <f t="shared" si="22"/>
        <v>2365981</v>
      </c>
      <c r="P92" s="41">
        <f t="shared" si="23"/>
        <v>4509739</v>
      </c>
      <c r="Q92" s="41">
        <f t="shared" si="24"/>
        <v>1668458.5</v>
      </c>
      <c r="R92" s="41">
        <f t="shared" si="25"/>
        <v>6297810</v>
      </c>
      <c r="S92" s="54"/>
      <c r="T92" s="38"/>
      <c r="U92" s="38"/>
      <c r="V92" s="9"/>
    </row>
    <row r="93" ht="15" customHeight="1" spans="1:22">
      <c r="A93" s="21">
        <v>40997</v>
      </c>
      <c r="B93" s="21" t="s">
        <v>38</v>
      </c>
      <c r="C93" s="22">
        <v>55078</v>
      </c>
      <c r="D93" s="8">
        <v>25966</v>
      </c>
      <c r="E93" s="8">
        <v>82393</v>
      </c>
      <c r="F93" s="23">
        <v>4186</v>
      </c>
      <c r="G93" s="24">
        <v>2800</v>
      </c>
      <c r="H93" s="25"/>
      <c r="I93" s="37"/>
      <c r="J93" s="9">
        <f t="shared" si="18"/>
        <v>56427</v>
      </c>
      <c r="K93" s="38">
        <f t="shared" si="19"/>
        <v>554</v>
      </c>
      <c r="L93" s="38">
        <v>795</v>
      </c>
      <c r="M93" s="39">
        <f t="shared" si="20"/>
        <v>1768696</v>
      </c>
      <c r="N93" s="40">
        <f t="shared" si="21"/>
        <v>621684</v>
      </c>
      <c r="O93" s="40">
        <f t="shared" si="22"/>
        <v>2448374</v>
      </c>
      <c r="P93" s="41">
        <f t="shared" si="23"/>
        <v>4564817</v>
      </c>
      <c r="Q93" s="41">
        <f t="shared" si="24"/>
        <v>1694424.5</v>
      </c>
      <c r="R93" s="41">
        <f t="shared" si="25"/>
        <v>6380203</v>
      </c>
      <c r="S93" s="54"/>
      <c r="T93" s="38"/>
      <c r="U93" s="38"/>
      <c r="V93" s="9"/>
    </row>
    <row r="94" ht="15" customHeight="1" spans="1:22">
      <c r="A94" s="21">
        <v>40998</v>
      </c>
      <c r="B94" s="21" t="s">
        <v>1</v>
      </c>
      <c r="C94" s="22">
        <v>50788</v>
      </c>
      <c r="D94" s="8">
        <v>26903</v>
      </c>
      <c r="E94" s="8">
        <v>78752</v>
      </c>
      <c r="F94" s="23">
        <v>3921</v>
      </c>
      <c r="G94" s="24">
        <v>2747</v>
      </c>
      <c r="H94" s="25"/>
      <c r="I94" s="37"/>
      <c r="J94" s="9">
        <f t="shared" si="18"/>
        <v>51849</v>
      </c>
      <c r="K94" s="38">
        <f t="shared" si="19"/>
        <v>266</v>
      </c>
      <c r="L94" s="38">
        <v>795</v>
      </c>
      <c r="M94" s="39">
        <f t="shared" si="20"/>
        <v>1819484</v>
      </c>
      <c r="N94" s="40">
        <f t="shared" si="21"/>
        <v>648587</v>
      </c>
      <c r="O94" s="40">
        <f t="shared" si="22"/>
        <v>2527126</v>
      </c>
      <c r="P94" s="41">
        <f t="shared" si="23"/>
        <v>4615605</v>
      </c>
      <c r="Q94" s="41">
        <f t="shared" si="24"/>
        <v>1721327.5</v>
      </c>
      <c r="R94" s="41">
        <f t="shared" si="25"/>
        <v>6458955</v>
      </c>
      <c r="S94" s="54"/>
      <c r="T94" s="38"/>
      <c r="U94" s="38"/>
      <c r="V94" s="9"/>
    </row>
    <row r="95" s="1" customFormat="1" ht="15" customHeight="1" spans="1:22">
      <c r="A95" s="26">
        <v>40999</v>
      </c>
      <c r="B95" s="26" t="s">
        <v>39</v>
      </c>
      <c r="C95" s="27">
        <v>52946</v>
      </c>
      <c r="D95" s="28">
        <v>27540</v>
      </c>
      <c r="E95" s="28">
        <v>81821</v>
      </c>
      <c r="F95" s="29">
        <v>4189</v>
      </c>
      <c r="G95" s="30">
        <v>2692</v>
      </c>
      <c r="H95" s="31">
        <v>1341</v>
      </c>
      <c r="I95" s="31">
        <v>932</v>
      </c>
      <c r="J95" s="43">
        <f t="shared" si="18"/>
        <v>54281</v>
      </c>
      <c r="K95" s="44">
        <f t="shared" si="19"/>
        <v>540</v>
      </c>
      <c r="L95" s="44">
        <v>795</v>
      </c>
      <c r="M95" s="45">
        <v>1872431.77</v>
      </c>
      <c r="N95" s="47">
        <v>676126.6</v>
      </c>
      <c r="O95" s="47">
        <v>2608951.16</v>
      </c>
      <c r="P95" s="45">
        <f t="shared" si="23"/>
        <v>4668552.77</v>
      </c>
      <c r="Q95" s="45">
        <f t="shared" si="24"/>
        <v>1748867.1</v>
      </c>
      <c r="R95" s="45">
        <f t="shared" si="25"/>
        <v>6540780.16</v>
      </c>
      <c r="S95" s="56">
        <v>34.4143</v>
      </c>
      <c r="T95" s="56">
        <f>P95/10000-S95</f>
        <v>432.440977</v>
      </c>
      <c r="U95" s="44"/>
      <c r="V95" s="44">
        <v>1275</v>
      </c>
    </row>
    <row r="96" ht="15" customHeight="1" spans="1:22">
      <c r="A96" s="21">
        <v>41000</v>
      </c>
      <c r="B96" s="21" t="s">
        <v>34</v>
      </c>
      <c r="C96" s="22">
        <v>57029</v>
      </c>
      <c r="D96" s="8">
        <v>23138</v>
      </c>
      <c r="E96" s="8">
        <v>81663</v>
      </c>
      <c r="F96" s="23">
        <v>4130</v>
      </c>
      <c r="G96" s="24">
        <v>2720</v>
      </c>
      <c r="H96" s="25">
        <v>1150</v>
      </c>
      <c r="I96" s="37">
        <v>838</v>
      </c>
      <c r="J96" s="9">
        <f t="shared" si="18"/>
        <v>58525</v>
      </c>
      <c r="K96" s="38">
        <f t="shared" si="19"/>
        <v>701</v>
      </c>
      <c r="L96" s="38">
        <v>795</v>
      </c>
      <c r="M96" s="39">
        <f>C96</f>
        <v>57029</v>
      </c>
      <c r="N96" s="40">
        <f>D96</f>
        <v>23138</v>
      </c>
      <c r="O96" s="40">
        <f>E96</f>
        <v>81663</v>
      </c>
      <c r="P96" s="41">
        <f>M96+P$95</f>
        <v>4725581.77</v>
      </c>
      <c r="Q96" s="41">
        <f t="shared" ref="Q96:Q125" si="26">Q$95+N96</f>
        <v>1772005.1</v>
      </c>
      <c r="R96" s="41">
        <f t="shared" ref="R96:R125" si="27">R$95+O96</f>
        <v>6622443.16</v>
      </c>
      <c r="S96" s="54"/>
      <c r="T96" s="38"/>
      <c r="U96" s="38"/>
      <c r="V96" s="57">
        <f>V95-V63</f>
        <v>503.513225621612</v>
      </c>
    </row>
    <row r="97" ht="15" customHeight="1" spans="1:22">
      <c r="A97" s="15">
        <v>41001</v>
      </c>
      <c r="B97" s="15" t="s">
        <v>35</v>
      </c>
      <c r="C97" s="16">
        <v>59551</v>
      </c>
      <c r="D97" s="17">
        <v>21947</v>
      </c>
      <c r="E97" s="17">
        <v>83113</v>
      </c>
      <c r="F97" s="18">
        <v>4222</v>
      </c>
      <c r="G97" s="19">
        <v>2771</v>
      </c>
      <c r="H97" s="20">
        <v>1108</v>
      </c>
      <c r="I97" s="20">
        <v>788</v>
      </c>
      <c r="J97" s="33">
        <f t="shared" si="18"/>
        <v>61166</v>
      </c>
      <c r="K97" s="34">
        <f t="shared" si="19"/>
        <v>820</v>
      </c>
      <c r="L97" s="34">
        <v>795</v>
      </c>
      <c r="M97" s="35">
        <f t="shared" ref="M97:M124" si="28">M96+C97</f>
        <v>116580</v>
      </c>
      <c r="N97" s="36">
        <f t="shared" ref="N97:N114" si="29">N96+D97</f>
        <v>45085</v>
      </c>
      <c r="O97" s="36">
        <f t="shared" ref="O97:O114" si="30">O96+E97</f>
        <v>164776</v>
      </c>
      <c r="P97" s="35">
        <f t="shared" ref="P97:P125" si="31">M97+P$95</f>
        <v>4785132.77</v>
      </c>
      <c r="Q97" s="35">
        <f t="shared" si="26"/>
        <v>1793952.1</v>
      </c>
      <c r="R97" s="35">
        <f t="shared" si="27"/>
        <v>6705556.16</v>
      </c>
      <c r="S97" s="53"/>
      <c r="T97" s="33"/>
      <c r="U97" s="33"/>
      <c r="V97" s="33"/>
    </row>
    <row r="98" ht="15" customHeight="1" spans="1:22">
      <c r="A98" s="21">
        <v>41002</v>
      </c>
      <c r="B98" s="21" t="s">
        <v>36</v>
      </c>
      <c r="C98" s="22">
        <v>59704</v>
      </c>
      <c r="D98" s="8">
        <v>21046</v>
      </c>
      <c r="E98" s="8">
        <v>82739</v>
      </c>
      <c r="F98" s="23">
        <v>4241</v>
      </c>
      <c r="G98" s="24">
        <v>2851</v>
      </c>
      <c r="H98" s="25">
        <v>1120</v>
      </c>
      <c r="I98" s="37">
        <v>795</v>
      </c>
      <c r="J98" s="9">
        <f t="shared" si="18"/>
        <v>61693</v>
      </c>
      <c r="K98" s="38">
        <f t="shared" si="19"/>
        <v>1194</v>
      </c>
      <c r="L98" s="38">
        <v>795</v>
      </c>
      <c r="M98" s="39">
        <f t="shared" si="28"/>
        <v>176284</v>
      </c>
      <c r="N98" s="40">
        <f t="shared" si="29"/>
        <v>66131</v>
      </c>
      <c r="O98" s="40">
        <f t="shared" si="30"/>
        <v>247515</v>
      </c>
      <c r="P98" s="41">
        <f t="shared" si="31"/>
        <v>4844836.77</v>
      </c>
      <c r="Q98" s="41">
        <f t="shared" si="26"/>
        <v>1814998.1</v>
      </c>
      <c r="R98" s="41">
        <f t="shared" si="27"/>
        <v>6788295.16</v>
      </c>
      <c r="S98" s="54">
        <v>35.7643</v>
      </c>
      <c r="T98" s="54">
        <f>P98/10000-S98</f>
        <v>448.719377</v>
      </c>
      <c r="U98" s="38"/>
      <c r="V98" s="38">
        <f>V$94+(T98-T$94)*10000/(3298.592+100)</f>
        <v>1320.3096370497</v>
      </c>
    </row>
    <row r="99" ht="15" customHeight="1" spans="1:22">
      <c r="A99" s="21">
        <v>41003</v>
      </c>
      <c r="B99" s="21" t="s">
        <v>37</v>
      </c>
      <c r="C99" s="22">
        <v>57539</v>
      </c>
      <c r="D99" s="8">
        <v>22999</v>
      </c>
      <c r="E99" s="8">
        <v>82129</v>
      </c>
      <c r="F99" s="23">
        <v>4162</v>
      </c>
      <c r="G99" s="24">
        <v>2841</v>
      </c>
      <c r="H99" s="25"/>
      <c r="I99" s="37"/>
      <c r="J99" s="9">
        <f t="shared" si="18"/>
        <v>59130</v>
      </c>
      <c r="K99" s="38">
        <f t="shared" si="19"/>
        <v>796</v>
      </c>
      <c r="L99" s="38">
        <v>795</v>
      </c>
      <c r="M99" s="39">
        <f t="shared" si="28"/>
        <v>233823</v>
      </c>
      <c r="N99" s="40">
        <f t="shared" si="29"/>
        <v>89130</v>
      </c>
      <c r="O99" s="40">
        <f t="shared" si="30"/>
        <v>329644</v>
      </c>
      <c r="P99" s="41">
        <f t="shared" si="31"/>
        <v>4902375.77</v>
      </c>
      <c r="Q99" s="41">
        <f t="shared" si="26"/>
        <v>1837997.1</v>
      </c>
      <c r="R99" s="41">
        <f t="shared" si="27"/>
        <v>6870424.16</v>
      </c>
      <c r="S99" s="54"/>
      <c r="T99" s="38"/>
      <c r="U99" s="38"/>
      <c r="V99" s="9"/>
    </row>
    <row r="100" ht="15" customHeight="1" spans="1:22">
      <c r="A100" s="21">
        <v>41004</v>
      </c>
      <c r="B100" s="21" t="s">
        <v>38</v>
      </c>
      <c r="C100" s="22">
        <v>47508</v>
      </c>
      <c r="D100" s="8">
        <v>16753</v>
      </c>
      <c r="E100" s="8">
        <v>65650</v>
      </c>
      <c r="F100" s="23">
        <v>2971</v>
      </c>
      <c r="G100" s="24">
        <v>2543</v>
      </c>
      <c r="H100" s="25"/>
      <c r="I100" s="37"/>
      <c r="J100" s="9">
        <f t="shared" si="18"/>
        <v>48897</v>
      </c>
      <c r="K100" s="38">
        <f t="shared" si="19"/>
        <v>594</v>
      </c>
      <c r="L100" s="38">
        <v>795</v>
      </c>
      <c r="M100" s="39">
        <f t="shared" si="28"/>
        <v>281331</v>
      </c>
      <c r="N100" s="40">
        <f t="shared" si="29"/>
        <v>105883</v>
      </c>
      <c r="O100" s="40">
        <f t="shared" si="30"/>
        <v>395294</v>
      </c>
      <c r="P100" s="41">
        <f t="shared" si="31"/>
        <v>4949883.77</v>
      </c>
      <c r="Q100" s="41">
        <f t="shared" si="26"/>
        <v>1854750.1</v>
      </c>
      <c r="R100" s="41">
        <f t="shared" si="27"/>
        <v>6936074.16</v>
      </c>
      <c r="S100" s="54"/>
      <c r="T100" s="38"/>
      <c r="U100" s="38"/>
      <c r="V100" s="9"/>
    </row>
    <row r="101" ht="15" customHeight="1" spans="1:22">
      <c r="A101" s="21">
        <v>41005</v>
      </c>
      <c r="B101" s="21" t="s">
        <v>1</v>
      </c>
      <c r="C101" s="22">
        <v>53695</v>
      </c>
      <c r="D101" s="8">
        <v>18827</v>
      </c>
      <c r="E101" s="8">
        <v>74110</v>
      </c>
      <c r="F101" s="23">
        <v>3731</v>
      </c>
      <c r="G101" s="24">
        <v>2320</v>
      </c>
      <c r="H101" s="25"/>
      <c r="I101" s="37"/>
      <c r="J101" s="9">
        <f t="shared" si="18"/>
        <v>55283</v>
      </c>
      <c r="K101" s="38">
        <f t="shared" si="19"/>
        <v>793</v>
      </c>
      <c r="L101" s="38">
        <v>795</v>
      </c>
      <c r="M101" s="39">
        <f t="shared" si="28"/>
        <v>335026</v>
      </c>
      <c r="N101" s="40">
        <f t="shared" si="29"/>
        <v>124710</v>
      </c>
      <c r="O101" s="40">
        <f t="shared" si="30"/>
        <v>469404</v>
      </c>
      <c r="P101" s="41">
        <f t="shared" si="31"/>
        <v>5003578.77</v>
      </c>
      <c r="Q101" s="41">
        <f t="shared" si="26"/>
        <v>1873577.1</v>
      </c>
      <c r="R101" s="41">
        <f t="shared" si="27"/>
        <v>7010184.16</v>
      </c>
      <c r="S101" s="54"/>
      <c r="T101" s="38"/>
      <c r="U101" s="38"/>
      <c r="V101" s="9"/>
    </row>
    <row r="102" ht="15" customHeight="1" spans="1:22">
      <c r="A102" s="21">
        <v>41006</v>
      </c>
      <c r="B102" s="21" t="s">
        <v>39</v>
      </c>
      <c r="C102" s="22">
        <v>56802</v>
      </c>
      <c r="D102" s="8">
        <v>23665</v>
      </c>
      <c r="E102" s="8">
        <v>82077</v>
      </c>
      <c r="F102" s="23">
        <v>4225</v>
      </c>
      <c r="G102" s="24">
        <v>2679</v>
      </c>
      <c r="H102" s="25"/>
      <c r="I102" s="37"/>
      <c r="J102" s="9">
        <f t="shared" si="18"/>
        <v>58412</v>
      </c>
      <c r="K102" s="38">
        <f t="shared" si="19"/>
        <v>815</v>
      </c>
      <c r="L102" s="38">
        <v>795</v>
      </c>
      <c r="M102" s="39">
        <f t="shared" si="28"/>
        <v>391828</v>
      </c>
      <c r="N102" s="40">
        <f t="shared" si="29"/>
        <v>148375</v>
      </c>
      <c r="O102" s="40">
        <f t="shared" si="30"/>
        <v>551481</v>
      </c>
      <c r="P102" s="41">
        <f t="shared" si="31"/>
        <v>5060380.77</v>
      </c>
      <c r="Q102" s="41">
        <f t="shared" si="26"/>
        <v>1897242.1</v>
      </c>
      <c r="R102" s="41">
        <f t="shared" si="27"/>
        <v>7092261.16</v>
      </c>
      <c r="S102" s="54"/>
      <c r="T102" s="38"/>
      <c r="U102" s="38"/>
      <c r="V102" s="9"/>
    </row>
    <row r="103" ht="15" customHeight="1" spans="1:22">
      <c r="A103" s="21">
        <v>41007</v>
      </c>
      <c r="B103" s="21" t="s">
        <v>34</v>
      </c>
      <c r="C103" s="22">
        <v>60214</v>
      </c>
      <c r="D103" s="8">
        <v>22575</v>
      </c>
      <c r="E103" s="8">
        <v>84954</v>
      </c>
      <c r="F103" s="23">
        <v>4285</v>
      </c>
      <c r="G103" s="24">
        <v>2866</v>
      </c>
      <c r="H103" s="25"/>
      <c r="I103" s="37"/>
      <c r="J103" s="9">
        <f t="shared" si="18"/>
        <v>62379</v>
      </c>
      <c r="K103" s="38">
        <f t="shared" si="19"/>
        <v>1370</v>
      </c>
      <c r="L103" s="38">
        <v>795</v>
      </c>
      <c r="M103" s="39">
        <f t="shared" si="28"/>
        <v>452042</v>
      </c>
      <c r="N103" s="40">
        <f t="shared" si="29"/>
        <v>170950</v>
      </c>
      <c r="O103" s="40">
        <f t="shared" si="30"/>
        <v>636435</v>
      </c>
      <c r="P103" s="41">
        <f t="shared" si="31"/>
        <v>5120594.77</v>
      </c>
      <c r="Q103" s="41">
        <f t="shared" si="26"/>
        <v>1919817.1</v>
      </c>
      <c r="R103" s="41">
        <f t="shared" si="27"/>
        <v>7177215.16</v>
      </c>
      <c r="S103" s="54"/>
      <c r="T103" s="38"/>
      <c r="U103" s="38"/>
      <c r="V103" s="9"/>
    </row>
    <row r="104" ht="15" customHeight="1" spans="1:22">
      <c r="A104" s="15">
        <v>41008</v>
      </c>
      <c r="B104" s="15" t="s">
        <v>35</v>
      </c>
      <c r="C104" s="16">
        <v>60631</v>
      </c>
      <c r="D104" s="17">
        <v>23768</v>
      </c>
      <c r="E104" s="17">
        <v>85826</v>
      </c>
      <c r="F104" s="18">
        <v>4321</v>
      </c>
      <c r="G104" s="19">
        <v>2924</v>
      </c>
      <c r="H104" s="20"/>
      <c r="I104" s="20"/>
      <c r="J104" s="33">
        <f t="shared" si="18"/>
        <v>62058</v>
      </c>
      <c r="K104" s="34">
        <f t="shared" si="19"/>
        <v>631</v>
      </c>
      <c r="L104" s="34">
        <v>796</v>
      </c>
      <c r="M104" s="35">
        <f t="shared" si="28"/>
        <v>512673</v>
      </c>
      <c r="N104" s="36">
        <f t="shared" si="29"/>
        <v>194718</v>
      </c>
      <c r="O104" s="36">
        <f t="shared" si="30"/>
        <v>722261</v>
      </c>
      <c r="P104" s="35">
        <f t="shared" si="31"/>
        <v>5181225.77</v>
      </c>
      <c r="Q104" s="35">
        <f t="shared" si="26"/>
        <v>1943585.1</v>
      </c>
      <c r="R104" s="35">
        <f t="shared" si="27"/>
        <v>7263041.16</v>
      </c>
      <c r="S104" s="53"/>
      <c r="T104" s="33"/>
      <c r="U104" s="33"/>
      <c r="V104" s="33"/>
    </row>
    <row r="105" ht="15" customHeight="1" spans="1:22">
      <c r="A105" s="21">
        <v>41009</v>
      </c>
      <c r="B105" s="21" t="s">
        <v>36</v>
      </c>
      <c r="C105" s="22">
        <v>60770</v>
      </c>
      <c r="D105" s="8">
        <v>23145</v>
      </c>
      <c r="E105" s="8">
        <v>85904</v>
      </c>
      <c r="F105" s="23">
        <v>4323</v>
      </c>
      <c r="G105" s="24">
        <v>2915</v>
      </c>
      <c r="H105" s="25"/>
      <c r="I105" s="37"/>
      <c r="J105" s="9">
        <f t="shared" si="18"/>
        <v>62759</v>
      </c>
      <c r="K105" s="38">
        <f t="shared" si="19"/>
        <v>1194</v>
      </c>
      <c r="L105" s="38">
        <v>795</v>
      </c>
      <c r="M105" s="39">
        <f t="shared" si="28"/>
        <v>573443</v>
      </c>
      <c r="N105" s="40">
        <f t="shared" si="29"/>
        <v>217863</v>
      </c>
      <c r="O105" s="40">
        <f t="shared" si="30"/>
        <v>808165</v>
      </c>
      <c r="P105" s="41">
        <f t="shared" si="31"/>
        <v>5241995.77</v>
      </c>
      <c r="Q105" s="41">
        <f t="shared" si="26"/>
        <v>1966730.1</v>
      </c>
      <c r="R105" s="41">
        <f t="shared" si="27"/>
        <v>7348945.16</v>
      </c>
      <c r="S105" s="54">
        <v>39.0844</v>
      </c>
      <c r="T105" s="54">
        <f>P105/10000-S105</f>
        <v>485.115177</v>
      </c>
      <c r="U105" s="38"/>
      <c r="V105" s="55">
        <f>V$94+(T105-T$94)*10000/(3298.592+100)</f>
        <v>1427.40045583583</v>
      </c>
    </row>
    <row r="106" ht="15" customHeight="1" spans="1:22">
      <c r="A106" s="21">
        <v>41010</v>
      </c>
      <c r="B106" s="21" t="s">
        <v>37</v>
      </c>
      <c r="C106" s="22">
        <v>59606</v>
      </c>
      <c r="D106" s="8">
        <v>24593</v>
      </c>
      <c r="E106" s="8">
        <v>85704</v>
      </c>
      <c r="F106" s="23">
        <v>4305</v>
      </c>
      <c r="G106" s="24">
        <v>2917</v>
      </c>
      <c r="H106" s="25"/>
      <c r="I106" s="37"/>
      <c r="J106" s="9">
        <f t="shared" si="18"/>
        <v>61111</v>
      </c>
      <c r="K106" s="38">
        <f t="shared" si="19"/>
        <v>710</v>
      </c>
      <c r="L106" s="38">
        <v>795</v>
      </c>
      <c r="M106" s="39">
        <f t="shared" si="28"/>
        <v>633049</v>
      </c>
      <c r="N106" s="40">
        <f t="shared" si="29"/>
        <v>242456</v>
      </c>
      <c r="O106" s="40">
        <f t="shared" si="30"/>
        <v>893869</v>
      </c>
      <c r="P106" s="41">
        <f t="shared" si="31"/>
        <v>5301601.77</v>
      </c>
      <c r="Q106" s="41">
        <f t="shared" si="26"/>
        <v>1991323.1</v>
      </c>
      <c r="R106" s="41">
        <f t="shared" si="27"/>
        <v>7434649.16</v>
      </c>
      <c r="S106" s="54"/>
      <c r="T106" s="38"/>
      <c r="U106" s="38"/>
      <c r="V106" s="9"/>
    </row>
    <row r="107" ht="15" customHeight="1" spans="1:22">
      <c r="A107" s="21">
        <v>41011</v>
      </c>
      <c r="B107" s="21" t="s">
        <v>38</v>
      </c>
      <c r="C107" s="22">
        <v>60048</v>
      </c>
      <c r="D107" s="8">
        <v>23928</v>
      </c>
      <c r="E107" s="8">
        <v>85409</v>
      </c>
      <c r="F107" s="23">
        <v>4331</v>
      </c>
      <c r="G107" s="24">
        <v>2918</v>
      </c>
      <c r="H107" s="25"/>
      <c r="I107" s="37"/>
      <c r="J107" s="9">
        <f t="shared" si="18"/>
        <v>61481</v>
      </c>
      <c r="K107" s="38">
        <f t="shared" si="19"/>
        <v>638</v>
      </c>
      <c r="L107" s="38">
        <v>795</v>
      </c>
      <c r="M107" s="39">
        <f t="shared" si="28"/>
        <v>693097</v>
      </c>
      <c r="N107" s="40">
        <f t="shared" si="29"/>
        <v>266384</v>
      </c>
      <c r="O107" s="40">
        <f t="shared" si="30"/>
        <v>979278</v>
      </c>
      <c r="P107" s="41">
        <f t="shared" si="31"/>
        <v>5361649.77</v>
      </c>
      <c r="Q107" s="41">
        <f t="shared" si="26"/>
        <v>2015251.1</v>
      </c>
      <c r="R107" s="41">
        <f t="shared" si="27"/>
        <v>7520058.16</v>
      </c>
      <c r="S107" s="54"/>
      <c r="T107" s="38"/>
      <c r="U107" s="38"/>
      <c r="V107" s="9"/>
    </row>
    <row r="108" ht="15" customHeight="1" spans="1:22">
      <c r="A108" s="21">
        <v>41012</v>
      </c>
      <c r="B108" s="21" t="s">
        <v>1</v>
      </c>
      <c r="C108" s="22">
        <v>58425</v>
      </c>
      <c r="D108" s="8">
        <v>22486</v>
      </c>
      <c r="E108" s="8">
        <v>82041</v>
      </c>
      <c r="F108" s="23">
        <v>4096</v>
      </c>
      <c r="G108" s="24">
        <v>2877</v>
      </c>
      <c r="H108" s="25"/>
      <c r="I108" s="37"/>
      <c r="J108" s="9">
        <f t="shared" si="18"/>
        <v>59555</v>
      </c>
      <c r="K108" s="38">
        <f t="shared" si="19"/>
        <v>335</v>
      </c>
      <c r="L108" s="38">
        <v>795</v>
      </c>
      <c r="M108" s="39">
        <f t="shared" si="28"/>
        <v>751522</v>
      </c>
      <c r="N108" s="40">
        <f t="shared" si="29"/>
        <v>288870</v>
      </c>
      <c r="O108" s="40">
        <f t="shared" si="30"/>
        <v>1061319</v>
      </c>
      <c r="P108" s="41">
        <f t="shared" si="31"/>
        <v>5420074.77</v>
      </c>
      <c r="Q108" s="41">
        <f t="shared" si="26"/>
        <v>2037737.1</v>
      </c>
      <c r="R108" s="41">
        <f t="shared" si="27"/>
        <v>7602099.16</v>
      </c>
      <c r="S108" s="54"/>
      <c r="T108" s="38"/>
      <c r="U108" s="38"/>
      <c r="V108" s="38"/>
    </row>
    <row r="109" ht="15" customHeight="1" spans="1:22">
      <c r="A109" s="21">
        <v>41013</v>
      </c>
      <c r="B109" s="21" t="s">
        <v>39</v>
      </c>
      <c r="C109" s="22">
        <v>59326</v>
      </c>
      <c r="D109" s="8">
        <v>23620</v>
      </c>
      <c r="E109" s="8">
        <v>84907</v>
      </c>
      <c r="F109" s="23">
        <v>4325</v>
      </c>
      <c r="G109" s="24">
        <v>2798</v>
      </c>
      <c r="H109" s="25"/>
      <c r="I109" s="37"/>
      <c r="J109" s="9">
        <f t="shared" si="18"/>
        <v>61287</v>
      </c>
      <c r="K109" s="38">
        <f t="shared" si="19"/>
        <v>1166</v>
      </c>
      <c r="L109" s="38">
        <v>795</v>
      </c>
      <c r="M109" s="39">
        <f t="shared" si="28"/>
        <v>810848</v>
      </c>
      <c r="N109" s="40">
        <f t="shared" si="29"/>
        <v>312490</v>
      </c>
      <c r="O109" s="40">
        <f t="shared" si="30"/>
        <v>1146226</v>
      </c>
      <c r="P109" s="41">
        <f t="shared" si="31"/>
        <v>5479400.77</v>
      </c>
      <c r="Q109" s="41">
        <f t="shared" si="26"/>
        <v>2061357.1</v>
      </c>
      <c r="R109" s="41">
        <f t="shared" si="27"/>
        <v>7687006.16</v>
      </c>
      <c r="S109" s="54"/>
      <c r="T109" s="38"/>
      <c r="U109" s="38"/>
      <c r="V109" s="9"/>
    </row>
    <row r="110" ht="15" customHeight="1" spans="1:22">
      <c r="A110" s="21">
        <v>41014</v>
      </c>
      <c r="B110" s="21" t="s">
        <v>34</v>
      </c>
      <c r="C110" s="22">
        <v>61776</v>
      </c>
      <c r="D110" s="8">
        <v>22646</v>
      </c>
      <c r="E110" s="8">
        <v>85772</v>
      </c>
      <c r="F110" s="23">
        <v>4297.9</v>
      </c>
      <c r="G110" s="24">
        <v>2916.9</v>
      </c>
      <c r="H110" s="25"/>
      <c r="I110" s="37"/>
      <c r="J110" s="9">
        <f t="shared" si="18"/>
        <v>63126</v>
      </c>
      <c r="K110" s="38">
        <f t="shared" si="19"/>
        <v>555</v>
      </c>
      <c r="L110" s="38">
        <v>795</v>
      </c>
      <c r="M110" s="39">
        <f t="shared" si="28"/>
        <v>872624</v>
      </c>
      <c r="N110" s="40">
        <f t="shared" si="29"/>
        <v>335136</v>
      </c>
      <c r="O110" s="40">
        <f t="shared" si="30"/>
        <v>1231998</v>
      </c>
      <c r="P110" s="41">
        <f t="shared" si="31"/>
        <v>5541176.77</v>
      </c>
      <c r="Q110" s="41">
        <f t="shared" si="26"/>
        <v>2084003.1</v>
      </c>
      <c r="R110" s="41">
        <f t="shared" si="27"/>
        <v>7772778.16</v>
      </c>
      <c r="S110" s="54"/>
      <c r="T110" s="38"/>
      <c r="U110" s="38"/>
      <c r="V110" s="9"/>
    </row>
    <row r="111" ht="15" customHeight="1" spans="1:22">
      <c r="A111" s="15">
        <v>41015</v>
      </c>
      <c r="B111" s="15" t="s">
        <v>35</v>
      </c>
      <c r="C111" s="16">
        <v>61093</v>
      </c>
      <c r="D111" s="17">
        <v>22494</v>
      </c>
      <c r="E111" s="17">
        <v>85533</v>
      </c>
      <c r="F111" s="18">
        <v>4329.8</v>
      </c>
      <c r="G111" s="19">
        <v>2887.9</v>
      </c>
      <c r="H111" s="20"/>
      <c r="I111" s="20"/>
      <c r="J111" s="33">
        <f t="shared" si="18"/>
        <v>63039</v>
      </c>
      <c r="K111" s="34">
        <f t="shared" si="19"/>
        <v>1149</v>
      </c>
      <c r="L111" s="34">
        <v>797</v>
      </c>
      <c r="M111" s="35">
        <f t="shared" si="28"/>
        <v>933717</v>
      </c>
      <c r="N111" s="36">
        <f t="shared" si="29"/>
        <v>357630</v>
      </c>
      <c r="O111" s="36">
        <f t="shared" si="30"/>
        <v>1317531</v>
      </c>
      <c r="P111" s="35">
        <f t="shared" si="31"/>
        <v>5602269.77</v>
      </c>
      <c r="Q111" s="35">
        <f t="shared" si="26"/>
        <v>2106497.1</v>
      </c>
      <c r="R111" s="35">
        <f t="shared" si="27"/>
        <v>7858311.16</v>
      </c>
      <c r="S111" s="53"/>
      <c r="T111" s="33"/>
      <c r="U111" s="33"/>
      <c r="V111" s="33"/>
    </row>
    <row r="112" ht="15" customHeight="1" spans="1:22">
      <c r="A112" s="21">
        <v>41016</v>
      </c>
      <c r="B112" s="21" t="s">
        <v>36</v>
      </c>
      <c r="C112" s="22">
        <v>62789</v>
      </c>
      <c r="D112" s="8">
        <v>21877</v>
      </c>
      <c r="E112" s="8">
        <v>86492</v>
      </c>
      <c r="F112" s="23">
        <v>4387</v>
      </c>
      <c r="G112" s="24">
        <v>2905</v>
      </c>
      <c r="H112" s="25"/>
      <c r="I112" s="37"/>
      <c r="J112" s="9">
        <f t="shared" si="18"/>
        <v>64615</v>
      </c>
      <c r="K112" s="38">
        <f t="shared" si="19"/>
        <v>1031</v>
      </c>
      <c r="L112" s="38">
        <v>795</v>
      </c>
      <c r="M112" s="39">
        <f t="shared" si="28"/>
        <v>996506</v>
      </c>
      <c r="N112" s="40">
        <f t="shared" si="29"/>
        <v>379507</v>
      </c>
      <c r="O112" s="40">
        <f t="shared" si="30"/>
        <v>1404023</v>
      </c>
      <c r="P112" s="41">
        <f t="shared" si="31"/>
        <v>5665058.77</v>
      </c>
      <c r="Q112" s="41">
        <f t="shared" si="26"/>
        <v>2128374.1</v>
      </c>
      <c r="R112" s="41">
        <f t="shared" si="27"/>
        <v>7944803.16</v>
      </c>
      <c r="S112" s="54">
        <v>42.3744</v>
      </c>
      <c r="T112" s="54">
        <f>P112/10000-S112</f>
        <v>524.131477</v>
      </c>
      <c r="U112" s="38"/>
      <c r="V112" s="38">
        <f>V$94+(T112-T$94)*10000/(3298.592+100)</f>
        <v>1542.20182063631</v>
      </c>
    </row>
    <row r="113" ht="15" customHeight="1" spans="1:22">
      <c r="A113" s="21">
        <v>41017</v>
      </c>
      <c r="B113" s="21" t="s">
        <v>37</v>
      </c>
      <c r="C113" s="22">
        <v>62315</v>
      </c>
      <c r="D113" s="8">
        <v>23002</v>
      </c>
      <c r="E113" s="8">
        <v>86948</v>
      </c>
      <c r="F113" s="23">
        <v>4393</v>
      </c>
      <c r="G113" s="24">
        <v>2901</v>
      </c>
      <c r="H113" s="25"/>
      <c r="I113" s="37"/>
      <c r="J113" s="9">
        <f t="shared" si="18"/>
        <v>63946</v>
      </c>
      <c r="K113" s="38">
        <f t="shared" si="19"/>
        <v>836</v>
      </c>
      <c r="L113" s="38">
        <v>795</v>
      </c>
      <c r="M113" s="39">
        <f t="shared" si="28"/>
        <v>1058821</v>
      </c>
      <c r="N113" s="40">
        <f t="shared" si="29"/>
        <v>402509</v>
      </c>
      <c r="O113" s="40">
        <f t="shared" si="30"/>
        <v>1490971</v>
      </c>
      <c r="P113" s="41">
        <f t="shared" si="31"/>
        <v>5727373.77</v>
      </c>
      <c r="Q113" s="41">
        <f t="shared" si="26"/>
        <v>2151376.1</v>
      </c>
      <c r="R113" s="41">
        <f t="shared" si="27"/>
        <v>8031751.16</v>
      </c>
      <c r="S113" s="54"/>
      <c r="T113" s="38"/>
      <c r="U113" s="38"/>
      <c r="V113" s="9"/>
    </row>
    <row r="114" ht="15" customHeight="1" spans="1:22">
      <c r="A114" s="21">
        <v>41018</v>
      </c>
      <c r="B114" s="21" t="s">
        <v>38</v>
      </c>
      <c r="C114" s="22">
        <v>62217</v>
      </c>
      <c r="D114" s="8">
        <v>22339</v>
      </c>
      <c r="E114" s="8">
        <v>86055</v>
      </c>
      <c r="F114" s="23">
        <v>4371.6</v>
      </c>
      <c r="G114" s="24">
        <v>2926.1</v>
      </c>
      <c r="H114" s="25"/>
      <c r="I114" s="37"/>
      <c r="J114" s="9">
        <f t="shared" si="18"/>
        <v>63716</v>
      </c>
      <c r="K114" s="38">
        <f t="shared" si="19"/>
        <v>704</v>
      </c>
      <c r="L114" s="38">
        <v>795</v>
      </c>
      <c r="M114" s="39">
        <f t="shared" si="28"/>
        <v>1121038</v>
      </c>
      <c r="N114" s="40">
        <f t="shared" si="29"/>
        <v>424848</v>
      </c>
      <c r="O114" s="40">
        <f t="shared" si="30"/>
        <v>1577026</v>
      </c>
      <c r="P114" s="41">
        <f t="shared" si="31"/>
        <v>5789590.77</v>
      </c>
      <c r="Q114" s="41">
        <f t="shared" si="26"/>
        <v>2173715.1</v>
      </c>
      <c r="R114" s="41">
        <f t="shared" si="27"/>
        <v>8117806.16</v>
      </c>
      <c r="S114" s="54"/>
      <c r="T114" s="38"/>
      <c r="U114" s="38"/>
      <c r="V114" s="9"/>
    </row>
    <row r="115" ht="15" customHeight="1" spans="1:22">
      <c r="A115" s="21">
        <v>41019</v>
      </c>
      <c r="B115" s="21" t="s">
        <v>1</v>
      </c>
      <c r="C115" s="22">
        <v>60039</v>
      </c>
      <c r="D115" s="8">
        <v>20116</v>
      </c>
      <c r="E115" s="8">
        <v>81224</v>
      </c>
      <c r="F115" s="23">
        <v>4090.3</v>
      </c>
      <c r="G115" s="24">
        <v>2868.3</v>
      </c>
      <c r="H115" s="25"/>
      <c r="I115" s="37"/>
      <c r="J115" s="9">
        <f t="shared" si="18"/>
        <v>61108</v>
      </c>
      <c r="K115" s="38">
        <f t="shared" si="19"/>
        <v>274</v>
      </c>
      <c r="L115" s="38">
        <v>795</v>
      </c>
      <c r="M115" s="39">
        <v>1181079</v>
      </c>
      <c r="N115" s="40">
        <f t="shared" ref="N115:N124" si="32">N114+D115</f>
        <v>444964</v>
      </c>
      <c r="O115" s="40">
        <v>1658264</v>
      </c>
      <c r="P115" s="41">
        <f t="shared" si="31"/>
        <v>5849631.77</v>
      </c>
      <c r="Q115" s="41">
        <f t="shared" si="26"/>
        <v>2193831.1</v>
      </c>
      <c r="R115" s="41">
        <f t="shared" si="27"/>
        <v>8199044.16</v>
      </c>
      <c r="S115" s="54">
        <v>43.9368</v>
      </c>
      <c r="T115" s="54">
        <f>P115/10000-S115</f>
        <v>541.026377</v>
      </c>
      <c r="U115" s="38"/>
      <c r="V115" s="55">
        <f>V$94+(T115-T$94-0.84)*10000/(3298.592+100)</f>
        <v>1589.44167761238</v>
      </c>
    </row>
    <row r="116" ht="15" customHeight="1" spans="1:22">
      <c r="A116" s="21">
        <v>41020</v>
      </c>
      <c r="B116" s="21" t="s">
        <v>39</v>
      </c>
      <c r="C116" s="22">
        <v>60919</v>
      </c>
      <c r="D116" s="8">
        <v>22355</v>
      </c>
      <c r="E116" s="8">
        <v>85695</v>
      </c>
      <c r="F116" s="23">
        <v>4406.7</v>
      </c>
      <c r="G116" s="24">
        <v>2776.6</v>
      </c>
      <c r="H116" s="25">
        <v>1159</v>
      </c>
      <c r="I116" s="37">
        <v>708.4</v>
      </c>
      <c r="J116" s="9">
        <f t="shared" si="18"/>
        <v>63340</v>
      </c>
      <c r="K116" s="38">
        <f t="shared" si="19"/>
        <v>1626</v>
      </c>
      <c r="L116" s="38">
        <v>795</v>
      </c>
      <c r="M116" s="39">
        <f t="shared" si="28"/>
        <v>1241998</v>
      </c>
      <c r="N116" s="40">
        <f t="shared" si="32"/>
        <v>467319</v>
      </c>
      <c r="O116" s="40">
        <f t="shared" ref="O116:O124" si="33">O115+E116</f>
        <v>1743959</v>
      </c>
      <c r="P116" s="41">
        <f t="shared" si="31"/>
        <v>5910550.77</v>
      </c>
      <c r="Q116" s="41">
        <f t="shared" si="26"/>
        <v>2216186.1</v>
      </c>
      <c r="R116" s="41">
        <f t="shared" si="27"/>
        <v>8284739.16</v>
      </c>
      <c r="S116" s="54"/>
      <c r="T116" s="38"/>
      <c r="U116" s="38"/>
      <c r="V116" s="9"/>
    </row>
    <row r="117" ht="15" customHeight="1" spans="1:22">
      <c r="A117" s="21">
        <v>41021</v>
      </c>
      <c r="B117" s="21" t="s">
        <v>34</v>
      </c>
      <c r="C117" s="22">
        <v>61537</v>
      </c>
      <c r="D117" s="8">
        <v>22470</v>
      </c>
      <c r="E117" s="8">
        <v>85278</v>
      </c>
      <c r="F117" s="23">
        <v>4361</v>
      </c>
      <c r="G117" s="24">
        <v>2847.5</v>
      </c>
      <c r="H117" s="25">
        <v>1172.3</v>
      </c>
      <c r="I117" s="37">
        <v>731.2</v>
      </c>
      <c r="J117" s="9">
        <f t="shared" si="18"/>
        <v>62808</v>
      </c>
      <c r="K117" s="38">
        <f t="shared" si="19"/>
        <v>476</v>
      </c>
      <c r="L117" s="38">
        <v>795</v>
      </c>
      <c r="M117" s="39">
        <f t="shared" si="28"/>
        <v>1303535</v>
      </c>
      <c r="N117" s="40">
        <f t="shared" si="32"/>
        <v>489789</v>
      </c>
      <c r="O117" s="40">
        <f t="shared" si="33"/>
        <v>1829237</v>
      </c>
      <c r="P117" s="41">
        <f t="shared" si="31"/>
        <v>5972087.77</v>
      </c>
      <c r="Q117" s="41">
        <f t="shared" si="26"/>
        <v>2238656.1</v>
      </c>
      <c r="R117" s="41">
        <f t="shared" si="27"/>
        <v>8370017.16</v>
      </c>
      <c r="S117" s="54"/>
      <c r="T117" s="38"/>
      <c r="U117" s="38"/>
      <c r="V117" s="9"/>
    </row>
    <row r="118" ht="15" customHeight="1" spans="1:22">
      <c r="A118" s="15">
        <v>41022</v>
      </c>
      <c r="B118" s="15" t="s">
        <v>35</v>
      </c>
      <c r="C118" s="16">
        <v>61725</v>
      </c>
      <c r="D118" s="17">
        <v>21921</v>
      </c>
      <c r="E118" s="17">
        <v>84921</v>
      </c>
      <c r="F118" s="18">
        <v>4285</v>
      </c>
      <c r="G118" s="19">
        <v>2892.5</v>
      </c>
      <c r="H118" s="20"/>
      <c r="I118" s="20"/>
      <c r="J118" s="33">
        <f t="shared" si="18"/>
        <v>63000</v>
      </c>
      <c r="K118" s="34">
        <f t="shared" si="19"/>
        <v>480</v>
      </c>
      <c r="L118" s="34">
        <v>795</v>
      </c>
      <c r="M118" s="35">
        <f t="shared" si="28"/>
        <v>1365260</v>
      </c>
      <c r="N118" s="36">
        <f t="shared" si="32"/>
        <v>511710</v>
      </c>
      <c r="O118" s="36">
        <f t="shared" si="33"/>
        <v>1914158</v>
      </c>
      <c r="P118" s="35">
        <f t="shared" si="31"/>
        <v>6033812.77</v>
      </c>
      <c r="Q118" s="35">
        <f t="shared" si="26"/>
        <v>2260577.1</v>
      </c>
      <c r="R118" s="35">
        <f t="shared" si="27"/>
        <v>8454938.16</v>
      </c>
      <c r="S118" s="53"/>
      <c r="T118" s="33"/>
      <c r="U118" s="33"/>
      <c r="V118" s="33"/>
    </row>
    <row r="119" ht="15" customHeight="1" spans="1:22">
      <c r="A119" s="21">
        <v>41023</v>
      </c>
      <c r="B119" s="21" t="s">
        <v>36</v>
      </c>
      <c r="C119" s="22">
        <v>61213</v>
      </c>
      <c r="D119" s="8">
        <v>22164</v>
      </c>
      <c r="E119" s="8">
        <v>85167</v>
      </c>
      <c r="F119" s="23">
        <v>4320</v>
      </c>
      <c r="G119" s="24">
        <v>2866.5</v>
      </c>
      <c r="H119" s="25"/>
      <c r="I119" s="37"/>
      <c r="J119" s="9">
        <f t="shared" si="18"/>
        <v>63003</v>
      </c>
      <c r="K119" s="38">
        <f t="shared" si="19"/>
        <v>995</v>
      </c>
      <c r="L119" s="38">
        <v>795</v>
      </c>
      <c r="M119" s="39">
        <f t="shared" si="28"/>
        <v>1426473</v>
      </c>
      <c r="N119" s="40">
        <f t="shared" si="32"/>
        <v>533874</v>
      </c>
      <c r="O119" s="40">
        <f t="shared" si="33"/>
        <v>1999325</v>
      </c>
      <c r="P119" s="41">
        <f t="shared" si="31"/>
        <v>6095025.77</v>
      </c>
      <c r="Q119" s="41">
        <f t="shared" si="26"/>
        <v>2282741.1</v>
      </c>
      <c r="R119" s="41">
        <f t="shared" si="27"/>
        <v>8540105.16</v>
      </c>
      <c r="S119" s="54">
        <v>45.9368</v>
      </c>
      <c r="T119" s="54">
        <f>P119/10000-S119</f>
        <v>563.565777</v>
      </c>
      <c r="U119" s="38"/>
      <c r="V119" s="38">
        <f>V$94+(T119-T$94-0.84)*10000/(3298.592+100)</f>
        <v>1655.76149476018</v>
      </c>
    </row>
    <row r="120" ht="15" customHeight="1" spans="1:22">
      <c r="A120" s="21">
        <v>41024</v>
      </c>
      <c r="B120" s="21" t="s">
        <v>37</v>
      </c>
      <c r="C120" s="22">
        <v>61233</v>
      </c>
      <c r="D120" s="8">
        <v>21607</v>
      </c>
      <c r="E120" s="8">
        <v>84601</v>
      </c>
      <c r="F120" s="23">
        <v>4294</v>
      </c>
      <c r="G120" s="24">
        <v>2862</v>
      </c>
      <c r="H120" s="25"/>
      <c r="I120" s="37"/>
      <c r="J120" s="9">
        <f t="shared" si="18"/>
        <v>62994</v>
      </c>
      <c r="K120" s="38">
        <f t="shared" si="19"/>
        <v>966</v>
      </c>
      <c r="L120" s="38">
        <v>795</v>
      </c>
      <c r="M120" s="39">
        <f t="shared" si="28"/>
        <v>1487706</v>
      </c>
      <c r="N120" s="40">
        <f t="shared" si="32"/>
        <v>555481</v>
      </c>
      <c r="O120" s="40">
        <f t="shared" si="33"/>
        <v>2083926</v>
      </c>
      <c r="P120" s="41">
        <f t="shared" si="31"/>
        <v>6156258.77</v>
      </c>
      <c r="Q120" s="41">
        <f t="shared" si="26"/>
        <v>2304348.1</v>
      </c>
      <c r="R120" s="41">
        <f t="shared" si="27"/>
        <v>8624706.16</v>
      </c>
      <c r="S120" s="54"/>
      <c r="T120" s="38"/>
      <c r="U120" s="38"/>
      <c r="V120" s="9"/>
    </row>
    <row r="121" ht="15" customHeight="1" spans="1:22">
      <c r="A121" s="21">
        <v>41025</v>
      </c>
      <c r="B121" s="21" t="s">
        <v>38</v>
      </c>
      <c r="C121" s="22">
        <v>60314</v>
      </c>
      <c r="D121" s="8">
        <v>21463</v>
      </c>
      <c r="E121" s="8">
        <v>83044</v>
      </c>
      <c r="F121" s="23">
        <v>4257</v>
      </c>
      <c r="G121" s="24">
        <v>2797</v>
      </c>
      <c r="H121" s="25"/>
      <c r="I121" s="37"/>
      <c r="J121" s="9">
        <f t="shared" si="18"/>
        <v>61581</v>
      </c>
      <c r="K121" s="38">
        <f t="shared" si="19"/>
        <v>472</v>
      </c>
      <c r="L121" s="38">
        <v>795</v>
      </c>
      <c r="M121" s="39">
        <f t="shared" si="28"/>
        <v>1548020</v>
      </c>
      <c r="N121" s="40">
        <f t="shared" si="32"/>
        <v>576944</v>
      </c>
      <c r="O121" s="40">
        <f t="shared" si="33"/>
        <v>2166970</v>
      </c>
      <c r="P121" s="41">
        <f t="shared" si="31"/>
        <v>6216572.77</v>
      </c>
      <c r="Q121" s="41">
        <f t="shared" si="26"/>
        <v>2325811.1</v>
      </c>
      <c r="R121" s="41">
        <f t="shared" si="27"/>
        <v>8707750.16</v>
      </c>
      <c r="S121" s="54"/>
      <c r="T121" s="38"/>
      <c r="U121" s="38"/>
      <c r="V121" s="9"/>
    </row>
    <row r="122" ht="15" customHeight="1" spans="1:22">
      <c r="A122" s="21">
        <v>41026</v>
      </c>
      <c r="B122" s="21" t="s">
        <v>1</v>
      </c>
      <c r="C122" s="22">
        <v>60216</v>
      </c>
      <c r="D122" s="8">
        <v>18899</v>
      </c>
      <c r="E122" s="8">
        <v>80119</v>
      </c>
      <c r="F122" s="23">
        <v>4079</v>
      </c>
      <c r="G122" s="24">
        <v>2777</v>
      </c>
      <c r="H122" s="25"/>
      <c r="I122" s="37"/>
      <c r="J122" s="9">
        <f t="shared" si="18"/>
        <v>61220</v>
      </c>
      <c r="K122" s="38">
        <f t="shared" si="19"/>
        <v>209</v>
      </c>
      <c r="L122" s="38">
        <v>795</v>
      </c>
      <c r="M122" s="39">
        <f t="shared" si="28"/>
        <v>1608236</v>
      </c>
      <c r="N122" s="40">
        <f t="shared" si="32"/>
        <v>595843</v>
      </c>
      <c r="O122" s="40">
        <f t="shared" si="33"/>
        <v>2247089</v>
      </c>
      <c r="P122" s="41">
        <f t="shared" si="31"/>
        <v>6276788.77</v>
      </c>
      <c r="Q122" s="41">
        <f t="shared" si="26"/>
        <v>2344710.1</v>
      </c>
      <c r="R122" s="41">
        <f t="shared" si="27"/>
        <v>8787869.16</v>
      </c>
      <c r="S122" s="54"/>
      <c r="T122" s="38"/>
      <c r="U122" s="38"/>
      <c r="V122" s="9"/>
    </row>
    <row r="123" ht="15" customHeight="1" spans="1:22">
      <c r="A123" s="21">
        <v>41027</v>
      </c>
      <c r="B123" s="21" t="s">
        <v>39</v>
      </c>
      <c r="C123" s="22">
        <v>59476</v>
      </c>
      <c r="D123" s="8">
        <v>21146</v>
      </c>
      <c r="E123" s="8">
        <v>82445</v>
      </c>
      <c r="F123" s="23">
        <v>4197</v>
      </c>
      <c r="G123" s="24">
        <v>2732</v>
      </c>
      <c r="H123" s="25"/>
      <c r="I123" s="37"/>
      <c r="J123" s="9">
        <f t="shared" si="18"/>
        <v>61299</v>
      </c>
      <c r="K123" s="38">
        <f t="shared" si="19"/>
        <v>1028</v>
      </c>
      <c r="L123" s="38">
        <v>795</v>
      </c>
      <c r="M123" s="39">
        <f t="shared" si="28"/>
        <v>1667712</v>
      </c>
      <c r="N123" s="40">
        <f t="shared" si="32"/>
        <v>616989</v>
      </c>
      <c r="O123" s="40">
        <f t="shared" si="33"/>
        <v>2329534</v>
      </c>
      <c r="P123" s="41">
        <f t="shared" si="31"/>
        <v>6336264.77</v>
      </c>
      <c r="Q123" s="41">
        <f t="shared" si="26"/>
        <v>2365856.1</v>
      </c>
      <c r="R123" s="41">
        <f t="shared" si="27"/>
        <v>8870314.16</v>
      </c>
      <c r="S123" s="54"/>
      <c r="T123" s="38"/>
      <c r="U123" s="38"/>
      <c r="V123" s="9"/>
    </row>
    <row r="124" ht="15" customHeight="1" spans="1:22">
      <c r="A124" s="21">
        <v>41028</v>
      </c>
      <c r="B124" s="21" t="s">
        <v>34</v>
      </c>
      <c r="C124" s="22">
        <v>59503</v>
      </c>
      <c r="D124" s="8">
        <v>22348</v>
      </c>
      <c r="E124" s="8">
        <v>83332</v>
      </c>
      <c r="F124" s="23">
        <v>4207</v>
      </c>
      <c r="G124" s="24">
        <v>2879</v>
      </c>
      <c r="H124" s="25"/>
      <c r="I124" s="37"/>
      <c r="J124" s="9">
        <f t="shared" si="18"/>
        <v>60984</v>
      </c>
      <c r="K124" s="38">
        <f t="shared" si="19"/>
        <v>686</v>
      </c>
      <c r="L124" s="38">
        <v>795</v>
      </c>
      <c r="M124" s="39">
        <f t="shared" si="28"/>
        <v>1727215</v>
      </c>
      <c r="N124" s="40">
        <f t="shared" si="32"/>
        <v>639337</v>
      </c>
      <c r="O124" s="40">
        <f t="shared" si="33"/>
        <v>2412866</v>
      </c>
      <c r="P124" s="41">
        <f t="shared" si="31"/>
        <v>6395767.77</v>
      </c>
      <c r="Q124" s="41">
        <f t="shared" si="26"/>
        <v>2388204.1</v>
      </c>
      <c r="R124" s="41">
        <f t="shared" si="27"/>
        <v>8953646.16</v>
      </c>
      <c r="S124" s="54"/>
      <c r="T124" s="38"/>
      <c r="U124" s="38"/>
      <c r="V124" s="9"/>
    </row>
    <row r="125" s="1" customFormat="1" ht="15" customHeight="1" spans="1:22">
      <c r="A125" s="26">
        <v>41029</v>
      </c>
      <c r="B125" s="26" t="s">
        <v>35</v>
      </c>
      <c r="C125" s="27">
        <v>57999</v>
      </c>
      <c r="D125" s="28">
        <v>19822</v>
      </c>
      <c r="E125" s="28">
        <v>80299</v>
      </c>
      <c r="F125" s="29">
        <v>4130</v>
      </c>
      <c r="G125" s="30">
        <v>2857</v>
      </c>
      <c r="H125" s="31"/>
      <c r="I125" s="31"/>
      <c r="J125" s="43">
        <f t="shared" si="18"/>
        <v>60477</v>
      </c>
      <c r="K125" s="44">
        <f t="shared" si="19"/>
        <v>1684</v>
      </c>
      <c r="L125" s="44">
        <v>794</v>
      </c>
      <c r="M125" s="45">
        <v>1785213</v>
      </c>
      <c r="N125" s="47">
        <v>659406</v>
      </c>
      <c r="O125" s="47">
        <v>2493386</v>
      </c>
      <c r="P125" s="45">
        <f t="shared" si="31"/>
        <v>6453765.77</v>
      </c>
      <c r="Q125" s="45">
        <f t="shared" si="26"/>
        <v>2408273.1</v>
      </c>
      <c r="R125" s="45">
        <f t="shared" si="27"/>
        <v>9034166.16</v>
      </c>
      <c r="S125" s="56">
        <v>49.0105</v>
      </c>
      <c r="T125" s="56">
        <f>P125/10000-S125</f>
        <v>596.366077</v>
      </c>
      <c r="U125" s="43"/>
      <c r="V125" s="44">
        <f>V$94+(T125-T$94-0.7457)*10000/(3298.592+100)</f>
        <v>1752.55040028341</v>
      </c>
    </row>
    <row r="126" ht="15" customHeight="1" spans="1:22">
      <c r="A126" s="21">
        <v>41030</v>
      </c>
      <c r="B126" s="21" t="s">
        <v>36</v>
      </c>
      <c r="C126" s="22">
        <v>40647</v>
      </c>
      <c r="D126" s="8">
        <v>15094</v>
      </c>
      <c r="E126" s="8">
        <v>56694</v>
      </c>
      <c r="F126" s="23">
        <v>2862.5</v>
      </c>
      <c r="G126" s="24">
        <v>2066</v>
      </c>
      <c r="H126" s="25"/>
      <c r="I126" s="37"/>
      <c r="J126" s="9">
        <f t="shared" si="18"/>
        <v>41600</v>
      </c>
      <c r="K126" s="38">
        <f t="shared" si="19"/>
        <v>159</v>
      </c>
      <c r="L126" s="38">
        <v>794</v>
      </c>
      <c r="M126" s="39">
        <f>C126</f>
        <v>40647</v>
      </c>
      <c r="N126" s="40">
        <f>D126</f>
        <v>15094</v>
      </c>
      <c r="O126" s="40">
        <f>E126</f>
        <v>56694</v>
      </c>
      <c r="P126" s="41">
        <f>M126+P$125</f>
        <v>6494412.77</v>
      </c>
      <c r="Q126" s="41">
        <f t="shared" ref="Q126:Q156" si="34">Q$125+N126</f>
        <v>2423367.1</v>
      </c>
      <c r="R126" s="41">
        <f t="shared" ref="R126:R156" si="35">R$125+O126</f>
        <v>9090860.16</v>
      </c>
      <c r="S126" s="54">
        <v>49.1105</v>
      </c>
      <c r="T126" s="54">
        <f>P126/10000-S126</f>
        <v>600.330777</v>
      </c>
      <c r="U126" s="38"/>
      <c r="V126" s="38">
        <f>V$94+(T126-T$94-0.7457)*10000/(3298.592+100)</f>
        <v>1764.21611361411</v>
      </c>
    </row>
    <row r="127" ht="15" customHeight="1" spans="1:22">
      <c r="A127" s="21">
        <v>41031</v>
      </c>
      <c r="B127" s="21" t="s">
        <v>37</v>
      </c>
      <c r="C127" s="22">
        <v>46189</v>
      </c>
      <c r="D127" s="8">
        <v>15424</v>
      </c>
      <c r="E127" s="8">
        <v>62883</v>
      </c>
      <c r="F127" s="23">
        <v>3071.4</v>
      </c>
      <c r="G127" s="24">
        <v>1947.2</v>
      </c>
      <c r="H127" s="25"/>
      <c r="I127" s="37"/>
      <c r="J127" s="9">
        <f t="shared" si="18"/>
        <v>47459</v>
      </c>
      <c r="K127" s="38">
        <f t="shared" si="19"/>
        <v>475</v>
      </c>
      <c r="L127" s="38">
        <v>795</v>
      </c>
      <c r="M127" s="39">
        <f>M126+C127</f>
        <v>86836</v>
      </c>
      <c r="N127" s="40">
        <f>N126+D127</f>
        <v>30518</v>
      </c>
      <c r="O127" s="40">
        <f>O126+E127</f>
        <v>119577</v>
      </c>
      <c r="P127" s="41">
        <f t="shared" ref="P127:P156" si="36">M127+P$125</f>
        <v>6540601.77</v>
      </c>
      <c r="Q127" s="41">
        <f t="shared" si="34"/>
        <v>2438791.1</v>
      </c>
      <c r="R127" s="41">
        <f t="shared" si="35"/>
        <v>9153743.16</v>
      </c>
      <c r="S127" s="54"/>
      <c r="T127" s="38"/>
      <c r="U127" s="38"/>
      <c r="V127" s="58">
        <f>V125-V95</f>
        <v>477.550400283411</v>
      </c>
    </row>
    <row r="128" ht="15" customHeight="1" spans="1:22">
      <c r="A128" s="21">
        <v>41032</v>
      </c>
      <c r="B128" s="21" t="s">
        <v>38</v>
      </c>
      <c r="C128" s="22">
        <v>55826</v>
      </c>
      <c r="D128" s="8">
        <v>16854</v>
      </c>
      <c r="E128" s="8">
        <v>74759</v>
      </c>
      <c r="F128" s="23">
        <v>3858.4</v>
      </c>
      <c r="G128" s="24">
        <v>2351.9</v>
      </c>
      <c r="H128" s="25"/>
      <c r="I128" s="37"/>
      <c r="J128" s="9">
        <f t="shared" si="18"/>
        <v>57905</v>
      </c>
      <c r="K128" s="38">
        <f t="shared" si="19"/>
        <v>1284</v>
      </c>
      <c r="L128" s="38">
        <v>795</v>
      </c>
      <c r="M128" s="39">
        <f t="shared" ref="M128:M155" si="37">M127+C128</f>
        <v>142662</v>
      </c>
      <c r="N128" s="40">
        <f t="shared" ref="N128:O134" si="38">N127+D128</f>
        <v>47372</v>
      </c>
      <c r="O128" s="40">
        <f t="shared" si="38"/>
        <v>194336</v>
      </c>
      <c r="P128" s="41">
        <f t="shared" si="36"/>
        <v>6596427.77</v>
      </c>
      <c r="Q128" s="41">
        <f t="shared" si="34"/>
        <v>2455645.1</v>
      </c>
      <c r="R128" s="41">
        <f t="shared" si="35"/>
        <v>9228502.16</v>
      </c>
      <c r="S128" s="54"/>
      <c r="T128" s="38"/>
      <c r="U128" s="38"/>
      <c r="V128" s="9"/>
    </row>
    <row r="129" ht="15" customHeight="1" spans="1:22">
      <c r="A129" s="21">
        <v>41033</v>
      </c>
      <c r="B129" s="21" t="s">
        <v>1</v>
      </c>
      <c r="C129" s="22">
        <v>60990</v>
      </c>
      <c r="D129" s="8">
        <v>17494</v>
      </c>
      <c r="E129" s="8">
        <v>80480</v>
      </c>
      <c r="F129" s="23">
        <v>4161.2</v>
      </c>
      <c r="G129" s="24">
        <v>2693.5</v>
      </c>
      <c r="H129" s="25">
        <v>944.7</v>
      </c>
      <c r="I129" s="37">
        <v>667.2</v>
      </c>
      <c r="J129" s="9">
        <f t="shared" ref="J129:J192" si="39">E129-D129</f>
        <v>62986</v>
      </c>
      <c r="K129" s="38">
        <f t="shared" ref="K129:K192" si="40">J129-C129-L129</f>
        <v>1201</v>
      </c>
      <c r="L129" s="38">
        <v>795</v>
      </c>
      <c r="M129" s="39">
        <f t="shared" si="37"/>
        <v>203652</v>
      </c>
      <c r="N129" s="40">
        <f t="shared" si="38"/>
        <v>64866</v>
      </c>
      <c r="O129" s="40">
        <f t="shared" si="38"/>
        <v>274816</v>
      </c>
      <c r="P129" s="41">
        <f t="shared" si="36"/>
        <v>6657417.77</v>
      </c>
      <c r="Q129" s="41">
        <f t="shared" si="34"/>
        <v>2473139.1</v>
      </c>
      <c r="R129" s="41">
        <f t="shared" si="35"/>
        <v>9308982.16</v>
      </c>
      <c r="S129" s="54"/>
      <c r="T129" s="38"/>
      <c r="U129" s="38"/>
      <c r="V129" s="9"/>
    </row>
    <row r="130" ht="15" customHeight="1" spans="1:22">
      <c r="A130" s="21">
        <v>41034</v>
      </c>
      <c r="B130" s="21" t="s">
        <v>39</v>
      </c>
      <c r="C130" s="22">
        <v>61360</v>
      </c>
      <c r="D130" s="8">
        <v>18739</v>
      </c>
      <c r="E130" s="8">
        <v>82082</v>
      </c>
      <c r="F130" s="23">
        <v>4156.1</v>
      </c>
      <c r="G130" s="24">
        <v>2744.3</v>
      </c>
      <c r="H130" s="25">
        <v>953.2</v>
      </c>
      <c r="I130" s="37">
        <v>634.3</v>
      </c>
      <c r="J130" s="9">
        <f t="shared" si="39"/>
        <v>63343</v>
      </c>
      <c r="K130" s="38">
        <f t="shared" si="40"/>
        <v>1188</v>
      </c>
      <c r="L130" s="38">
        <v>795</v>
      </c>
      <c r="M130" s="39">
        <f t="shared" si="37"/>
        <v>265012</v>
      </c>
      <c r="N130" s="40">
        <f t="shared" si="38"/>
        <v>83605</v>
      </c>
      <c r="O130" s="40">
        <f t="shared" si="38"/>
        <v>356898</v>
      </c>
      <c r="P130" s="41">
        <f t="shared" si="36"/>
        <v>6718777.77</v>
      </c>
      <c r="Q130" s="41">
        <f t="shared" si="34"/>
        <v>2491878.1</v>
      </c>
      <c r="R130" s="41">
        <f t="shared" si="35"/>
        <v>9391064.16</v>
      </c>
      <c r="S130" s="54"/>
      <c r="T130" s="38"/>
      <c r="U130" s="38"/>
      <c r="V130" s="9"/>
    </row>
    <row r="131" ht="15" customHeight="1" spans="1:22">
      <c r="A131" s="21">
        <v>41035</v>
      </c>
      <c r="B131" s="21" t="s">
        <v>34</v>
      </c>
      <c r="C131" s="22">
        <v>62513</v>
      </c>
      <c r="D131" s="8">
        <v>17716</v>
      </c>
      <c r="E131" s="8">
        <v>82847</v>
      </c>
      <c r="F131" s="23">
        <v>4192</v>
      </c>
      <c r="G131" s="24">
        <v>2840</v>
      </c>
      <c r="H131" s="25">
        <v>935.1</v>
      </c>
      <c r="I131" s="37">
        <v>563.3</v>
      </c>
      <c r="J131" s="9">
        <f t="shared" si="39"/>
        <v>65131</v>
      </c>
      <c r="K131" s="38">
        <f t="shared" si="40"/>
        <v>1823</v>
      </c>
      <c r="L131" s="38">
        <v>795</v>
      </c>
      <c r="M131" s="39">
        <f t="shared" si="37"/>
        <v>327525</v>
      </c>
      <c r="N131" s="40">
        <f t="shared" si="38"/>
        <v>101321</v>
      </c>
      <c r="O131" s="40">
        <f t="shared" si="38"/>
        <v>439745</v>
      </c>
      <c r="P131" s="41">
        <f t="shared" si="36"/>
        <v>6781290.77</v>
      </c>
      <c r="Q131" s="41">
        <f t="shared" si="34"/>
        <v>2509594.1</v>
      </c>
      <c r="R131" s="41">
        <f t="shared" si="35"/>
        <v>9473911.16</v>
      </c>
      <c r="S131" s="54"/>
      <c r="T131" s="38"/>
      <c r="U131" s="38"/>
      <c r="V131" s="9"/>
    </row>
    <row r="132" ht="15" customHeight="1" spans="1:22">
      <c r="A132" s="15">
        <v>41036</v>
      </c>
      <c r="B132" s="15" t="s">
        <v>35</v>
      </c>
      <c r="C132" s="16">
        <v>62156</v>
      </c>
      <c r="D132" s="17">
        <v>18914</v>
      </c>
      <c r="E132" s="17">
        <v>83088</v>
      </c>
      <c r="F132" s="18">
        <v>4201.4</v>
      </c>
      <c r="G132" s="19">
        <v>2839.8</v>
      </c>
      <c r="H132" s="20">
        <v>968</v>
      </c>
      <c r="I132" s="20">
        <v>618.7</v>
      </c>
      <c r="J132" s="33">
        <f t="shared" si="39"/>
        <v>64174</v>
      </c>
      <c r="K132" s="34">
        <f t="shared" si="40"/>
        <v>1223</v>
      </c>
      <c r="L132" s="34">
        <v>795</v>
      </c>
      <c r="M132" s="35">
        <f t="shared" si="37"/>
        <v>389681</v>
      </c>
      <c r="N132" s="36">
        <f t="shared" si="38"/>
        <v>120235</v>
      </c>
      <c r="O132" s="36">
        <f t="shared" si="38"/>
        <v>522833</v>
      </c>
      <c r="P132" s="35">
        <f t="shared" si="36"/>
        <v>6843446.77</v>
      </c>
      <c r="Q132" s="35">
        <f t="shared" si="34"/>
        <v>2528508.1</v>
      </c>
      <c r="R132" s="35">
        <f t="shared" si="35"/>
        <v>9556999.16</v>
      </c>
      <c r="S132" s="53"/>
      <c r="T132" s="33"/>
      <c r="U132" s="33"/>
      <c r="V132" s="33"/>
    </row>
    <row r="133" ht="15" customHeight="1" spans="1:22">
      <c r="A133" s="21">
        <v>41037</v>
      </c>
      <c r="B133" s="21" t="s">
        <v>36</v>
      </c>
      <c r="C133" s="22">
        <v>63320</v>
      </c>
      <c r="D133" s="8">
        <v>18767</v>
      </c>
      <c r="E133" s="8">
        <v>84003</v>
      </c>
      <c r="F133" s="23">
        <v>4269.8</v>
      </c>
      <c r="G133" s="24">
        <v>2862.6</v>
      </c>
      <c r="H133" s="25">
        <v>981.2</v>
      </c>
      <c r="I133" s="37">
        <v>605.3</v>
      </c>
      <c r="J133" s="9">
        <f t="shared" si="39"/>
        <v>65236</v>
      </c>
      <c r="K133" s="38">
        <f t="shared" si="40"/>
        <v>1121</v>
      </c>
      <c r="L133" s="38">
        <v>795</v>
      </c>
      <c r="M133" s="39">
        <f t="shared" si="37"/>
        <v>453001</v>
      </c>
      <c r="N133" s="40">
        <f t="shared" si="38"/>
        <v>139002</v>
      </c>
      <c r="O133" s="40">
        <f t="shared" si="38"/>
        <v>606836</v>
      </c>
      <c r="P133" s="41">
        <f t="shared" si="36"/>
        <v>6906766.77</v>
      </c>
      <c r="Q133" s="41">
        <f t="shared" si="34"/>
        <v>2547275.1</v>
      </c>
      <c r="R133" s="41">
        <f t="shared" si="35"/>
        <v>9641002.16</v>
      </c>
      <c r="S133" s="54">
        <v>52.6105</v>
      </c>
      <c r="T133" s="54">
        <f>P133/10000-S133</f>
        <v>638.066177</v>
      </c>
      <c r="U133" s="38"/>
      <c r="V133" s="38">
        <f>V$94+(T133-T$94-0.7457)*10000/(3298.592+100)</f>
        <v>1875.24856469973</v>
      </c>
    </row>
    <row r="134" ht="15" customHeight="1" spans="1:22">
      <c r="A134" s="21">
        <v>41038</v>
      </c>
      <c r="B134" s="21" t="s">
        <v>37</v>
      </c>
      <c r="C134" s="22">
        <v>63624</v>
      </c>
      <c r="D134" s="8">
        <v>18777</v>
      </c>
      <c r="E134" s="8">
        <v>84312</v>
      </c>
      <c r="F134" s="23">
        <v>4272.1</v>
      </c>
      <c r="G134" s="24">
        <v>2883</v>
      </c>
      <c r="H134" s="25">
        <v>973.6</v>
      </c>
      <c r="I134" s="37">
        <v>633.1</v>
      </c>
      <c r="J134" s="9">
        <f t="shared" si="39"/>
        <v>65535</v>
      </c>
      <c r="K134" s="38">
        <f t="shared" si="40"/>
        <v>1116</v>
      </c>
      <c r="L134" s="38">
        <v>795</v>
      </c>
      <c r="M134" s="39">
        <f t="shared" si="37"/>
        <v>516625</v>
      </c>
      <c r="N134" s="40">
        <f t="shared" si="38"/>
        <v>157779</v>
      </c>
      <c r="O134" s="40">
        <f t="shared" si="38"/>
        <v>691148</v>
      </c>
      <c r="P134" s="41">
        <f t="shared" si="36"/>
        <v>6970390.77</v>
      </c>
      <c r="Q134" s="41">
        <f t="shared" si="34"/>
        <v>2566052.1</v>
      </c>
      <c r="R134" s="41">
        <f t="shared" si="35"/>
        <v>9725314.16</v>
      </c>
      <c r="S134" s="54"/>
      <c r="T134" s="38"/>
      <c r="U134" s="38"/>
      <c r="V134" s="9"/>
    </row>
    <row r="135" ht="15" customHeight="1" spans="1:22">
      <c r="A135" s="21">
        <v>41039</v>
      </c>
      <c r="B135" s="21" t="s">
        <v>38</v>
      </c>
      <c r="C135" s="22">
        <v>61641</v>
      </c>
      <c r="D135" s="8">
        <v>20051</v>
      </c>
      <c r="E135" s="8">
        <v>83389</v>
      </c>
      <c r="F135" s="23">
        <v>4234</v>
      </c>
      <c r="G135" s="24">
        <v>2879.3</v>
      </c>
      <c r="H135" s="25">
        <v>1034.8</v>
      </c>
      <c r="I135" s="37">
        <v>674.6</v>
      </c>
      <c r="J135" s="9">
        <f t="shared" si="39"/>
        <v>63338</v>
      </c>
      <c r="K135" s="38">
        <f t="shared" si="40"/>
        <v>902</v>
      </c>
      <c r="L135" s="38">
        <v>795</v>
      </c>
      <c r="M135" s="39">
        <v>578265</v>
      </c>
      <c r="N135" s="40">
        <v>177829</v>
      </c>
      <c r="O135" s="40">
        <v>774538</v>
      </c>
      <c r="P135" s="41">
        <f t="shared" si="36"/>
        <v>7032030.77</v>
      </c>
      <c r="Q135" s="41">
        <f t="shared" si="34"/>
        <v>2586102.1</v>
      </c>
      <c r="R135" s="41">
        <f t="shared" si="35"/>
        <v>9808704.16</v>
      </c>
      <c r="S135" s="54">
        <v>53.9939</v>
      </c>
      <c r="T135" s="54">
        <f>P135/10000-S135</f>
        <v>649.209177</v>
      </c>
      <c r="U135" s="38"/>
      <c r="V135" s="55">
        <f>V$94+(T135-T$94-0.7457)*10000/(3298.592+100)</f>
        <v>1908.03567183116</v>
      </c>
    </row>
    <row r="136" ht="15" customHeight="1" spans="1:22">
      <c r="A136" s="21">
        <v>41040</v>
      </c>
      <c r="B136" s="21" t="s">
        <v>1</v>
      </c>
      <c r="C136" s="22">
        <v>59673</v>
      </c>
      <c r="D136" s="8">
        <v>18518</v>
      </c>
      <c r="E136" s="8">
        <v>79501</v>
      </c>
      <c r="F136" s="23">
        <v>4003.8</v>
      </c>
      <c r="G136" s="24">
        <v>2796</v>
      </c>
      <c r="H136" s="25">
        <v>934.5</v>
      </c>
      <c r="I136" s="37">
        <v>671.3</v>
      </c>
      <c r="J136" s="9">
        <f t="shared" si="39"/>
        <v>60983</v>
      </c>
      <c r="K136" s="38">
        <f t="shared" si="40"/>
        <v>515</v>
      </c>
      <c r="L136" s="38">
        <v>795</v>
      </c>
      <c r="M136" s="39">
        <f t="shared" si="37"/>
        <v>637938</v>
      </c>
      <c r="N136" s="40">
        <f t="shared" ref="N136:N155" si="41">N135+D136</f>
        <v>196347</v>
      </c>
      <c r="O136" s="40">
        <f t="shared" ref="O136:O155" si="42">O135+E136</f>
        <v>854039</v>
      </c>
      <c r="P136" s="41">
        <f t="shared" si="36"/>
        <v>7091703.77</v>
      </c>
      <c r="Q136" s="41">
        <f t="shared" si="34"/>
        <v>2604620.1</v>
      </c>
      <c r="R136" s="41">
        <f t="shared" si="35"/>
        <v>9888205.16</v>
      </c>
      <c r="S136" s="54"/>
      <c r="T136" s="38"/>
      <c r="U136" s="38"/>
      <c r="V136" s="9"/>
    </row>
    <row r="137" ht="15" customHeight="1" spans="1:22">
      <c r="A137" s="21">
        <v>41041</v>
      </c>
      <c r="B137" s="21" t="s">
        <v>39</v>
      </c>
      <c r="C137" s="22">
        <v>59590</v>
      </c>
      <c r="D137" s="8">
        <v>19933</v>
      </c>
      <c r="E137" s="8">
        <v>81081</v>
      </c>
      <c r="F137" s="23">
        <v>4179.8</v>
      </c>
      <c r="G137" s="24">
        <v>2712.7</v>
      </c>
      <c r="H137" s="25">
        <v>1028.8</v>
      </c>
      <c r="I137" s="37">
        <v>679</v>
      </c>
      <c r="J137" s="9">
        <f t="shared" si="39"/>
        <v>61148</v>
      </c>
      <c r="K137" s="38">
        <f t="shared" si="40"/>
        <v>763</v>
      </c>
      <c r="L137" s="38">
        <v>795</v>
      </c>
      <c r="M137" s="39">
        <f t="shared" si="37"/>
        <v>697528</v>
      </c>
      <c r="N137" s="40">
        <f t="shared" si="41"/>
        <v>216280</v>
      </c>
      <c r="O137" s="40">
        <f t="shared" si="42"/>
        <v>935120</v>
      </c>
      <c r="P137" s="41">
        <f t="shared" si="36"/>
        <v>7151293.77</v>
      </c>
      <c r="Q137" s="41">
        <f t="shared" si="34"/>
        <v>2624553.1</v>
      </c>
      <c r="R137" s="41">
        <f t="shared" si="35"/>
        <v>9969286.16</v>
      </c>
      <c r="S137" s="54"/>
      <c r="T137" s="38"/>
      <c r="U137" s="38"/>
      <c r="V137" s="9"/>
    </row>
    <row r="138" ht="15" customHeight="1" spans="1:22">
      <c r="A138" s="21">
        <v>41042</v>
      </c>
      <c r="B138" s="21" t="s">
        <v>34</v>
      </c>
      <c r="C138" s="22">
        <v>59499</v>
      </c>
      <c r="D138" s="8">
        <v>20121</v>
      </c>
      <c r="E138" s="8">
        <v>82364</v>
      </c>
      <c r="F138" s="23">
        <v>4170</v>
      </c>
      <c r="G138" s="24">
        <v>2797.6</v>
      </c>
      <c r="H138" s="25">
        <v>1073.8</v>
      </c>
      <c r="I138" s="37">
        <v>714</v>
      </c>
      <c r="J138" s="9">
        <f t="shared" si="39"/>
        <v>62243</v>
      </c>
      <c r="K138" s="38">
        <f t="shared" si="40"/>
        <v>1949</v>
      </c>
      <c r="L138" s="38">
        <v>795</v>
      </c>
      <c r="M138" s="39">
        <f t="shared" si="37"/>
        <v>757027</v>
      </c>
      <c r="N138" s="40">
        <f t="shared" si="41"/>
        <v>236401</v>
      </c>
      <c r="O138" s="40">
        <f t="shared" si="42"/>
        <v>1017484</v>
      </c>
      <c r="P138" s="41">
        <f t="shared" si="36"/>
        <v>7210792.77</v>
      </c>
      <c r="Q138" s="41">
        <f t="shared" si="34"/>
        <v>2644674.1</v>
      </c>
      <c r="R138" s="41">
        <f t="shared" si="35"/>
        <v>10051650.16</v>
      </c>
      <c r="S138" s="54"/>
      <c r="T138" s="38"/>
      <c r="U138" s="38"/>
      <c r="V138" s="9"/>
    </row>
    <row r="139" ht="15" customHeight="1" spans="1:22">
      <c r="A139" s="15">
        <v>41043</v>
      </c>
      <c r="B139" s="15" t="s">
        <v>35</v>
      </c>
      <c r="C139" s="16">
        <v>58955</v>
      </c>
      <c r="D139" s="17">
        <v>19704</v>
      </c>
      <c r="E139" s="17">
        <v>81442</v>
      </c>
      <c r="F139" s="18">
        <v>4120</v>
      </c>
      <c r="G139" s="19">
        <v>2756</v>
      </c>
      <c r="H139" s="20"/>
      <c r="I139" s="20"/>
      <c r="J139" s="33">
        <f t="shared" si="39"/>
        <v>61738</v>
      </c>
      <c r="K139" s="34">
        <f t="shared" si="40"/>
        <v>1988</v>
      </c>
      <c r="L139" s="34">
        <v>795</v>
      </c>
      <c r="M139" s="35">
        <f t="shared" si="37"/>
        <v>815982</v>
      </c>
      <c r="N139" s="36">
        <f t="shared" si="41"/>
        <v>256105</v>
      </c>
      <c r="O139" s="36">
        <f t="shared" si="42"/>
        <v>1098926</v>
      </c>
      <c r="P139" s="35">
        <f t="shared" si="36"/>
        <v>7269747.77</v>
      </c>
      <c r="Q139" s="35">
        <f t="shared" si="34"/>
        <v>2664378.1</v>
      </c>
      <c r="R139" s="35">
        <f t="shared" si="35"/>
        <v>10133092.16</v>
      </c>
      <c r="S139" s="53"/>
      <c r="T139" s="33"/>
      <c r="U139" s="33"/>
      <c r="V139" s="33"/>
    </row>
    <row r="140" ht="15" customHeight="1" spans="1:22">
      <c r="A140" s="21">
        <v>41044</v>
      </c>
      <c r="B140" s="21" t="s">
        <v>36</v>
      </c>
      <c r="C140" s="22">
        <v>59000</v>
      </c>
      <c r="D140" s="8">
        <v>20000</v>
      </c>
      <c r="E140" s="8">
        <v>81500</v>
      </c>
      <c r="F140" s="23">
        <v>4111</v>
      </c>
      <c r="G140" s="24">
        <v>2722</v>
      </c>
      <c r="H140" s="25"/>
      <c r="I140" s="37"/>
      <c r="J140" s="9">
        <f t="shared" si="39"/>
        <v>61500</v>
      </c>
      <c r="K140" s="38">
        <f t="shared" si="40"/>
        <v>1705</v>
      </c>
      <c r="L140" s="38">
        <v>795</v>
      </c>
      <c r="M140" s="39">
        <f t="shared" si="37"/>
        <v>874982</v>
      </c>
      <c r="N140" s="40">
        <f t="shared" si="41"/>
        <v>276105</v>
      </c>
      <c r="O140" s="40">
        <f t="shared" si="42"/>
        <v>1180426</v>
      </c>
      <c r="P140" s="41">
        <f t="shared" si="36"/>
        <v>7328747.77</v>
      </c>
      <c r="Q140" s="41">
        <f t="shared" si="34"/>
        <v>2684378.1</v>
      </c>
      <c r="R140" s="41">
        <f t="shared" si="35"/>
        <v>10214592.16</v>
      </c>
      <c r="S140" s="54">
        <v>56.4939</v>
      </c>
      <c r="T140" s="54">
        <f>P140/10000-S140</f>
        <v>676.380877</v>
      </c>
      <c r="U140" s="38"/>
      <c r="V140" s="38">
        <f>V$94+(T140-T$94-0.7457)*10000/(3298.592+100)</f>
        <v>1987.98554519048</v>
      </c>
    </row>
    <row r="141" ht="15" customHeight="1" spans="1:22">
      <c r="A141" s="21">
        <v>41045</v>
      </c>
      <c r="B141" s="21" t="s">
        <v>37</v>
      </c>
      <c r="C141" s="22">
        <v>58004</v>
      </c>
      <c r="D141" s="8">
        <v>20077</v>
      </c>
      <c r="E141" s="8">
        <v>80580</v>
      </c>
      <c r="F141" s="23">
        <v>4095.3</v>
      </c>
      <c r="G141" s="24">
        <v>2702.4</v>
      </c>
      <c r="H141" s="25"/>
      <c r="I141" s="37"/>
      <c r="J141" s="9">
        <f t="shared" si="39"/>
        <v>60503</v>
      </c>
      <c r="K141" s="38">
        <f t="shared" si="40"/>
        <v>1704</v>
      </c>
      <c r="L141" s="38">
        <v>795</v>
      </c>
      <c r="M141" s="39">
        <f t="shared" si="37"/>
        <v>932986</v>
      </c>
      <c r="N141" s="40">
        <f t="shared" si="41"/>
        <v>296182</v>
      </c>
      <c r="O141" s="40">
        <f t="shared" si="42"/>
        <v>1261006</v>
      </c>
      <c r="P141" s="41">
        <f t="shared" si="36"/>
        <v>7386751.77</v>
      </c>
      <c r="Q141" s="41">
        <f t="shared" si="34"/>
        <v>2704455.1</v>
      </c>
      <c r="R141" s="41">
        <f t="shared" si="35"/>
        <v>10295172.16</v>
      </c>
      <c r="S141" s="54"/>
      <c r="T141" s="38"/>
      <c r="U141" s="38"/>
      <c r="V141" s="9"/>
    </row>
    <row r="142" ht="15" customHeight="1" spans="1:22">
      <c r="A142" s="21">
        <v>41046</v>
      </c>
      <c r="B142" s="21" t="s">
        <v>38</v>
      </c>
      <c r="C142" s="22">
        <v>55979</v>
      </c>
      <c r="D142" s="8">
        <v>19869</v>
      </c>
      <c r="E142" s="8">
        <v>78459</v>
      </c>
      <c r="F142" s="23">
        <v>4066.9</v>
      </c>
      <c r="G142" s="24">
        <v>2700.5</v>
      </c>
      <c r="H142" s="25"/>
      <c r="I142" s="37"/>
      <c r="J142" s="9">
        <f t="shared" si="39"/>
        <v>58590</v>
      </c>
      <c r="K142" s="38">
        <f t="shared" si="40"/>
        <v>1816</v>
      </c>
      <c r="L142" s="38">
        <v>795</v>
      </c>
      <c r="M142" s="39">
        <f t="shared" si="37"/>
        <v>988965</v>
      </c>
      <c r="N142" s="40">
        <f t="shared" si="41"/>
        <v>316051</v>
      </c>
      <c r="O142" s="40">
        <f t="shared" si="42"/>
        <v>1339465</v>
      </c>
      <c r="P142" s="41">
        <f t="shared" si="36"/>
        <v>7442730.77</v>
      </c>
      <c r="Q142" s="41">
        <f t="shared" si="34"/>
        <v>2724324.1</v>
      </c>
      <c r="R142" s="41">
        <f t="shared" si="35"/>
        <v>10373631.16</v>
      </c>
      <c r="S142" s="54"/>
      <c r="T142" s="38"/>
      <c r="U142" s="38"/>
      <c r="V142" s="9"/>
    </row>
    <row r="143" ht="15" customHeight="1" spans="1:22">
      <c r="A143" s="21">
        <v>41047</v>
      </c>
      <c r="B143" s="21" t="s">
        <v>1</v>
      </c>
      <c r="C143" s="22">
        <v>51620</v>
      </c>
      <c r="D143" s="8">
        <v>19564</v>
      </c>
      <c r="E143" s="8">
        <v>73427</v>
      </c>
      <c r="F143" s="23">
        <v>3755.8</v>
      </c>
      <c r="G143" s="24">
        <v>2599.8</v>
      </c>
      <c r="H143" s="25"/>
      <c r="I143" s="37"/>
      <c r="J143" s="9">
        <f t="shared" si="39"/>
        <v>53863</v>
      </c>
      <c r="K143" s="38">
        <f t="shared" si="40"/>
        <v>1490</v>
      </c>
      <c r="L143" s="38">
        <v>753</v>
      </c>
      <c r="M143" s="39">
        <f t="shared" si="37"/>
        <v>1040585</v>
      </c>
      <c r="N143" s="40">
        <f t="shared" si="41"/>
        <v>335615</v>
      </c>
      <c r="O143" s="40">
        <f t="shared" si="42"/>
        <v>1412892</v>
      </c>
      <c r="P143" s="41">
        <f t="shared" si="36"/>
        <v>7494350.77</v>
      </c>
      <c r="Q143" s="41">
        <f t="shared" si="34"/>
        <v>2743888.1</v>
      </c>
      <c r="R143" s="41">
        <f t="shared" si="35"/>
        <v>10447058.16</v>
      </c>
      <c r="S143" s="54"/>
      <c r="T143" s="38"/>
      <c r="U143" s="38"/>
      <c r="V143" s="9"/>
    </row>
    <row r="144" ht="15" customHeight="1" spans="1:22">
      <c r="A144" s="21">
        <v>41048</v>
      </c>
      <c r="B144" s="21" t="s">
        <v>39</v>
      </c>
      <c r="C144" s="22">
        <v>54285</v>
      </c>
      <c r="D144" s="8">
        <v>20412</v>
      </c>
      <c r="E144" s="8">
        <v>77347</v>
      </c>
      <c r="F144" s="23">
        <v>4045.5</v>
      </c>
      <c r="G144" s="24">
        <v>2531.7</v>
      </c>
      <c r="H144" s="25"/>
      <c r="I144" s="37"/>
      <c r="J144" s="9">
        <f t="shared" si="39"/>
        <v>56935</v>
      </c>
      <c r="K144" s="38">
        <f t="shared" si="40"/>
        <v>2015</v>
      </c>
      <c r="L144" s="38">
        <v>635</v>
      </c>
      <c r="M144" s="39">
        <f t="shared" si="37"/>
        <v>1094870</v>
      </c>
      <c r="N144" s="40">
        <f t="shared" si="41"/>
        <v>356027</v>
      </c>
      <c r="O144" s="40">
        <f t="shared" si="42"/>
        <v>1490239</v>
      </c>
      <c r="P144" s="41">
        <f t="shared" si="36"/>
        <v>7548635.77</v>
      </c>
      <c r="Q144" s="41">
        <f t="shared" si="34"/>
        <v>2764300.1</v>
      </c>
      <c r="R144" s="41">
        <f t="shared" si="35"/>
        <v>10524405.16</v>
      </c>
      <c r="S144" s="54"/>
      <c r="T144" s="38"/>
      <c r="U144" s="38"/>
      <c r="V144" s="9"/>
    </row>
    <row r="145" ht="15" customHeight="1" spans="1:22">
      <c r="A145" s="21">
        <v>41049</v>
      </c>
      <c r="B145" s="21" t="s">
        <v>34</v>
      </c>
      <c r="C145" s="22">
        <v>55892</v>
      </c>
      <c r="D145" s="8">
        <v>19708</v>
      </c>
      <c r="E145" s="8">
        <v>78742</v>
      </c>
      <c r="F145" s="23">
        <v>4027.7</v>
      </c>
      <c r="G145" s="24">
        <v>2658.4</v>
      </c>
      <c r="H145" s="25"/>
      <c r="I145" s="37"/>
      <c r="J145" s="9">
        <f t="shared" si="39"/>
        <v>59034</v>
      </c>
      <c r="K145" s="38">
        <f t="shared" si="40"/>
        <v>2508</v>
      </c>
      <c r="L145" s="38">
        <v>634</v>
      </c>
      <c r="M145" s="39">
        <f t="shared" si="37"/>
        <v>1150762</v>
      </c>
      <c r="N145" s="40">
        <f t="shared" si="41"/>
        <v>375735</v>
      </c>
      <c r="O145" s="40">
        <f t="shared" si="42"/>
        <v>1568981</v>
      </c>
      <c r="P145" s="41">
        <f t="shared" si="36"/>
        <v>7604527.77</v>
      </c>
      <c r="Q145" s="41">
        <f t="shared" si="34"/>
        <v>2784008.1</v>
      </c>
      <c r="R145" s="41">
        <f t="shared" si="35"/>
        <v>10603147.16</v>
      </c>
      <c r="S145" s="54">
        <v>59.4849</v>
      </c>
      <c r="T145" s="54">
        <f>P145/10000-S145</f>
        <v>700.967877</v>
      </c>
      <c r="U145" s="38"/>
      <c r="V145" s="55">
        <f>V$94+(T145-T$94-0.7457)*10000/(3298.592+100)</f>
        <v>2060.33021027531</v>
      </c>
    </row>
    <row r="146" ht="15" customHeight="1" spans="1:22">
      <c r="A146" s="15">
        <v>41050</v>
      </c>
      <c r="B146" s="15" t="s">
        <v>35</v>
      </c>
      <c r="C146" s="16">
        <v>56687</v>
      </c>
      <c r="D146" s="17">
        <v>20511</v>
      </c>
      <c r="E146" s="17">
        <v>80696</v>
      </c>
      <c r="F146" s="18">
        <v>4111</v>
      </c>
      <c r="G146" s="19">
        <v>2704</v>
      </c>
      <c r="H146" s="20"/>
      <c r="I146" s="20"/>
      <c r="J146" s="33">
        <f t="shared" si="39"/>
        <v>60185</v>
      </c>
      <c r="K146" s="34">
        <f t="shared" si="40"/>
        <v>2864</v>
      </c>
      <c r="L146" s="34">
        <v>634</v>
      </c>
      <c r="M146" s="35">
        <f t="shared" si="37"/>
        <v>1207449</v>
      </c>
      <c r="N146" s="36">
        <f t="shared" si="41"/>
        <v>396246</v>
      </c>
      <c r="O146" s="36">
        <f t="shared" si="42"/>
        <v>1649677</v>
      </c>
      <c r="P146" s="35">
        <f t="shared" si="36"/>
        <v>7661214.77</v>
      </c>
      <c r="Q146" s="35">
        <f t="shared" si="34"/>
        <v>2804519.1</v>
      </c>
      <c r="R146" s="35">
        <f t="shared" si="35"/>
        <v>10683843.16</v>
      </c>
      <c r="S146" s="53"/>
      <c r="T146" s="33"/>
      <c r="U146" s="33"/>
      <c r="V146" s="33"/>
    </row>
    <row r="147" ht="15" customHeight="1" spans="1:22">
      <c r="A147" s="21">
        <v>41051</v>
      </c>
      <c r="B147" s="21" t="s">
        <v>36</v>
      </c>
      <c r="C147" s="22">
        <v>55136</v>
      </c>
      <c r="D147" s="8">
        <v>21665</v>
      </c>
      <c r="E147" s="8">
        <v>79971</v>
      </c>
      <c r="F147" s="23">
        <v>4099</v>
      </c>
      <c r="G147" s="24">
        <v>2750</v>
      </c>
      <c r="H147" s="25"/>
      <c r="I147" s="37"/>
      <c r="J147" s="9">
        <f t="shared" si="39"/>
        <v>58306</v>
      </c>
      <c r="K147" s="38">
        <f t="shared" si="40"/>
        <v>2536</v>
      </c>
      <c r="L147" s="38">
        <v>634</v>
      </c>
      <c r="M147" s="39">
        <f t="shared" si="37"/>
        <v>1262585</v>
      </c>
      <c r="N147" s="40">
        <f t="shared" si="41"/>
        <v>417911</v>
      </c>
      <c r="O147" s="40">
        <f t="shared" si="42"/>
        <v>1729648</v>
      </c>
      <c r="P147" s="41">
        <f t="shared" si="36"/>
        <v>7716350.77</v>
      </c>
      <c r="Q147" s="41">
        <f t="shared" si="34"/>
        <v>2826184.1</v>
      </c>
      <c r="R147" s="41">
        <f t="shared" si="35"/>
        <v>10763814.16</v>
      </c>
      <c r="S147" s="54">
        <v>60.5849</v>
      </c>
      <c r="T147" s="54">
        <f>P147/10000-S147</f>
        <v>711.050177</v>
      </c>
      <c r="U147" s="38"/>
      <c r="V147" s="38">
        <f>V$94+(T147-T$94-0.7457)*10000/(3298.592+100)</f>
        <v>2089.99631906389</v>
      </c>
    </row>
    <row r="148" ht="15" customHeight="1" spans="1:22">
      <c r="A148" s="21">
        <v>41052</v>
      </c>
      <c r="B148" s="21" t="s">
        <v>37</v>
      </c>
      <c r="C148" s="22">
        <v>56300</v>
      </c>
      <c r="D148" s="8">
        <v>21000</v>
      </c>
      <c r="E148" s="8">
        <v>79800</v>
      </c>
      <c r="F148" s="23">
        <v>4074</v>
      </c>
      <c r="G148" s="24">
        <v>2686</v>
      </c>
      <c r="H148" s="25"/>
      <c r="I148" s="37"/>
      <c r="J148" s="9">
        <f t="shared" si="39"/>
        <v>58800</v>
      </c>
      <c r="K148" s="38">
        <f t="shared" si="40"/>
        <v>1868</v>
      </c>
      <c r="L148" s="38">
        <v>632</v>
      </c>
      <c r="M148" s="39">
        <f t="shared" si="37"/>
        <v>1318885</v>
      </c>
      <c r="N148" s="40">
        <f t="shared" si="41"/>
        <v>438911</v>
      </c>
      <c r="O148" s="40">
        <f t="shared" si="42"/>
        <v>1809448</v>
      </c>
      <c r="P148" s="41">
        <f t="shared" si="36"/>
        <v>7772650.77</v>
      </c>
      <c r="Q148" s="41">
        <f t="shared" si="34"/>
        <v>2847184.1</v>
      </c>
      <c r="R148" s="41">
        <f t="shared" si="35"/>
        <v>10843614.16</v>
      </c>
      <c r="S148" s="54"/>
      <c r="T148" s="38"/>
      <c r="U148" s="38"/>
      <c r="V148" s="9"/>
    </row>
    <row r="149" ht="15" customHeight="1" spans="1:22">
      <c r="A149" s="21">
        <v>41053</v>
      </c>
      <c r="B149" s="21" t="s">
        <v>38</v>
      </c>
      <c r="C149" s="22">
        <v>56300</v>
      </c>
      <c r="D149" s="8">
        <v>19900</v>
      </c>
      <c r="E149" s="8">
        <v>77900</v>
      </c>
      <c r="F149" s="23">
        <v>4052</v>
      </c>
      <c r="G149" s="24">
        <v>2675</v>
      </c>
      <c r="H149" s="25"/>
      <c r="I149" s="37"/>
      <c r="J149" s="9">
        <f t="shared" si="39"/>
        <v>58000</v>
      </c>
      <c r="K149" s="38">
        <f t="shared" si="40"/>
        <v>1068</v>
      </c>
      <c r="L149" s="38">
        <v>632</v>
      </c>
      <c r="M149" s="39">
        <f t="shared" si="37"/>
        <v>1375185</v>
      </c>
      <c r="N149" s="40">
        <f t="shared" si="41"/>
        <v>458811</v>
      </c>
      <c r="O149" s="40">
        <f t="shared" si="42"/>
        <v>1887348</v>
      </c>
      <c r="P149" s="41">
        <f t="shared" si="36"/>
        <v>7828950.77</v>
      </c>
      <c r="Q149" s="41">
        <f t="shared" si="34"/>
        <v>2867084.1</v>
      </c>
      <c r="R149" s="41">
        <f t="shared" si="35"/>
        <v>10921514.16</v>
      </c>
      <c r="S149" s="54">
        <f>S147+0.55*2</f>
        <v>61.6849</v>
      </c>
      <c r="T149" s="54">
        <f>P149/10000-S149</f>
        <v>721.210177</v>
      </c>
      <c r="U149" s="38"/>
      <c r="V149" s="38">
        <f>V$94+(T149-T$94-0.7457)*10000/(3298.592+100)</f>
        <v>2119.89105194151</v>
      </c>
    </row>
    <row r="150" ht="15" customHeight="1" spans="1:22">
      <c r="A150" s="21">
        <v>41054</v>
      </c>
      <c r="B150" s="21" t="s">
        <v>1</v>
      </c>
      <c r="C150" s="22">
        <v>56300</v>
      </c>
      <c r="D150" s="8">
        <v>18500</v>
      </c>
      <c r="E150" s="8">
        <v>77900</v>
      </c>
      <c r="F150" s="23">
        <v>3901</v>
      </c>
      <c r="G150" s="24">
        <v>2707</v>
      </c>
      <c r="H150" s="25"/>
      <c r="I150" s="37"/>
      <c r="J150" s="9">
        <f t="shared" si="39"/>
        <v>59400</v>
      </c>
      <c r="K150" s="38">
        <f t="shared" si="40"/>
        <v>2467</v>
      </c>
      <c r="L150" s="38">
        <v>633</v>
      </c>
      <c r="M150" s="39">
        <f t="shared" si="37"/>
        <v>1431485</v>
      </c>
      <c r="N150" s="40">
        <f t="shared" si="41"/>
        <v>477311</v>
      </c>
      <c r="O150" s="40">
        <f t="shared" si="42"/>
        <v>1965248</v>
      </c>
      <c r="P150" s="41">
        <f t="shared" si="36"/>
        <v>7885250.77</v>
      </c>
      <c r="Q150" s="41">
        <f t="shared" si="34"/>
        <v>2885584.1</v>
      </c>
      <c r="R150" s="41">
        <f t="shared" si="35"/>
        <v>10999414.16</v>
      </c>
      <c r="S150" s="54"/>
      <c r="T150" s="38"/>
      <c r="U150" s="38"/>
      <c r="V150" s="9"/>
    </row>
    <row r="151" ht="15" customHeight="1" spans="1:22">
      <c r="A151" s="21">
        <v>41055</v>
      </c>
      <c r="B151" s="21" t="s">
        <v>39</v>
      </c>
      <c r="C151" s="22">
        <v>56744</v>
      </c>
      <c r="D151" s="8">
        <v>21359</v>
      </c>
      <c r="E151" s="8">
        <v>81387</v>
      </c>
      <c r="F151" s="23">
        <v>4186</v>
      </c>
      <c r="G151" s="24">
        <v>2637</v>
      </c>
      <c r="H151" s="25"/>
      <c r="I151" s="37"/>
      <c r="J151" s="9">
        <f t="shared" si="39"/>
        <v>60028</v>
      </c>
      <c r="K151" s="38">
        <f t="shared" si="40"/>
        <v>2650</v>
      </c>
      <c r="L151" s="38">
        <v>634</v>
      </c>
      <c r="M151" s="39">
        <f t="shared" si="37"/>
        <v>1488229</v>
      </c>
      <c r="N151" s="40">
        <f t="shared" si="41"/>
        <v>498670</v>
      </c>
      <c r="O151" s="40">
        <f t="shared" si="42"/>
        <v>2046635</v>
      </c>
      <c r="P151" s="41">
        <f t="shared" si="36"/>
        <v>7941994.77</v>
      </c>
      <c r="Q151" s="41">
        <f t="shared" si="34"/>
        <v>2906943.1</v>
      </c>
      <c r="R151" s="41">
        <f t="shared" si="35"/>
        <v>11080801.16</v>
      </c>
      <c r="S151" s="54"/>
      <c r="T151" s="38"/>
      <c r="U151" s="38"/>
      <c r="V151" s="9"/>
    </row>
    <row r="152" ht="15" customHeight="1" spans="1:22">
      <c r="A152" s="21">
        <v>41056</v>
      </c>
      <c r="B152" s="21" t="s">
        <v>34</v>
      </c>
      <c r="C152" s="22">
        <v>57896</v>
      </c>
      <c r="D152" s="8">
        <v>23387</v>
      </c>
      <c r="E152" s="8">
        <v>84317</v>
      </c>
      <c r="F152" s="23">
        <v>4243</v>
      </c>
      <c r="G152" s="24">
        <v>2776</v>
      </c>
      <c r="H152" s="25"/>
      <c r="I152" s="37"/>
      <c r="J152" s="9">
        <f t="shared" si="39"/>
        <v>60930</v>
      </c>
      <c r="K152" s="38">
        <f t="shared" si="40"/>
        <v>2400</v>
      </c>
      <c r="L152" s="38">
        <v>634</v>
      </c>
      <c r="M152" s="39">
        <f t="shared" si="37"/>
        <v>1546125</v>
      </c>
      <c r="N152" s="40">
        <f t="shared" si="41"/>
        <v>522057</v>
      </c>
      <c r="O152" s="40">
        <f t="shared" si="42"/>
        <v>2130952</v>
      </c>
      <c r="P152" s="41">
        <f t="shared" si="36"/>
        <v>7999890.77</v>
      </c>
      <c r="Q152" s="41">
        <f t="shared" si="34"/>
        <v>2930330.1</v>
      </c>
      <c r="R152" s="41">
        <f t="shared" si="35"/>
        <v>11165118.16</v>
      </c>
      <c r="S152" s="54"/>
      <c r="T152" s="38"/>
      <c r="U152" s="38"/>
      <c r="V152" s="9"/>
    </row>
    <row r="153" ht="15" customHeight="1" spans="1:22">
      <c r="A153" s="15">
        <v>41057</v>
      </c>
      <c r="B153" s="15" t="s">
        <v>35</v>
      </c>
      <c r="C153" s="16">
        <v>59953</v>
      </c>
      <c r="D153" s="17">
        <v>23872</v>
      </c>
      <c r="E153" s="17">
        <v>86520</v>
      </c>
      <c r="F153" s="18">
        <v>4338</v>
      </c>
      <c r="G153" s="19">
        <v>2880</v>
      </c>
      <c r="H153" s="20"/>
      <c r="I153" s="20"/>
      <c r="J153" s="33">
        <f t="shared" si="39"/>
        <v>62648</v>
      </c>
      <c r="K153" s="34">
        <f t="shared" si="40"/>
        <v>2061</v>
      </c>
      <c r="L153" s="34">
        <v>634</v>
      </c>
      <c r="M153" s="35">
        <f t="shared" si="37"/>
        <v>1606078</v>
      </c>
      <c r="N153" s="36">
        <f t="shared" si="41"/>
        <v>545929</v>
      </c>
      <c r="O153" s="36">
        <f t="shared" si="42"/>
        <v>2217472</v>
      </c>
      <c r="P153" s="35">
        <f t="shared" si="36"/>
        <v>8059843.77</v>
      </c>
      <c r="Q153" s="35">
        <f t="shared" si="34"/>
        <v>2954202.1</v>
      </c>
      <c r="R153" s="35">
        <f t="shared" si="35"/>
        <v>11251638.16</v>
      </c>
      <c r="S153" s="53"/>
      <c r="T153" s="33"/>
      <c r="U153" s="33"/>
      <c r="V153" s="33"/>
    </row>
    <row r="154" ht="15" customHeight="1" spans="1:22">
      <c r="A154" s="21">
        <v>41058</v>
      </c>
      <c r="B154" s="21" t="s">
        <v>36</v>
      </c>
      <c r="C154" s="22">
        <v>60435</v>
      </c>
      <c r="D154" s="8">
        <v>24335</v>
      </c>
      <c r="E154" s="8">
        <v>87643</v>
      </c>
      <c r="F154" s="23">
        <v>4454</v>
      </c>
      <c r="G154" s="24">
        <v>2938</v>
      </c>
      <c r="H154" s="25"/>
      <c r="I154" s="37"/>
      <c r="J154" s="9">
        <f t="shared" si="39"/>
        <v>63308</v>
      </c>
      <c r="K154" s="38">
        <f t="shared" si="40"/>
        <v>2239</v>
      </c>
      <c r="L154" s="38">
        <v>634</v>
      </c>
      <c r="M154" s="39">
        <f t="shared" si="37"/>
        <v>1666513</v>
      </c>
      <c r="N154" s="40">
        <f t="shared" si="41"/>
        <v>570264</v>
      </c>
      <c r="O154" s="40">
        <f t="shared" si="42"/>
        <v>2305115</v>
      </c>
      <c r="P154" s="41">
        <f t="shared" si="36"/>
        <v>8120278.77</v>
      </c>
      <c r="Q154" s="41">
        <f t="shared" si="34"/>
        <v>2978537.1</v>
      </c>
      <c r="R154" s="41">
        <f t="shared" si="35"/>
        <v>11339281.16</v>
      </c>
      <c r="S154" s="54">
        <v>64.4349</v>
      </c>
      <c r="T154" s="54">
        <f>P154/10000-S154</f>
        <v>747.592977</v>
      </c>
      <c r="U154" s="38"/>
      <c r="V154" s="38">
        <v>2197</v>
      </c>
    </row>
    <row r="155" ht="15" customHeight="1" spans="1:22">
      <c r="A155" s="21">
        <v>41059</v>
      </c>
      <c r="B155" s="21" t="s">
        <v>37</v>
      </c>
      <c r="C155" s="22">
        <v>57266</v>
      </c>
      <c r="D155" s="8">
        <v>24727</v>
      </c>
      <c r="E155" s="8">
        <v>87076</v>
      </c>
      <c r="F155" s="23">
        <v>4349</v>
      </c>
      <c r="G155" s="24">
        <v>2953</v>
      </c>
      <c r="H155" s="25"/>
      <c r="I155" s="37"/>
      <c r="J155" s="9">
        <f t="shared" si="39"/>
        <v>62349</v>
      </c>
      <c r="K155" s="38">
        <f t="shared" si="40"/>
        <v>4449</v>
      </c>
      <c r="L155" s="38">
        <v>634</v>
      </c>
      <c r="M155" s="39">
        <f t="shared" si="37"/>
        <v>1723779</v>
      </c>
      <c r="N155" s="40">
        <f t="shared" si="41"/>
        <v>594991</v>
      </c>
      <c r="O155" s="40">
        <f t="shared" si="42"/>
        <v>2392191</v>
      </c>
      <c r="P155" s="41">
        <f t="shared" si="36"/>
        <v>8177544.77</v>
      </c>
      <c r="Q155" s="41">
        <f t="shared" si="34"/>
        <v>3003264.1</v>
      </c>
      <c r="R155" s="41">
        <f t="shared" si="35"/>
        <v>11426357.16</v>
      </c>
      <c r="S155" s="54"/>
      <c r="T155" s="38"/>
      <c r="U155" s="38"/>
      <c r="V155" s="9"/>
    </row>
    <row r="156" s="1" customFormat="1" ht="15" customHeight="1" spans="1:22">
      <c r="A156" s="26">
        <v>41060</v>
      </c>
      <c r="B156" s="26" t="s">
        <v>38</v>
      </c>
      <c r="C156" s="27">
        <v>57619</v>
      </c>
      <c r="D156" s="28">
        <v>20422</v>
      </c>
      <c r="E156" s="28">
        <v>81220</v>
      </c>
      <c r="F156" s="29">
        <v>4164</v>
      </c>
      <c r="G156" s="30">
        <v>2886</v>
      </c>
      <c r="H156" s="31"/>
      <c r="I156" s="31"/>
      <c r="J156" s="43">
        <f t="shared" si="39"/>
        <v>60798</v>
      </c>
      <c r="K156" s="44">
        <f t="shared" si="40"/>
        <v>2545</v>
      </c>
      <c r="L156" s="44">
        <v>634</v>
      </c>
      <c r="M156" s="45">
        <v>1781398</v>
      </c>
      <c r="N156" s="47">
        <v>615413</v>
      </c>
      <c r="O156" s="47">
        <v>2473411</v>
      </c>
      <c r="P156" s="45">
        <f t="shared" si="36"/>
        <v>8235163.77</v>
      </c>
      <c r="Q156" s="45">
        <f t="shared" si="34"/>
        <v>3023686.1</v>
      </c>
      <c r="R156" s="45">
        <f t="shared" si="35"/>
        <v>11507577.16</v>
      </c>
      <c r="S156" s="56">
        <v>64.769</v>
      </c>
      <c r="T156" s="56">
        <f>P156/10000-S156</f>
        <v>758.747377</v>
      </c>
      <c r="U156" s="44"/>
      <c r="V156" s="44">
        <f>V$94+(T156-T$94-2.4815)*10000/(3298.592+102)</f>
        <v>2223.92417849598</v>
      </c>
    </row>
    <row r="157" ht="15" customHeight="1" spans="1:22">
      <c r="A157" s="21">
        <v>41061</v>
      </c>
      <c r="B157" s="21" t="s">
        <v>1</v>
      </c>
      <c r="C157" s="22">
        <v>50500</v>
      </c>
      <c r="D157" s="8">
        <v>17500</v>
      </c>
      <c r="E157" s="8">
        <v>70135</v>
      </c>
      <c r="F157" s="23">
        <v>3444</v>
      </c>
      <c r="G157" s="24">
        <v>2615</v>
      </c>
      <c r="H157" s="25"/>
      <c r="I157" s="37"/>
      <c r="J157" s="9">
        <f t="shared" si="39"/>
        <v>52635</v>
      </c>
      <c r="K157" s="38">
        <f t="shared" si="40"/>
        <v>1500</v>
      </c>
      <c r="L157" s="38">
        <v>635</v>
      </c>
      <c r="M157" s="39">
        <f>C157</f>
        <v>50500</v>
      </c>
      <c r="N157" s="40">
        <f>D157</f>
        <v>17500</v>
      </c>
      <c r="O157" s="40">
        <f>E157</f>
        <v>70135</v>
      </c>
      <c r="P157" s="41">
        <f>P$156+M157</f>
        <v>8285663.77</v>
      </c>
      <c r="Q157" s="41">
        <f>Q$156+N157</f>
        <v>3041186.1</v>
      </c>
      <c r="R157" s="41">
        <f>R$156+O157</f>
        <v>11577712.16</v>
      </c>
      <c r="S157" s="54"/>
      <c r="T157" s="38"/>
      <c r="U157" s="38"/>
      <c r="V157" s="58">
        <f>V156-V125</f>
        <v>471.373778212568</v>
      </c>
    </row>
    <row r="158" ht="15" customHeight="1" spans="1:22">
      <c r="A158" s="21">
        <v>41062</v>
      </c>
      <c r="B158" s="21" t="s">
        <v>39</v>
      </c>
      <c r="C158" s="22">
        <v>39300</v>
      </c>
      <c r="D158" s="8">
        <v>16800</v>
      </c>
      <c r="E158" s="8">
        <v>58200</v>
      </c>
      <c r="F158" s="23">
        <v>2641</v>
      </c>
      <c r="G158" s="24">
        <v>2313</v>
      </c>
      <c r="H158" s="25"/>
      <c r="I158" s="37"/>
      <c r="J158" s="9">
        <f t="shared" si="39"/>
        <v>41400</v>
      </c>
      <c r="K158" s="38">
        <f t="shared" si="40"/>
        <v>1465</v>
      </c>
      <c r="L158" s="38">
        <v>635</v>
      </c>
      <c r="M158" s="39">
        <f t="shared" ref="M158:M186" si="43">M157+C158</f>
        <v>89800</v>
      </c>
      <c r="N158" s="40">
        <f t="shared" ref="N158:N186" si="44">N157+D158</f>
        <v>34300</v>
      </c>
      <c r="O158" s="40">
        <f t="shared" ref="O158:O186" si="45">O157+E158</f>
        <v>128335</v>
      </c>
      <c r="P158" s="41">
        <f t="shared" ref="P158:P185" si="46">P$156+M158</f>
        <v>8324963.77</v>
      </c>
      <c r="Q158" s="41">
        <f t="shared" ref="Q158:Q186" si="47">Q$156+N158</f>
        <v>3057986.1</v>
      </c>
      <c r="R158" s="41">
        <f t="shared" ref="R158:R186" si="48">R$156+O158</f>
        <v>11635912.16</v>
      </c>
      <c r="S158" s="54"/>
      <c r="T158" s="38"/>
      <c r="U158" s="38"/>
      <c r="V158" s="9"/>
    </row>
    <row r="159" ht="15" customHeight="1" spans="1:22">
      <c r="A159" s="21">
        <v>41063</v>
      </c>
      <c r="B159" s="21" t="s">
        <v>34</v>
      </c>
      <c r="C159" s="22">
        <v>51160</v>
      </c>
      <c r="D159" s="8">
        <v>20900</v>
      </c>
      <c r="E159" s="8">
        <v>74700</v>
      </c>
      <c r="F159" s="23">
        <v>3939</v>
      </c>
      <c r="G159" s="24">
        <v>2144</v>
      </c>
      <c r="H159" s="25"/>
      <c r="I159" s="37"/>
      <c r="J159" s="9">
        <f t="shared" si="39"/>
        <v>53800</v>
      </c>
      <c r="K159" s="38">
        <f t="shared" si="40"/>
        <v>2005</v>
      </c>
      <c r="L159" s="38">
        <v>635</v>
      </c>
      <c r="M159" s="39">
        <f t="shared" si="43"/>
        <v>140960</v>
      </c>
      <c r="N159" s="40">
        <f t="shared" si="44"/>
        <v>55200</v>
      </c>
      <c r="O159" s="40">
        <f t="shared" si="45"/>
        <v>203035</v>
      </c>
      <c r="P159" s="41">
        <f t="shared" si="46"/>
        <v>8376123.77</v>
      </c>
      <c r="Q159" s="41">
        <f t="shared" si="47"/>
        <v>3078886.1</v>
      </c>
      <c r="R159" s="41">
        <f t="shared" si="48"/>
        <v>11710612.16</v>
      </c>
      <c r="S159" s="54"/>
      <c r="T159" s="38"/>
      <c r="U159" s="38"/>
      <c r="V159" s="9"/>
    </row>
    <row r="160" ht="15" customHeight="1" spans="1:22">
      <c r="A160" s="15">
        <v>41064</v>
      </c>
      <c r="B160" s="15" t="s">
        <v>35</v>
      </c>
      <c r="C160" s="16">
        <v>55800</v>
      </c>
      <c r="D160" s="17">
        <v>23700</v>
      </c>
      <c r="E160" s="17">
        <v>82300</v>
      </c>
      <c r="F160" s="18">
        <v>4172</v>
      </c>
      <c r="G160" s="19">
        <v>2677</v>
      </c>
      <c r="H160" s="20"/>
      <c r="I160" s="20"/>
      <c r="J160" s="33">
        <f t="shared" si="39"/>
        <v>58600</v>
      </c>
      <c r="K160" s="34">
        <f t="shared" si="40"/>
        <v>2165</v>
      </c>
      <c r="L160" s="34">
        <v>635</v>
      </c>
      <c r="M160" s="35">
        <f t="shared" si="43"/>
        <v>196760</v>
      </c>
      <c r="N160" s="36">
        <f t="shared" si="44"/>
        <v>78900</v>
      </c>
      <c r="O160" s="36">
        <f t="shared" si="45"/>
        <v>285335</v>
      </c>
      <c r="P160" s="35">
        <f t="shared" si="46"/>
        <v>8431923.77</v>
      </c>
      <c r="Q160" s="35">
        <f t="shared" si="47"/>
        <v>3102586.1</v>
      </c>
      <c r="R160" s="35">
        <f t="shared" si="48"/>
        <v>11792912.16</v>
      </c>
      <c r="S160" s="53"/>
      <c r="T160" s="33"/>
      <c r="U160" s="33"/>
      <c r="V160" s="33"/>
    </row>
    <row r="161" ht="15" customHeight="1" spans="1:22">
      <c r="A161" s="21">
        <v>41065</v>
      </c>
      <c r="B161" s="21" t="s">
        <v>36</v>
      </c>
      <c r="C161" s="22">
        <v>57500</v>
      </c>
      <c r="D161" s="8">
        <v>23100</v>
      </c>
      <c r="E161" s="8">
        <v>81700</v>
      </c>
      <c r="F161" s="23">
        <v>4300</v>
      </c>
      <c r="G161" s="24">
        <v>2875</v>
      </c>
      <c r="H161" s="25"/>
      <c r="I161" s="37"/>
      <c r="J161" s="9">
        <f t="shared" si="39"/>
        <v>58600</v>
      </c>
      <c r="K161" s="38">
        <f t="shared" si="40"/>
        <v>465</v>
      </c>
      <c r="L161" s="38">
        <v>635</v>
      </c>
      <c r="M161" s="39">
        <f t="shared" si="43"/>
        <v>254260</v>
      </c>
      <c r="N161" s="40">
        <f t="shared" si="44"/>
        <v>102000</v>
      </c>
      <c r="O161" s="40">
        <f t="shared" si="45"/>
        <v>367035</v>
      </c>
      <c r="P161" s="41">
        <f t="shared" si="46"/>
        <v>8489423.77</v>
      </c>
      <c r="Q161" s="41">
        <f t="shared" si="47"/>
        <v>3125686.1</v>
      </c>
      <c r="R161" s="41">
        <f t="shared" si="48"/>
        <v>11874612.16</v>
      </c>
      <c r="S161" s="54">
        <v>67.269</v>
      </c>
      <c r="T161" s="54">
        <f>P161/10000-S161</f>
        <v>781.673377</v>
      </c>
      <c r="U161" s="38"/>
      <c r="V161" s="38">
        <f>V$155+(T161-T$155)*10000/(3298.592+202)</f>
        <v>2232.97481397432</v>
      </c>
    </row>
    <row r="162" ht="15" customHeight="1" spans="1:22">
      <c r="A162" s="21">
        <v>41066</v>
      </c>
      <c r="B162" s="21" t="s">
        <v>37</v>
      </c>
      <c r="C162" s="22">
        <v>62000</v>
      </c>
      <c r="D162" s="8">
        <v>22700</v>
      </c>
      <c r="E162" s="8">
        <v>88000</v>
      </c>
      <c r="F162" s="23">
        <v>4400</v>
      </c>
      <c r="G162" s="24">
        <v>2850</v>
      </c>
      <c r="H162" s="25"/>
      <c r="I162" s="37"/>
      <c r="J162" s="9">
        <f t="shared" si="39"/>
        <v>65300</v>
      </c>
      <c r="K162" s="38">
        <f t="shared" si="40"/>
        <v>2989</v>
      </c>
      <c r="L162" s="38">
        <v>311</v>
      </c>
      <c r="M162" s="39">
        <f t="shared" si="43"/>
        <v>316260</v>
      </c>
      <c r="N162" s="40">
        <f t="shared" si="44"/>
        <v>124700</v>
      </c>
      <c r="O162" s="40">
        <f t="shared" si="45"/>
        <v>455035</v>
      </c>
      <c r="P162" s="41">
        <f t="shared" si="46"/>
        <v>8551423.77</v>
      </c>
      <c r="Q162" s="41">
        <f t="shared" si="47"/>
        <v>3148386.1</v>
      </c>
      <c r="R162" s="41">
        <f t="shared" si="48"/>
        <v>11962612.16</v>
      </c>
      <c r="S162" s="54"/>
      <c r="T162" s="38"/>
      <c r="U162" s="38"/>
      <c r="V162" s="9"/>
    </row>
    <row r="163" ht="15" customHeight="1" spans="1:22">
      <c r="A163" s="21">
        <v>41067</v>
      </c>
      <c r="B163" s="21" t="s">
        <v>38</v>
      </c>
      <c r="C163" s="22">
        <v>62000</v>
      </c>
      <c r="D163" s="8">
        <v>23000</v>
      </c>
      <c r="E163" s="8">
        <v>88000</v>
      </c>
      <c r="F163" s="23">
        <v>4400</v>
      </c>
      <c r="G163" s="24">
        <v>2850</v>
      </c>
      <c r="H163" s="25"/>
      <c r="I163" s="37"/>
      <c r="J163" s="9">
        <f t="shared" si="39"/>
        <v>65000</v>
      </c>
      <c r="K163" s="38">
        <f t="shared" si="40"/>
        <v>3000</v>
      </c>
      <c r="L163" s="38">
        <v>0</v>
      </c>
      <c r="M163" s="39">
        <f t="shared" si="43"/>
        <v>378260</v>
      </c>
      <c r="N163" s="40">
        <f t="shared" si="44"/>
        <v>147700</v>
      </c>
      <c r="O163" s="40">
        <f t="shared" si="45"/>
        <v>543035</v>
      </c>
      <c r="P163" s="41">
        <f t="shared" si="46"/>
        <v>8613423.77</v>
      </c>
      <c r="Q163" s="41">
        <f t="shared" si="47"/>
        <v>3171386.1</v>
      </c>
      <c r="R163" s="41">
        <f t="shared" si="48"/>
        <v>12050612.16</v>
      </c>
      <c r="S163" s="54"/>
      <c r="T163" s="38"/>
      <c r="U163" s="38"/>
      <c r="V163" s="38"/>
    </row>
    <row r="164" ht="15" customHeight="1" spans="1:22">
      <c r="A164" s="21">
        <v>41068</v>
      </c>
      <c r="B164" s="21" t="s">
        <v>1</v>
      </c>
      <c r="C164" s="22">
        <v>62513</v>
      </c>
      <c r="D164" s="8">
        <v>22110</v>
      </c>
      <c r="E164" s="8">
        <v>87122</v>
      </c>
      <c r="F164" s="23">
        <v>4250</v>
      </c>
      <c r="G164" s="24">
        <v>2880</v>
      </c>
      <c r="H164" s="25"/>
      <c r="I164" s="37"/>
      <c r="J164" s="9">
        <f t="shared" si="39"/>
        <v>65012</v>
      </c>
      <c r="K164" s="38">
        <f t="shared" si="40"/>
        <v>2499</v>
      </c>
      <c r="L164" s="38">
        <v>0</v>
      </c>
      <c r="M164" s="39">
        <f t="shared" si="43"/>
        <v>440773</v>
      </c>
      <c r="N164" s="40">
        <f t="shared" si="44"/>
        <v>169810</v>
      </c>
      <c r="O164" s="40">
        <f t="shared" si="45"/>
        <v>630157</v>
      </c>
      <c r="P164" s="41">
        <f t="shared" si="46"/>
        <v>8675936.77</v>
      </c>
      <c r="Q164" s="41">
        <f t="shared" si="47"/>
        <v>3193496.1</v>
      </c>
      <c r="R164" s="41">
        <f t="shared" si="48"/>
        <v>12137734.16</v>
      </c>
      <c r="S164" s="54"/>
      <c r="T164" s="38"/>
      <c r="U164" s="38"/>
      <c r="V164" s="9"/>
    </row>
    <row r="165" ht="15" customHeight="1" spans="1:22">
      <c r="A165" s="21">
        <v>41069</v>
      </c>
      <c r="B165" s="21" t="s">
        <v>39</v>
      </c>
      <c r="C165" s="22">
        <v>64400</v>
      </c>
      <c r="D165" s="8">
        <v>22300</v>
      </c>
      <c r="E165" s="8">
        <v>88500</v>
      </c>
      <c r="F165" s="23">
        <v>4416</v>
      </c>
      <c r="G165" s="24">
        <v>2898</v>
      </c>
      <c r="H165" s="25"/>
      <c r="I165" s="37"/>
      <c r="J165" s="9">
        <f t="shared" si="39"/>
        <v>66200</v>
      </c>
      <c r="K165" s="38">
        <f t="shared" si="40"/>
        <v>1800</v>
      </c>
      <c r="L165" s="38">
        <v>0</v>
      </c>
      <c r="M165" s="39">
        <f t="shared" si="43"/>
        <v>505173</v>
      </c>
      <c r="N165" s="40">
        <f t="shared" si="44"/>
        <v>192110</v>
      </c>
      <c r="O165" s="40">
        <f t="shared" si="45"/>
        <v>718657</v>
      </c>
      <c r="P165" s="41">
        <f t="shared" si="46"/>
        <v>8740336.77</v>
      </c>
      <c r="Q165" s="41">
        <f t="shared" si="47"/>
        <v>3215796.1</v>
      </c>
      <c r="R165" s="41">
        <f t="shared" si="48"/>
        <v>12226234.16</v>
      </c>
      <c r="S165" s="54"/>
      <c r="T165" s="38"/>
      <c r="U165" s="38"/>
      <c r="V165" s="9"/>
    </row>
    <row r="166" ht="15" customHeight="1" spans="1:22">
      <c r="A166" s="21">
        <v>41070</v>
      </c>
      <c r="B166" s="21" t="s">
        <v>34</v>
      </c>
      <c r="C166" s="22">
        <v>63376</v>
      </c>
      <c r="D166" s="8">
        <v>24307</v>
      </c>
      <c r="E166" s="8">
        <v>88988</v>
      </c>
      <c r="F166" s="23">
        <v>4416</v>
      </c>
      <c r="G166" s="24">
        <v>3047</v>
      </c>
      <c r="H166" s="25"/>
      <c r="I166" s="37"/>
      <c r="J166" s="9">
        <f t="shared" si="39"/>
        <v>64681</v>
      </c>
      <c r="K166" s="38">
        <f t="shared" si="40"/>
        <v>1305</v>
      </c>
      <c r="L166" s="38">
        <v>0</v>
      </c>
      <c r="M166" s="39">
        <f t="shared" si="43"/>
        <v>568549</v>
      </c>
      <c r="N166" s="40">
        <f t="shared" si="44"/>
        <v>216417</v>
      </c>
      <c r="O166" s="40">
        <f t="shared" si="45"/>
        <v>807645</v>
      </c>
      <c r="P166" s="41">
        <f t="shared" si="46"/>
        <v>8803712.77</v>
      </c>
      <c r="Q166" s="41">
        <f t="shared" si="47"/>
        <v>3240103.1</v>
      </c>
      <c r="R166" s="41">
        <f t="shared" si="48"/>
        <v>12315222.16</v>
      </c>
      <c r="S166" s="54">
        <v>68.7474</v>
      </c>
      <c r="T166" s="54">
        <f>P166/10000-S166</f>
        <v>811.623877</v>
      </c>
      <c r="U166" s="38"/>
      <c r="V166" s="55">
        <f>V$155+(T166-T$155)*10000/(3298.592+202)</f>
        <v>2318.53319952739</v>
      </c>
    </row>
    <row r="167" ht="15" customHeight="1" spans="1:22">
      <c r="A167" s="15">
        <v>41071</v>
      </c>
      <c r="B167" s="15" t="s">
        <v>35</v>
      </c>
      <c r="C167" s="16">
        <v>62100</v>
      </c>
      <c r="D167" s="17">
        <v>25400</v>
      </c>
      <c r="E167" s="17">
        <v>88800</v>
      </c>
      <c r="F167" s="18">
        <v>4537</v>
      </c>
      <c r="G167" s="19">
        <v>3009</v>
      </c>
      <c r="H167" s="20"/>
      <c r="I167" s="20"/>
      <c r="J167" s="33">
        <f t="shared" si="39"/>
        <v>63400</v>
      </c>
      <c r="K167" s="34">
        <f t="shared" si="40"/>
        <v>1300</v>
      </c>
      <c r="L167" s="34">
        <v>0</v>
      </c>
      <c r="M167" s="35">
        <f t="shared" si="43"/>
        <v>630649</v>
      </c>
      <c r="N167" s="36">
        <f t="shared" si="44"/>
        <v>241817</v>
      </c>
      <c r="O167" s="36">
        <f t="shared" si="45"/>
        <v>896445</v>
      </c>
      <c r="P167" s="35">
        <f t="shared" si="46"/>
        <v>8865812.77</v>
      </c>
      <c r="Q167" s="35">
        <f t="shared" si="47"/>
        <v>3265503.1</v>
      </c>
      <c r="R167" s="35">
        <f t="shared" si="48"/>
        <v>12404022.16</v>
      </c>
      <c r="S167" s="53"/>
      <c r="T167" s="33"/>
      <c r="U167" s="33"/>
      <c r="V167" s="33"/>
    </row>
    <row r="168" ht="15" customHeight="1" spans="1:22">
      <c r="A168" s="21">
        <v>41072</v>
      </c>
      <c r="B168" s="21" t="s">
        <v>36</v>
      </c>
      <c r="C168" s="22">
        <v>65200</v>
      </c>
      <c r="D168" s="8">
        <v>23700</v>
      </c>
      <c r="E168" s="8">
        <v>89800</v>
      </c>
      <c r="F168" s="23">
        <v>4570</v>
      </c>
      <c r="G168" s="24">
        <v>3027</v>
      </c>
      <c r="H168" s="25"/>
      <c r="I168" s="37"/>
      <c r="J168" s="9">
        <f t="shared" si="39"/>
        <v>66100</v>
      </c>
      <c r="K168" s="38">
        <f t="shared" si="40"/>
        <v>900</v>
      </c>
      <c r="L168" s="38">
        <v>0</v>
      </c>
      <c r="M168" s="39">
        <f t="shared" si="43"/>
        <v>695849</v>
      </c>
      <c r="N168" s="40">
        <f t="shared" si="44"/>
        <v>265517</v>
      </c>
      <c r="O168" s="40">
        <f t="shared" si="45"/>
        <v>986245</v>
      </c>
      <c r="P168" s="41">
        <f t="shared" si="46"/>
        <v>8931012.77</v>
      </c>
      <c r="Q168" s="41">
        <f t="shared" si="47"/>
        <v>3289203.1</v>
      </c>
      <c r="R168" s="41">
        <f t="shared" si="48"/>
        <v>12493822.16</v>
      </c>
      <c r="S168" s="54">
        <v>69.5874</v>
      </c>
      <c r="T168" s="54">
        <f>P168/10000-S168</f>
        <v>823.513877</v>
      </c>
      <c r="U168" s="38"/>
      <c r="V168" s="38">
        <f>V$155+(T168-T$155-0.2)*10000/(3298.592+202)</f>
        <v>2351.92755111135</v>
      </c>
    </row>
    <row r="169" ht="15" customHeight="1" spans="1:22">
      <c r="A169" s="21">
        <v>41073</v>
      </c>
      <c r="B169" s="21" t="s">
        <v>37</v>
      </c>
      <c r="C169" s="22">
        <v>65800</v>
      </c>
      <c r="D169" s="8">
        <v>24000</v>
      </c>
      <c r="E169" s="8">
        <v>90700</v>
      </c>
      <c r="F169" s="23">
        <v>4580</v>
      </c>
      <c r="G169" s="24">
        <v>3030</v>
      </c>
      <c r="H169" s="25"/>
      <c r="I169" s="37"/>
      <c r="J169" s="9">
        <f t="shared" si="39"/>
        <v>66700</v>
      </c>
      <c r="K169" s="38">
        <f t="shared" si="40"/>
        <v>900</v>
      </c>
      <c r="L169" s="38">
        <v>0</v>
      </c>
      <c r="M169" s="39">
        <f t="shared" si="43"/>
        <v>761649</v>
      </c>
      <c r="N169" s="40">
        <f t="shared" si="44"/>
        <v>289517</v>
      </c>
      <c r="O169" s="40">
        <f t="shared" si="45"/>
        <v>1076945</v>
      </c>
      <c r="P169" s="41">
        <f t="shared" si="46"/>
        <v>8996812.77</v>
      </c>
      <c r="Q169" s="41">
        <f t="shared" si="47"/>
        <v>3313203.1</v>
      </c>
      <c r="R169" s="41">
        <f t="shared" si="48"/>
        <v>12584522.16</v>
      </c>
      <c r="S169" s="54"/>
      <c r="T169" s="38"/>
      <c r="U169" s="38"/>
      <c r="V169" s="9"/>
    </row>
    <row r="170" ht="15" customHeight="1" spans="1:22">
      <c r="A170" s="21">
        <v>41074</v>
      </c>
      <c r="B170" s="21" t="s">
        <v>38</v>
      </c>
      <c r="C170" s="22">
        <v>65800</v>
      </c>
      <c r="D170" s="8">
        <v>24800</v>
      </c>
      <c r="E170" s="8">
        <v>90800</v>
      </c>
      <c r="F170" s="23">
        <v>4500</v>
      </c>
      <c r="G170" s="24">
        <v>3062</v>
      </c>
      <c r="H170" s="25"/>
      <c r="I170" s="37"/>
      <c r="J170" s="9">
        <f t="shared" si="39"/>
        <v>66000</v>
      </c>
      <c r="K170" s="38">
        <f t="shared" si="40"/>
        <v>200</v>
      </c>
      <c r="L170" s="38">
        <v>0</v>
      </c>
      <c r="M170" s="39">
        <f t="shared" si="43"/>
        <v>827449</v>
      </c>
      <c r="N170" s="40">
        <f t="shared" si="44"/>
        <v>314317</v>
      </c>
      <c r="O170" s="40">
        <f t="shared" si="45"/>
        <v>1167745</v>
      </c>
      <c r="P170" s="41">
        <f t="shared" si="46"/>
        <v>9062612.77</v>
      </c>
      <c r="Q170" s="41">
        <f t="shared" si="47"/>
        <v>3338003.1</v>
      </c>
      <c r="R170" s="41">
        <f t="shared" si="48"/>
        <v>12675322.16</v>
      </c>
      <c r="S170" s="54"/>
      <c r="T170" s="38"/>
      <c r="U170" s="38"/>
      <c r="V170" s="9"/>
    </row>
    <row r="171" ht="15" customHeight="1" spans="1:22">
      <c r="A171" s="21">
        <v>41075</v>
      </c>
      <c r="B171" s="21" t="s">
        <v>1</v>
      </c>
      <c r="C171" s="22">
        <v>63900</v>
      </c>
      <c r="D171" s="8">
        <v>22100</v>
      </c>
      <c r="E171" s="8">
        <v>86400</v>
      </c>
      <c r="F171" s="23">
        <v>4150</v>
      </c>
      <c r="G171" s="24">
        <v>3053</v>
      </c>
      <c r="H171" s="25"/>
      <c r="I171" s="37"/>
      <c r="J171" s="9">
        <f t="shared" si="39"/>
        <v>64300</v>
      </c>
      <c r="K171" s="38">
        <f t="shared" si="40"/>
        <v>400</v>
      </c>
      <c r="L171" s="38">
        <v>0</v>
      </c>
      <c r="M171" s="39">
        <f t="shared" si="43"/>
        <v>891349</v>
      </c>
      <c r="N171" s="40">
        <f t="shared" si="44"/>
        <v>336417</v>
      </c>
      <c r="O171" s="40">
        <f t="shared" si="45"/>
        <v>1254145</v>
      </c>
      <c r="P171" s="41">
        <f t="shared" si="46"/>
        <v>9126512.77</v>
      </c>
      <c r="Q171" s="41">
        <f t="shared" si="47"/>
        <v>3360103.1</v>
      </c>
      <c r="R171" s="41">
        <f t="shared" si="48"/>
        <v>12761722.16</v>
      </c>
      <c r="S171" s="54"/>
      <c r="T171" s="38"/>
      <c r="U171" s="38"/>
      <c r="V171" s="9"/>
    </row>
    <row r="172" ht="15" customHeight="1" spans="1:22">
      <c r="A172" s="21">
        <v>41076</v>
      </c>
      <c r="B172" s="21" t="s">
        <v>39</v>
      </c>
      <c r="C172" s="22">
        <v>69500</v>
      </c>
      <c r="D172" s="8">
        <v>21900</v>
      </c>
      <c r="E172" s="8">
        <v>91700</v>
      </c>
      <c r="F172" s="23">
        <v>4633</v>
      </c>
      <c r="G172" s="24">
        <v>2968</v>
      </c>
      <c r="H172" s="25">
        <v>1200</v>
      </c>
      <c r="I172" s="37">
        <v>718</v>
      </c>
      <c r="J172" s="9">
        <f t="shared" si="39"/>
        <v>69800</v>
      </c>
      <c r="K172" s="38">
        <f t="shared" si="40"/>
        <v>300</v>
      </c>
      <c r="L172" s="38">
        <v>0</v>
      </c>
      <c r="M172" s="39">
        <f t="shared" si="43"/>
        <v>960849</v>
      </c>
      <c r="N172" s="40">
        <f t="shared" si="44"/>
        <v>358317</v>
      </c>
      <c r="O172" s="40">
        <f t="shared" si="45"/>
        <v>1345845</v>
      </c>
      <c r="P172" s="41">
        <f t="shared" si="46"/>
        <v>9196012.77</v>
      </c>
      <c r="Q172" s="41">
        <f t="shared" si="47"/>
        <v>3382003.1</v>
      </c>
      <c r="R172" s="41">
        <f t="shared" si="48"/>
        <v>12853422.16</v>
      </c>
      <c r="S172" s="54"/>
      <c r="T172" s="38"/>
      <c r="U172" s="38"/>
      <c r="V172" s="9"/>
    </row>
    <row r="173" ht="15" customHeight="1" spans="1:22">
      <c r="A173" s="21">
        <v>41077</v>
      </c>
      <c r="B173" s="21" t="s">
        <v>34</v>
      </c>
      <c r="C173" s="22">
        <v>66628</v>
      </c>
      <c r="D173" s="8">
        <v>23400</v>
      </c>
      <c r="E173" s="8">
        <v>90514</v>
      </c>
      <c r="F173" s="23">
        <v>4580</v>
      </c>
      <c r="G173" s="24">
        <v>3121</v>
      </c>
      <c r="H173" s="25"/>
      <c r="I173" s="37"/>
      <c r="J173" s="9">
        <f t="shared" si="39"/>
        <v>67114</v>
      </c>
      <c r="K173" s="38">
        <f t="shared" si="40"/>
        <v>486</v>
      </c>
      <c r="L173" s="38">
        <v>0</v>
      </c>
      <c r="M173" s="39">
        <f t="shared" si="43"/>
        <v>1027477</v>
      </c>
      <c r="N173" s="40">
        <f t="shared" si="44"/>
        <v>381717</v>
      </c>
      <c r="O173" s="40">
        <f t="shared" si="45"/>
        <v>1436359</v>
      </c>
      <c r="P173" s="41">
        <f t="shared" si="46"/>
        <v>9262640.77</v>
      </c>
      <c r="Q173" s="41">
        <f t="shared" si="47"/>
        <v>3405403.1</v>
      </c>
      <c r="R173" s="41">
        <f t="shared" si="48"/>
        <v>12943936.16</v>
      </c>
      <c r="S173" s="54"/>
      <c r="T173" s="38"/>
      <c r="U173" s="38"/>
      <c r="V173" s="9"/>
    </row>
    <row r="174" ht="15" customHeight="1" spans="1:22">
      <c r="A174" s="15">
        <v>41078</v>
      </c>
      <c r="B174" s="15" t="s">
        <v>35</v>
      </c>
      <c r="C174" s="16">
        <v>64100</v>
      </c>
      <c r="D174" s="17">
        <v>24200</v>
      </c>
      <c r="E174" s="17">
        <v>88400</v>
      </c>
      <c r="F174" s="18">
        <v>4481</v>
      </c>
      <c r="G174" s="19">
        <v>3127</v>
      </c>
      <c r="H174" s="20"/>
      <c r="I174" s="20"/>
      <c r="J174" s="33">
        <f t="shared" si="39"/>
        <v>64200</v>
      </c>
      <c r="K174" s="34">
        <f t="shared" si="40"/>
        <v>100</v>
      </c>
      <c r="L174" s="34">
        <v>0</v>
      </c>
      <c r="M174" s="35">
        <f t="shared" si="43"/>
        <v>1091577</v>
      </c>
      <c r="N174" s="36">
        <f t="shared" si="44"/>
        <v>405917</v>
      </c>
      <c r="O174" s="36">
        <f t="shared" si="45"/>
        <v>1524759</v>
      </c>
      <c r="P174" s="35">
        <f t="shared" si="46"/>
        <v>9326740.77</v>
      </c>
      <c r="Q174" s="35">
        <f t="shared" si="47"/>
        <v>3429603.1</v>
      </c>
      <c r="R174" s="35">
        <f t="shared" si="48"/>
        <v>13032336.16</v>
      </c>
      <c r="S174" s="53"/>
      <c r="T174" s="33"/>
      <c r="U174" s="33"/>
      <c r="V174" s="33"/>
    </row>
    <row r="175" ht="15" customHeight="1" spans="1:22">
      <c r="A175" s="21">
        <v>41079</v>
      </c>
      <c r="B175" s="21" t="s">
        <v>36</v>
      </c>
      <c r="C175" s="22">
        <v>63901</v>
      </c>
      <c r="D175" s="8">
        <v>23595</v>
      </c>
      <c r="E175" s="8">
        <v>87980</v>
      </c>
      <c r="F175" s="23">
        <v>4455</v>
      </c>
      <c r="G175" s="24">
        <v>3043</v>
      </c>
      <c r="H175" s="25"/>
      <c r="I175" s="37"/>
      <c r="J175" s="9">
        <f t="shared" si="39"/>
        <v>64385</v>
      </c>
      <c r="K175" s="38">
        <f t="shared" si="40"/>
        <v>484</v>
      </c>
      <c r="L175" s="38">
        <v>0</v>
      </c>
      <c r="M175" s="39">
        <f t="shared" si="43"/>
        <v>1155478</v>
      </c>
      <c r="N175" s="40">
        <f t="shared" si="44"/>
        <v>429512</v>
      </c>
      <c r="O175" s="40">
        <f t="shared" si="45"/>
        <v>1612739</v>
      </c>
      <c r="P175" s="41">
        <f t="shared" si="46"/>
        <v>9390641.77</v>
      </c>
      <c r="Q175" s="41">
        <f t="shared" si="47"/>
        <v>3453198.1</v>
      </c>
      <c r="R175" s="41">
        <f t="shared" si="48"/>
        <v>13120316.16</v>
      </c>
      <c r="S175" s="54">
        <v>72.7374</v>
      </c>
      <c r="T175" s="54">
        <f>P175/10000-S175</f>
        <v>866.326777</v>
      </c>
      <c r="U175" s="38"/>
      <c r="V175" s="38">
        <f>V$155+(T175-T$155-1)*10000/(3298.592+202)</f>
        <v>2471.94410831082</v>
      </c>
    </row>
    <row r="176" ht="15" customHeight="1" spans="1:22">
      <c r="A176" s="21">
        <v>41080</v>
      </c>
      <c r="B176" s="21" t="s">
        <v>37</v>
      </c>
      <c r="C176" s="22">
        <v>64134</v>
      </c>
      <c r="D176" s="8">
        <v>24334</v>
      </c>
      <c r="E176" s="8">
        <v>88674</v>
      </c>
      <c r="F176" s="23">
        <v>4451.2</v>
      </c>
      <c r="G176" s="24">
        <v>3030.6</v>
      </c>
      <c r="H176" s="25">
        <v>1538</v>
      </c>
      <c r="I176" s="37">
        <v>739</v>
      </c>
      <c r="J176" s="9">
        <f t="shared" si="39"/>
        <v>64340</v>
      </c>
      <c r="K176" s="38">
        <f t="shared" si="40"/>
        <v>206</v>
      </c>
      <c r="L176" s="38">
        <v>0</v>
      </c>
      <c r="M176" s="39">
        <f t="shared" si="43"/>
        <v>1219612</v>
      </c>
      <c r="N176" s="40">
        <f t="shared" si="44"/>
        <v>453846</v>
      </c>
      <c r="O176" s="40">
        <f t="shared" si="45"/>
        <v>1701413</v>
      </c>
      <c r="P176" s="41">
        <f t="shared" si="46"/>
        <v>9454775.77</v>
      </c>
      <c r="Q176" s="41">
        <f t="shared" si="47"/>
        <v>3477532.1</v>
      </c>
      <c r="R176" s="41">
        <f t="shared" si="48"/>
        <v>13208990.16</v>
      </c>
      <c r="S176" s="54">
        <v>73.6215</v>
      </c>
      <c r="T176" s="54">
        <f>P176/10000-S176</f>
        <v>871.856077</v>
      </c>
      <c r="U176" s="38"/>
      <c r="V176" s="55">
        <f>V$155+(T176-T$155-1.744)*10000/(3298.592+202)</f>
        <v>2485.61408184673</v>
      </c>
    </row>
    <row r="177" ht="15" customHeight="1" spans="1:22">
      <c r="A177" s="21">
        <v>41081</v>
      </c>
      <c r="B177" s="21" t="s">
        <v>38</v>
      </c>
      <c r="C177" s="22">
        <v>62645</v>
      </c>
      <c r="D177" s="8">
        <v>22887</v>
      </c>
      <c r="E177" s="8">
        <v>85735</v>
      </c>
      <c r="F177" s="23">
        <v>4374</v>
      </c>
      <c r="G177" s="24">
        <v>2979.1</v>
      </c>
      <c r="H177" s="25">
        <v>1287</v>
      </c>
      <c r="I177" s="37">
        <v>770</v>
      </c>
      <c r="J177" s="9">
        <f t="shared" si="39"/>
        <v>62848</v>
      </c>
      <c r="K177" s="38">
        <f t="shared" si="40"/>
        <v>203</v>
      </c>
      <c r="L177" s="38">
        <v>0</v>
      </c>
      <c r="M177" s="39">
        <f t="shared" si="43"/>
        <v>1282257</v>
      </c>
      <c r="N177" s="40">
        <f t="shared" si="44"/>
        <v>476733</v>
      </c>
      <c r="O177" s="40">
        <f t="shared" si="45"/>
        <v>1787148</v>
      </c>
      <c r="P177" s="41">
        <f t="shared" si="46"/>
        <v>9517420.77</v>
      </c>
      <c r="Q177" s="41">
        <f t="shared" si="47"/>
        <v>3500419.1</v>
      </c>
      <c r="R177" s="41">
        <f t="shared" si="48"/>
        <v>13294725.16</v>
      </c>
      <c r="S177" s="54"/>
      <c r="T177" s="38"/>
      <c r="U177" s="38"/>
      <c r="V177" s="9"/>
    </row>
    <row r="178" ht="15" customHeight="1" spans="1:22">
      <c r="A178" s="21">
        <v>41082</v>
      </c>
      <c r="B178" s="21" t="s">
        <v>1</v>
      </c>
      <c r="C178" s="22">
        <v>55154</v>
      </c>
      <c r="D178" s="8">
        <v>20035</v>
      </c>
      <c r="E178" s="8">
        <v>75749</v>
      </c>
      <c r="F178" s="23">
        <v>3776.3</v>
      </c>
      <c r="G178" s="24">
        <v>2771.7</v>
      </c>
      <c r="H178" s="25">
        <v>1168</v>
      </c>
      <c r="I178" s="37">
        <v>680.5</v>
      </c>
      <c r="J178" s="9">
        <f t="shared" si="39"/>
        <v>55714</v>
      </c>
      <c r="K178" s="38">
        <f t="shared" si="40"/>
        <v>560</v>
      </c>
      <c r="L178" s="38">
        <v>0</v>
      </c>
      <c r="M178" s="39">
        <f t="shared" si="43"/>
        <v>1337411</v>
      </c>
      <c r="N178" s="40">
        <f t="shared" si="44"/>
        <v>496768</v>
      </c>
      <c r="O178" s="40">
        <f t="shared" si="45"/>
        <v>1862897</v>
      </c>
      <c r="P178" s="41">
        <f t="shared" si="46"/>
        <v>9572574.77</v>
      </c>
      <c r="Q178" s="41">
        <f t="shared" si="47"/>
        <v>3520454.1</v>
      </c>
      <c r="R178" s="41">
        <f t="shared" si="48"/>
        <v>13370474.16</v>
      </c>
      <c r="S178" s="54"/>
      <c r="T178" s="38"/>
      <c r="U178" s="38"/>
      <c r="V178" s="38"/>
    </row>
    <row r="179" ht="15" customHeight="1" spans="1:22">
      <c r="A179" s="21">
        <v>41083</v>
      </c>
      <c r="B179" s="21" t="s">
        <v>39</v>
      </c>
      <c r="C179" s="22">
        <v>56495</v>
      </c>
      <c r="D179" s="8">
        <v>20202</v>
      </c>
      <c r="E179" s="8">
        <v>77604</v>
      </c>
      <c r="F179" s="23">
        <v>4028</v>
      </c>
      <c r="G179" s="24">
        <v>2525</v>
      </c>
      <c r="H179" s="25">
        <v>987</v>
      </c>
      <c r="I179" s="37"/>
      <c r="J179" s="9">
        <f t="shared" si="39"/>
        <v>57402</v>
      </c>
      <c r="K179" s="38">
        <f t="shared" si="40"/>
        <v>907</v>
      </c>
      <c r="L179" s="38">
        <v>0</v>
      </c>
      <c r="M179" s="39">
        <f t="shared" si="43"/>
        <v>1393906</v>
      </c>
      <c r="N179" s="40">
        <f t="shared" si="44"/>
        <v>516970</v>
      </c>
      <c r="O179" s="40">
        <f t="shared" si="45"/>
        <v>1940501</v>
      </c>
      <c r="P179" s="41">
        <f t="shared" si="46"/>
        <v>9629069.77</v>
      </c>
      <c r="Q179" s="41">
        <f t="shared" si="47"/>
        <v>3540656.1</v>
      </c>
      <c r="R179" s="41">
        <f t="shared" si="48"/>
        <v>13448078.16</v>
      </c>
      <c r="S179" s="54"/>
      <c r="T179" s="38"/>
      <c r="U179" s="38"/>
      <c r="V179" s="9"/>
    </row>
    <row r="180" ht="15" customHeight="1" spans="1:22">
      <c r="A180" s="21">
        <v>41084</v>
      </c>
      <c r="B180" s="21" t="s">
        <v>34</v>
      </c>
      <c r="C180" s="22">
        <v>55147</v>
      </c>
      <c r="D180" s="8">
        <v>20766</v>
      </c>
      <c r="E180" s="8">
        <v>78172</v>
      </c>
      <c r="F180" s="23">
        <v>4040.5</v>
      </c>
      <c r="G180" s="24">
        <v>2596.5</v>
      </c>
      <c r="H180" s="25">
        <v>1016.7</v>
      </c>
      <c r="I180" s="37">
        <v>723.6</v>
      </c>
      <c r="J180" s="9">
        <f t="shared" si="39"/>
        <v>57406</v>
      </c>
      <c r="K180" s="38">
        <f t="shared" si="40"/>
        <v>2169</v>
      </c>
      <c r="L180" s="38">
        <v>90</v>
      </c>
      <c r="M180" s="39">
        <f t="shared" si="43"/>
        <v>1449053</v>
      </c>
      <c r="N180" s="40">
        <f t="shared" si="44"/>
        <v>537736</v>
      </c>
      <c r="O180" s="40">
        <f t="shared" si="45"/>
        <v>2018673</v>
      </c>
      <c r="P180" s="41">
        <f t="shared" si="46"/>
        <v>9684216.77</v>
      </c>
      <c r="Q180" s="41">
        <f t="shared" si="47"/>
        <v>3561422.1</v>
      </c>
      <c r="R180" s="41">
        <f t="shared" si="48"/>
        <v>13526250.16</v>
      </c>
      <c r="S180" s="54"/>
      <c r="T180" s="38"/>
      <c r="U180" s="38"/>
      <c r="V180" s="9"/>
    </row>
    <row r="181" ht="15" customHeight="1" spans="1:22">
      <c r="A181" s="15">
        <v>41085</v>
      </c>
      <c r="B181" s="15" t="s">
        <v>35</v>
      </c>
      <c r="C181" s="16">
        <v>50593</v>
      </c>
      <c r="D181" s="17">
        <v>24633</v>
      </c>
      <c r="E181" s="17">
        <v>78237</v>
      </c>
      <c r="F181" s="18">
        <v>4023.2</v>
      </c>
      <c r="G181" s="19">
        <v>2577.9</v>
      </c>
      <c r="H181" s="20">
        <v>1098.9</v>
      </c>
      <c r="I181" s="20">
        <v>726.7</v>
      </c>
      <c r="J181" s="33">
        <f t="shared" si="39"/>
        <v>53604</v>
      </c>
      <c r="K181" s="34">
        <f t="shared" si="40"/>
        <v>2561</v>
      </c>
      <c r="L181" s="34">
        <v>450</v>
      </c>
      <c r="M181" s="35">
        <f t="shared" si="43"/>
        <v>1499646</v>
      </c>
      <c r="N181" s="36">
        <f t="shared" si="44"/>
        <v>562369</v>
      </c>
      <c r="O181" s="36">
        <f t="shared" si="45"/>
        <v>2096910</v>
      </c>
      <c r="P181" s="35">
        <f t="shared" si="46"/>
        <v>9734809.77</v>
      </c>
      <c r="Q181" s="35">
        <f t="shared" si="47"/>
        <v>3586055.1</v>
      </c>
      <c r="R181" s="35">
        <f t="shared" si="48"/>
        <v>13604487.16</v>
      </c>
      <c r="S181" s="53"/>
      <c r="T181" s="33"/>
      <c r="U181" s="33"/>
      <c r="V181" s="33"/>
    </row>
    <row r="182" ht="15" customHeight="1" spans="1:22">
      <c r="A182" s="21">
        <v>41086</v>
      </c>
      <c r="B182" s="21" t="s">
        <v>36</v>
      </c>
      <c r="C182" s="22">
        <v>50611</v>
      </c>
      <c r="D182" s="8">
        <v>27463</v>
      </c>
      <c r="E182" s="8">
        <v>81417</v>
      </c>
      <c r="F182" s="23">
        <v>4206</v>
      </c>
      <c r="G182" s="24">
        <v>2610</v>
      </c>
      <c r="H182" s="25">
        <v>1348</v>
      </c>
      <c r="I182" s="37">
        <v>876</v>
      </c>
      <c r="J182" s="9">
        <f t="shared" si="39"/>
        <v>53954</v>
      </c>
      <c r="K182" s="38">
        <f t="shared" si="40"/>
        <v>2621</v>
      </c>
      <c r="L182" s="38">
        <v>722</v>
      </c>
      <c r="M182" s="39">
        <f t="shared" si="43"/>
        <v>1550257</v>
      </c>
      <c r="N182" s="40">
        <f t="shared" si="44"/>
        <v>589832</v>
      </c>
      <c r="O182" s="40">
        <f t="shared" si="45"/>
        <v>2178327</v>
      </c>
      <c r="P182" s="41">
        <f t="shared" si="46"/>
        <v>9785420.77</v>
      </c>
      <c r="Q182" s="41">
        <f t="shared" si="47"/>
        <v>3613518.1</v>
      </c>
      <c r="R182" s="41">
        <f t="shared" si="48"/>
        <v>13685904.16</v>
      </c>
      <c r="S182" s="54">
        <v>76.0215</v>
      </c>
      <c r="T182" s="54">
        <f>P182/10000-S182</f>
        <v>902.520577</v>
      </c>
      <c r="U182" s="38"/>
      <c r="V182" s="38">
        <f>V$155+(T182-T$155-1.5)*10000/(3298.592+202)</f>
        <v>2573.90914736707</v>
      </c>
    </row>
    <row r="183" ht="15" customHeight="1" spans="1:22">
      <c r="A183" s="21">
        <v>41087</v>
      </c>
      <c r="B183" s="21" t="s">
        <v>37</v>
      </c>
      <c r="C183" s="22">
        <v>50610</v>
      </c>
      <c r="D183" s="8">
        <v>26756</v>
      </c>
      <c r="E183" s="8">
        <v>81358</v>
      </c>
      <c r="F183" s="23">
        <v>4190.4</v>
      </c>
      <c r="G183" s="24">
        <v>2731</v>
      </c>
      <c r="H183" s="25">
        <v>1327</v>
      </c>
      <c r="I183" s="37">
        <v>904</v>
      </c>
      <c r="J183" s="9">
        <f t="shared" si="39"/>
        <v>54602</v>
      </c>
      <c r="K183" s="38">
        <f t="shared" si="40"/>
        <v>3209</v>
      </c>
      <c r="L183" s="38">
        <v>783</v>
      </c>
      <c r="M183" s="39">
        <f t="shared" si="43"/>
        <v>1600867</v>
      </c>
      <c r="N183" s="40">
        <f t="shared" si="44"/>
        <v>616588</v>
      </c>
      <c r="O183" s="40">
        <f t="shared" si="45"/>
        <v>2259685</v>
      </c>
      <c r="P183" s="41">
        <f t="shared" si="46"/>
        <v>9836030.77</v>
      </c>
      <c r="Q183" s="41">
        <f t="shared" si="47"/>
        <v>3640274.1</v>
      </c>
      <c r="R183" s="41">
        <f t="shared" si="48"/>
        <v>13767262.16</v>
      </c>
      <c r="S183" s="54"/>
      <c r="T183" s="38"/>
      <c r="U183" s="38"/>
      <c r="V183" s="9"/>
    </row>
    <row r="184" ht="15" customHeight="1" spans="1:22">
      <c r="A184" s="21">
        <v>41088</v>
      </c>
      <c r="B184" s="21" t="s">
        <v>38</v>
      </c>
      <c r="C184" s="22">
        <v>48616</v>
      </c>
      <c r="D184" s="8">
        <v>25518</v>
      </c>
      <c r="E184" s="8">
        <v>78323</v>
      </c>
      <c r="F184" s="23">
        <v>4056.2</v>
      </c>
      <c r="G184" s="24">
        <v>2681.6</v>
      </c>
      <c r="H184" s="25">
        <v>1194</v>
      </c>
      <c r="I184" s="37">
        <v>914</v>
      </c>
      <c r="J184" s="9">
        <f t="shared" si="39"/>
        <v>52805</v>
      </c>
      <c r="K184" s="38">
        <f t="shared" si="40"/>
        <v>3406</v>
      </c>
      <c r="L184" s="38">
        <v>783</v>
      </c>
      <c r="M184" s="39">
        <f t="shared" si="43"/>
        <v>1649483</v>
      </c>
      <c r="N184" s="40">
        <f t="shared" si="44"/>
        <v>642106</v>
      </c>
      <c r="O184" s="40">
        <f t="shared" si="45"/>
        <v>2338008</v>
      </c>
      <c r="P184" s="41">
        <f t="shared" si="46"/>
        <v>9884646.77</v>
      </c>
      <c r="Q184" s="41">
        <f t="shared" si="47"/>
        <v>3665792.1</v>
      </c>
      <c r="R184" s="41">
        <f t="shared" si="48"/>
        <v>13845585.16</v>
      </c>
      <c r="S184" s="54"/>
      <c r="T184" s="38"/>
      <c r="U184" s="38"/>
      <c r="V184" s="9"/>
    </row>
    <row r="185" ht="15" customHeight="1" spans="1:22">
      <c r="A185" s="21">
        <v>41089</v>
      </c>
      <c r="B185" s="21" t="s">
        <v>1</v>
      </c>
      <c r="C185" s="22">
        <v>44683</v>
      </c>
      <c r="D185" s="8">
        <v>25747</v>
      </c>
      <c r="E185" s="8">
        <v>73599</v>
      </c>
      <c r="F185" s="23">
        <v>3695.5</v>
      </c>
      <c r="G185" s="24">
        <v>2559.8</v>
      </c>
      <c r="H185" s="25">
        <v>1219</v>
      </c>
      <c r="I185" s="37">
        <v>913</v>
      </c>
      <c r="J185" s="9">
        <f t="shared" si="39"/>
        <v>47852</v>
      </c>
      <c r="K185" s="38">
        <f t="shared" si="40"/>
        <v>2386</v>
      </c>
      <c r="L185" s="38">
        <v>783</v>
      </c>
      <c r="M185" s="39">
        <f t="shared" si="43"/>
        <v>1694166</v>
      </c>
      <c r="N185" s="40">
        <f t="shared" si="44"/>
        <v>667853</v>
      </c>
      <c r="O185" s="40">
        <f t="shared" si="45"/>
        <v>2411607</v>
      </c>
      <c r="P185" s="41">
        <f t="shared" si="46"/>
        <v>9929329.77</v>
      </c>
      <c r="Q185" s="41">
        <f t="shared" si="47"/>
        <v>3691539.1</v>
      </c>
      <c r="R185" s="41">
        <f t="shared" si="48"/>
        <v>13919184.16</v>
      </c>
      <c r="S185" s="54"/>
      <c r="T185" s="38"/>
      <c r="U185" s="38"/>
      <c r="V185" s="9"/>
    </row>
    <row r="186" s="1" customFormat="1" ht="15" customHeight="1" spans="1:22">
      <c r="A186" s="26">
        <v>41090</v>
      </c>
      <c r="B186" s="26" t="s">
        <v>39</v>
      </c>
      <c r="C186" s="27">
        <v>46909</v>
      </c>
      <c r="D186" s="28">
        <v>26492</v>
      </c>
      <c r="E186" s="28">
        <v>76455</v>
      </c>
      <c r="F186" s="29">
        <v>4024</v>
      </c>
      <c r="G186" s="30">
        <v>2510</v>
      </c>
      <c r="H186" s="31">
        <v>1243</v>
      </c>
      <c r="I186" s="31">
        <v>915</v>
      </c>
      <c r="J186" s="43">
        <f t="shared" si="39"/>
        <v>49963</v>
      </c>
      <c r="K186" s="44">
        <f t="shared" si="40"/>
        <v>2271</v>
      </c>
      <c r="L186" s="44">
        <v>783</v>
      </c>
      <c r="M186" s="45">
        <f t="shared" si="43"/>
        <v>1741075</v>
      </c>
      <c r="N186" s="47">
        <f t="shared" si="44"/>
        <v>694345</v>
      </c>
      <c r="O186" s="47">
        <f t="shared" si="45"/>
        <v>2488062</v>
      </c>
      <c r="P186" s="45">
        <v>9976408</v>
      </c>
      <c r="Q186" s="45">
        <f t="shared" si="47"/>
        <v>3718031.1</v>
      </c>
      <c r="R186" s="45">
        <f t="shared" si="48"/>
        <v>13995639.16</v>
      </c>
      <c r="S186" s="56">
        <v>78.1298</v>
      </c>
      <c r="T186" s="56">
        <f>P186/10000-S186</f>
        <v>919.511</v>
      </c>
      <c r="U186" s="44"/>
      <c r="V186" s="44">
        <f>V$155+(T186-T$155-2.76)*10000/(3298.592+202+35*4.5/30)</f>
        <v>2614.92388989578</v>
      </c>
    </row>
    <row r="187" ht="15" customHeight="1" spans="1:22">
      <c r="A187" s="21">
        <v>41091</v>
      </c>
      <c r="B187" s="21" t="s">
        <v>34</v>
      </c>
      <c r="C187" s="22">
        <v>44861</v>
      </c>
      <c r="D187" s="8">
        <v>28770</v>
      </c>
      <c r="E187" s="8">
        <v>76920</v>
      </c>
      <c r="F187" s="23">
        <v>3903</v>
      </c>
      <c r="G187" s="24">
        <v>2541</v>
      </c>
      <c r="H187" s="25"/>
      <c r="I187" s="37"/>
      <c r="J187" s="9">
        <f t="shared" si="39"/>
        <v>48150</v>
      </c>
      <c r="K187" s="38">
        <f t="shared" si="40"/>
        <v>2508</v>
      </c>
      <c r="L187" s="38">
        <v>781</v>
      </c>
      <c r="M187" s="39">
        <f>C187</f>
        <v>44861</v>
      </c>
      <c r="N187" s="40">
        <f>D187</f>
        <v>28770</v>
      </c>
      <c r="O187" s="40">
        <f>E187</f>
        <v>76920</v>
      </c>
      <c r="P187" s="41">
        <f t="shared" ref="P187:R188" si="49">P$186+M187</f>
        <v>10021269</v>
      </c>
      <c r="Q187" s="41">
        <f t="shared" si="49"/>
        <v>3746801.1</v>
      </c>
      <c r="R187" s="41">
        <f t="shared" si="49"/>
        <v>14072559.16</v>
      </c>
      <c r="S187" s="54"/>
      <c r="T187" s="38"/>
      <c r="U187" s="38"/>
      <c r="V187" s="9"/>
    </row>
    <row r="188" ht="15" customHeight="1" spans="1:22">
      <c r="A188" s="15">
        <v>41092</v>
      </c>
      <c r="B188" s="15" t="s">
        <v>35</v>
      </c>
      <c r="C188" s="16">
        <v>47298</v>
      </c>
      <c r="D188" s="17">
        <v>31382</v>
      </c>
      <c r="E188" s="17">
        <v>82165</v>
      </c>
      <c r="F188" s="18">
        <v>4294</v>
      </c>
      <c r="G188" s="19">
        <v>2589</v>
      </c>
      <c r="H188" s="20">
        <v>1542</v>
      </c>
      <c r="I188" s="20">
        <v>1069</v>
      </c>
      <c r="J188" s="33">
        <f t="shared" si="39"/>
        <v>50783</v>
      </c>
      <c r="K188" s="34">
        <f t="shared" si="40"/>
        <v>2703</v>
      </c>
      <c r="L188" s="34">
        <v>782</v>
      </c>
      <c r="M188" s="35">
        <f t="shared" ref="M188:M217" si="50">C188+M187</f>
        <v>92159</v>
      </c>
      <c r="N188" s="36">
        <f t="shared" ref="N188:N217" si="51">D188+N187</f>
        <v>60152</v>
      </c>
      <c r="O188" s="36">
        <f t="shared" ref="O188:O217" si="52">E188+O187</f>
        <v>159085</v>
      </c>
      <c r="P188" s="35">
        <f t="shared" si="49"/>
        <v>10068567</v>
      </c>
      <c r="Q188" s="35">
        <f t="shared" si="49"/>
        <v>3778183.1</v>
      </c>
      <c r="R188" s="35">
        <f t="shared" si="49"/>
        <v>14154724.16</v>
      </c>
      <c r="S188" s="53"/>
      <c r="T188" s="33"/>
      <c r="U188" s="33"/>
      <c r="V188" s="33"/>
    </row>
    <row r="189" ht="15" customHeight="1" spans="1:22">
      <c r="A189" s="21">
        <v>41093</v>
      </c>
      <c r="B189" s="21" t="s">
        <v>36</v>
      </c>
      <c r="C189" s="22">
        <v>49452</v>
      </c>
      <c r="D189" s="8">
        <v>32734</v>
      </c>
      <c r="E189" s="8">
        <v>85323</v>
      </c>
      <c r="F189" s="23">
        <v>4404</v>
      </c>
      <c r="G189" s="24">
        <v>2717</v>
      </c>
      <c r="H189" s="25">
        <v>1734</v>
      </c>
      <c r="I189" s="37">
        <v>1047</v>
      </c>
      <c r="J189" s="9">
        <f t="shared" si="39"/>
        <v>52589</v>
      </c>
      <c r="K189" s="38">
        <f t="shared" si="40"/>
        <v>2356</v>
      </c>
      <c r="L189" s="38">
        <v>781</v>
      </c>
      <c r="M189" s="39">
        <f t="shared" si="50"/>
        <v>141611</v>
      </c>
      <c r="N189" s="40">
        <f t="shared" si="51"/>
        <v>92886</v>
      </c>
      <c r="O189" s="40">
        <f t="shared" si="52"/>
        <v>244408</v>
      </c>
      <c r="P189" s="41">
        <f t="shared" ref="P189:P217" si="53">P$186+M189</f>
        <v>10118019</v>
      </c>
      <c r="Q189" s="41">
        <f t="shared" ref="Q189:Q217" si="54">Q$186+N189</f>
        <v>3810917.1</v>
      </c>
      <c r="R189" s="41">
        <f t="shared" ref="R189:R217" si="55">R$186+O189</f>
        <v>14240047.16</v>
      </c>
      <c r="S189" s="54">
        <v>79.4798</v>
      </c>
      <c r="T189" s="54">
        <f>P189/10000-S189</f>
        <v>932.3221</v>
      </c>
      <c r="U189" s="38"/>
      <c r="V189" s="59">
        <f>V$155+(T189-T$155-3)*10000/(3298.592+202+35*(4.5+3)/(30+3))</f>
        <v>2648.73812548952</v>
      </c>
    </row>
    <row r="190" ht="15" customHeight="1" spans="1:22">
      <c r="A190" s="21">
        <v>41094</v>
      </c>
      <c r="B190" s="21" t="s">
        <v>37</v>
      </c>
      <c r="C190" s="22">
        <v>49131</v>
      </c>
      <c r="D190" s="8">
        <v>34395</v>
      </c>
      <c r="E190" s="8">
        <v>86602</v>
      </c>
      <c r="F190" s="23">
        <v>4483</v>
      </c>
      <c r="G190" s="24">
        <v>2863</v>
      </c>
      <c r="H190" s="25">
        <v>1652</v>
      </c>
      <c r="I190" s="37">
        <v>1217</v>
      </c>
      <c r="J190" s="9">
        <f t="shared" si="39"/>
        <v>52207</v>
      </c>
      <c r="K190" s="38">
        <f t="shared" si="40"/>
        <v>2294</v>
      </c>
      <c r="L190" s="38">
        <v>782</v>
      </c>
      <c r="M190" s="39">
        <f t="shared" si="50"/>
        <v>190742</v>
      </c>
      <c r="N190" s="40">
        <f t="shared" si="51"/>
        <v>127281</v>
      </c>
      <c r="O190" s="40">
        <f t="shared" si="52"/>
        <v>331010</v>
      </c>
      <c r="P190" s="41">
        <f t="shared" si="53"/>
        <v>10167150</v>
      </c>
      <c r="Q190" s="41">
        <f t="shared" si="54"/>
        <v>3845312.1</v>
      </c>
      <c r="R190" s="41">
        <f t="shared" si="55"/>
        <v>14326649.16</v>
      </c>
      <c r="S190" s="54"/>
      <c r="T190" s="38"/>
      <c r="U190" s="38"/>
      <c r="V190" s="9"/>
    </row>
    <row r="191" ht="15" customHeight="1" spans="1:22">
      <c r="A191" s="21">
        <v>41095</v>
      </c>
      <c r="B191" s="21" t="s">
        <v>38</v>
      </c>
      <c r="C191" s="22">
        <v>55524</v>
      </c>
      <c r="D191" s="8">
        <v>27680</v>
      </c>
      <c r="E191" s="8">
        <v>87117</v>
      </c>
      <c r="F191" s="23">
        <v>4411</v>
      </c>
      <c r="G191" s="24">
        <v>2862</v>
      </c>
      <c r="H191" s="25">
        <v>1396</v>
      </c>
      <c r="I191" s="37">
        <v>837</v>
      </c>
      <c r="J191" s="9">
        <f t="shared" si="39"/>
        <v>59437</v>
      </c>
      <c r="K191" s="38">
        <f t="shared" si="40"/>
        <v>3131</v>
      </c>
      <c r="L191" s="38">
        <v>782</v>
      </c>
      <c r="M191" s="39">
        <f t="shared" si="50"/>
        <v>246266</v>
      </c>
      <c r="N191" s="40">
        <f t="shared" si="51"/>
        <v>154961</v>
      </c>
      <c r="O191" s="40">
        <f t="shared" si="52"/>
        <v>418127</v>
      </c>
      <c r="P191" s="41">
        <f t="shared" si="53"/>
        <v>10222674</v>
      </c>
      <c r="Q191" s="41">
        <f t="shared" si="54"/>
        <v>3872992.1</v>
      </c>
      <c r="R191" s="41">
        <f t="shared" si="55"/>
        <v>14413766.16</v>
      </c>
      <c r="S191" s="54"/>
      <c r="T191" s="38"/>
      <c r="U191" s="38"/>
      <c r="V191" s="9"/>
    </row>
    <row r="192" ht="15" customHeight="1" spans="1:22">
      <c r="A192" s="21">
        <v>41096</v>
      </c>
      <c r="B192" s="21" t="s">
        <v>1</v>
      </c>
      <c r="C192" s="22">
        <v>51629</v>
      </c>
      <c r="D192" s="8">
        <v>27259</v>
      </c>
      <c r="E192" s="8">
        <v>83389</v>
      </c>
      <c r="F192" s="23">
        <v>4061</v>
      </c>
      <c r="G192" s="24">
        <v>2950</v>
      </c>
      <c r="H192" s="25">
        <v>1464</v>
      </c>
      <c r="I192" s="37">
        <v>691</v>
      </c>
      <c r="J192" s="9">
        <f t="shared" si="39"/>
        <v>56130</v>
      </c>
      <c r="K192" s="38">
        <f t="shared" si="40"/>
        <v>3719</v>
      </c>
      <c r="L192" s="38">
        <v>782</v>
      </c>
      <c r="M192" s="39">
        <f t="shared" si="50"/>
        <v>297895</v>
      </c>
      <c r="N192" s="40">
        <f t="shared" si="51"/>
        <v>182220</v>
      </c>
      <c r="O192" s="40">
        <f t="shared" si="52"/>
        <v>501516</v>
      </c>
      <c r="P192" s="41">
        <f t="shared" si="53"/>
        <v>10274303</v>
      </c>
      <c r="Q192" s="41">
        <f t="shared" si="54"/>
        <v>3900251.1</v>
      </c>
      <c r="R192" s="41">
        <f t="shared" si="55"/>
        <v>14497155.16</v>
      </c>
      <c r="S192" s="54"/>
      <c r="T192" s="38"/>
      <c r="U192" s="38"/>
      <c r="V192" s="9"/>
    </row>
    <row r="193" ht="15" customHeight="1" spans="1:22">
      <c r="A193" s="21">
        <v>41097</v>
      </c>
      <c r="B193" s="21" t="s">
        <v>39</v>
      </c>
      <c r="C193" s="22">
        <v>53165</v>
      </c>
      <c r="D193" s="8">
        <v>33247</v>
      </c>
      <c r="E193" s="8">
        <v>88882</v>
      </c>
      <c r="F193" s="23">
        <v>4552</v>
      </c>
      <c r="G193" s="24">
        <v>2861</v>
      </c>
      <c r="H193" s="25">
        <v>1608</v>
      </c>
      <c r="I193" s="37">
        <v>1156</v>
      </c>
      <c r="J193" s="9">
        <f t="shared" ref="J193:J256" si="56">E193-D193</f>
        <v>55635</v>
      </c>
      <c r="K193" s="38">
        <f t="shared" ref="K193:K256" si="57">J193-C193-L193</f>
        <v>1688</v>
      </c>
      <c r="L193" s="38">
        <v>782</v>
      </c>
      <c r="M193" s="39">
        <f t="shared" si="50"/>
        <v>351060</v>
      </c>
      <c r="N193" s="40">
        <f t="shared" si="51"/>
        <v>215467</v>
      </c>
      <c r="O193" s="40">
        <f t="shared" si="52"/>
        <v>590398</v>
      </c>
      <c r="P193" s="41">
        <f t="shared" si="53"/>
        <v>10327468</v>
      </c>
      <c r="Q193" s="41">
        <f t="shared" si="54"/>
        <v>3933498.1</v>
      </c>
      <c r="R193" s="41">
        <f t="shared" si="55"/>
        <v>14586037.16</v>
      </c>
      <c r="S193" s="54"/>
      <c r="T193" s="38"/>
      <c r="U193" s="38"/>
      <c r="V193" s="9"/>
    </row>
    <row r="194" ht="15" customHeight="1" spans="1:22">
      <c r="A194" s="21">
        <v>41098</v>
      </c>
      <c r="B194" s="21" t="s">
        <v>34</v>
      </c>
      <c r="C194" s="22">
        <v>56151</v>
      </c>
      <c r="D194" s="8">
        <v>33828</v>
      </c>
      <c r="E194" s="8">
        <v>92545</v>
      </c>
      <c r="F194" s="23">
        <v>4683</v>
      </c>
      <c r="G194" s="24">
        <v>3067</v>
      </c>
      <c r="H194" s="25">
        <v>1622</v>
      </c>
      <c r="I194" s="37">
        <v>1164</v>
      </c>
      <c r="J194" s="9">
        <f t="shared" si="56"/>
        <v>58717</v>
      </c>
      <c r="K194" s="38">
        <f t="shared" si="57"/>
        <v>1784</v>
      </c>
      <c r="L194" s="38">
        <v>782</v>
      </c>
      <c r="M194" s="39">
        <f t="shared" si="50"/>
        <v>407211</v>
      </c>
      <c r="N194" s="40">
        <f t="shared" si="51"/>
        <v>249295</v>
      </c>
      <c r="O194" s="40">
        <f t="shared" si="52"/>
        <v>682943</v>
      </c>
      <c r="P194" s="41">
        <f t="shared" si="53"/>
        <v>10383619</v>
      </c>
      <c r="Q194" s="41">
        <f t="shared" si="54"/>
        <v>3967326.1</v>
      </c>
      <c r="R194" s="41">
        <f t="shared" si="55"/>
        <v>14678582.16</v>
      </c>
      <c r="S194" s="54"/>
      <c r="T194" s="38"/>
      <c r="U194" s="38"/>
      <c r="V194" s="9"/>
    </row>
    <row r="195" ht="15" customHeight="1" spans="1:22">
      <c r="A195" s="15">
        <v>41099</v>
      </c>
      <c r="B195" s="15" t="s">
        <v>35</v>
      </c>
      <c r="C195" s="16">
        <v>60129</v>
      </c>
      <c r="D195" s="17">
        <v>33739</v>
      </c>
      <c r="E195" s="17">
        <v>96708</v>
      </c>
      <c r="F195" s="18">
        <v>4826</v>
      </c>
      <c r="G195" s="19">
        <v>3130</v>
      </c>
      <c r="H195" s="20">
        <v>1642</v>
      </c>
      <c r="I195" s="20">
        <v>1114</v>
      </c>
      <c r="J195" s="33">
        <f t="shared" si="56"/>
        <v>62969</v>
      </c>
      <c r="K195" s="34">
        <f t="shared" si="57"/>
        <v>2058</v>
      </c>
      <c r="L195" s="34">
        <v>782</v>
      </c>
      <c r="M195" s="35">
        <f t="shared" si="50"/>
        <v>467340</v>
      </c>
      <c r="N195" s="36">
        <f t="shared" si="51"/>
        <v>283034</v>
      </c>
      <c r="O195" s="36">
        <f t="shared" si="52"/>
        <v>779651</v>
      </c>
      <c r="P195" s="35">
        <f t="shared" si="53"/>
        <v>10443748</v>
      </c>
      <c r="Q195" s="35">
        <f t="shared" si="54"/>
        <v>4001065.1</v>
      </c>
      <c r="R195" s="35">
        <f t="shared" si="55"/>
        <v>14775290.16</v>
      </c>
      <c r="S195" s="53"/>
      <c r="T195" s="33"/>
      <c r="U195" s="33"/>
      <c r="V195" s="33"/>
    </row>
    <row r="196" ht="15" customHeight="1" spans="1:22">
      <c r="A196" s="21">
        <v>41100</v>
      </c>
      <c r="B196" s="21" t="s">
        <v>36</v>
      </c>
      <c r="C196" s="22">
        <v>64420</v>
      </c>
      <c r="D196" s="8">
        <v>33996</v>
      </c>
      <c r="E196" s="8">
        <v>101180</v>
      </c>
      <c r="F196" s="23">
        <v>5049.5</v>
      </c>
      <c r="G196" s="24">
        <v>3362.7</v>
      </c>
      <c r="H196" s="25">
        <v>1651</v>
      </c>
      <c r="I196" s="37">
        <v>1164</v>
      </c>
      <c r="J196" s="9">
        <f t="shared" si="56"/>
        <v>67184</v>
      </c>
      <c r="K196" s="38">
        <f t="shared" si="57"/>
        <v>1982</v>
      </c>
      <c r="L196" s="38">
        <v>782</v>
      </c>
      <c r="M196" s="39">
        <f t="shared" si="50"/>
        <v>531760</v>
      </c>
      <c r="N196" s="40">
        <f t="shared" si="51"/>
        <v>317030</v>
      </c>
      <c r="O196" s="40">
        <f t="shared" si="52"/>
        <v>880831</v>
      </c>
      <c r="P196" s="41">
        <f t="shared" si="53"/>
        <v>10508168</v>
      </c>
      <c r="Q196" s="41">
        <f t="shared" si="54"/>
        <v>4035061.1</v>
      </c>
      <c r="R196" s="41">
        <f t="shared" si="55"/>
        <v>14876470.16</v>
      </c>
      <c r="S196" s="54">
        <v>82.6058</v>
      </c>
      <c r="T196" s="54">
        <f>P196/10000-S196</f>
        <v>968.211</v>
      </c>
      <c r="U196" s="38"/>
      <c r="V196" s="60">
        <f>V$155+(T196-T$155-5)*10000/(3298.592+202+35*(4.5+10)/(30+10)+1.5)</f>
        <v>2740.45925213801</v>
      </c>
    </row>
    <row r="197" ht="15" customHeight="1" spans="1:22">
      <c r="A197" s="21">
        <v>41101</v>
      </c>
      <c r="B197" s="21" t="s">
        <v>37</v>
      </c>
      <c r="C197" s="22">
        <v>66960</v>
      </c>
      <c r="D197" s="8">
        <v>35541</v>
      </c>
      <c r="E197" s="8">
        <v>104234</v>
      </c>
      <c r="F197" s="23">
        <v>5234</v>
      </c>
      <c r="G197" s="24">
        <v>3388</v>
      </c>
      <c r="H197" s="25">
        <v>1702</v>
      </c>
      <c r="I197" s="37">
        <v>1243</v>
      </c>
      <c r="J197" s="9">
        <f t="shared" si="56"/>
        <v>68693</v>
      </c>
      <c r="K197" s="38">
        <f t="shared" si="57"/>
        <v>951</v>
      </c>
      <c r="L197" s="38">
        <v>782</v>
      </c>
      <c r="M197" s="39">
        <f t="shared" si="50"/>
        <v>598720</v>
      </c>
      <c r="N197" s="40">
        <f t="shared" si="51"/>
        <v>352571</v>
      </c>
      <c r="O197" s="40">
        <f t="shared" si="52"/>
        <v>985065</v>
      </c>
      <c r="P197" s="41">
        <f t="shared" si="53"/>
        <v>10575128</v>
      </c>
      <c r="Q197" s="41">
        <f t="shared" si="54"/>
        <v>4070602.1</v>
      </c>
      <c r="R197" s="41">
        <f t="shared" si="55"/>
        <v>14980704.16</v>
      </c>
      <c r="S197" s="54"/>
      <c r="T197" s="38"/>
      <c r="U197" s="38"/>
      <c r="V197" s="9"/>
    </row>
    <row r="198" ht="15" customHeight="1" spans="1:22">
      <c r="A198" s="21">
        <v>41102</v>
      </c>
      <c r="B198" s="21" t="s">
        <v>38</v>
      </c>
      <c r="C198" s="22">
        <v>66770</v>
      </c>
      <c r="D198" s="8">
        <v>34771</v>
      </c>
      <c r="E198" s="8">
        <v>102896</v>
      </c>
      <c r="F198" s="23">
        <v>5149</v>
      </c>
      <c r="G198" s="24">
        <v>3458</v>
      </c>
      <c r="H198" s="25">
        <v>1686</v>
      </c>
      <c r="I198" s="37">
        <v>1214</v>
      </c>
      <c r="J198" s="9">
        <f t="shared" si="56"/>
        <v>68125</v>
      </c>
      <c r="K198" s="38">
        <f t="shared" si="57"/>
        <v>573</v>
      </c>
      <c r="L198" s="38">
        <v>782</v>
      </c>
      <c r="M198" s="39">
        <f t="shared" si="50"/>
        <v>665490</v>
      </c>
      <c r="N198" s="40">
        <f t="shared" si="51"/>
        <v>387342</v>
      </c>
      <c r="O198" s="40">
        <f t="shared" si="52"/>
        <v>1087961</v>
      </c>
      <c r="P198" s="41">
        <f t="shared" si="53"/>
        <v>10641898</v>
      </c>
      <c r="Q198" s="41">
        <f t="shared" si="54"/>
        <v>4105373.1</v>
      </c>
      <c r="R198" s="41">
        <f t="shared" si="55"/>
        <v>15083600.16</v>
      </c>
      <c r="S198" s="54"/>
      <c r="T198" s="38"/>
      <c r="U198" s="38"/>
      <c r="V198" s="9"/>
    </row>
    <row r="199" ht="15" customHeight="1" spans="1:22">
      <c r="A199" s="21">
        <v>41103</v>
      </c>
      <c r="B199" s="21" t="s">
        <v>1</v>
      </c>
      <c r="C199" s="22">
        <v>53821</v>
      </c>
      <c r="D199" s="8">
        <v>33552</v>
      </c>
      <c r="E199" s="8">
        <v>88601</v>
      </c>
      <c r="F199" s="23">
        <v>4309</v>
      </c>
      <c r="G199" s="24">
        <v>3208</v>
      </c>
      <c r="H199" s="25">
        <v>1625</v>
      </c>
      <c r="I199" s="37">
        <v>1131</v>
      </c>
      <c r="J199" s="9">
        <f t="shared" si="56"/>
        <v>55049</v>
      </c>
      <c r="K199" s="38">
        <f t="shared" si="57"/>
        <v>446</v>
      </c>
      <c r="L199" s="38">
        <v>782</v>
      </c>
      <c r="M199" s="39">
        <f t="shared" si="50"/>
        <v>719311</v>
      </c>
      <c r="N199" s="40">
        <f t="shared" si="51"/>
        <v>420894</v>
      </c>
      <c r="O199" s="40">
        <f t="shared" si="52"/>
        <v>1176562</v>
      </c>
      <c r="P199" s="41">
        <f t="shared" si="53"/>
        <v>10695719</v>
      </c>
      <c r="Q199" s="41">
        <f t="shared" si="54"/>
        <v>4138925.1</v>
      </c>
      <c r="R199" s="41">
        <f t="shared" si="55"/>
        <v>15172201.16</v>
      </c>
      <c r="S199" s="54"/>
      <c r="T199" s="38"/>
      <c r="U199" s="38"/>
      <c r="V199" s="9"/>
    </row>
    <row r="200" ht="15" customHeight="1" spans="1:22">
      <c r="A200" s="21">
        <v>41104</v>
      </c>
      <c r="B200" s="21" t="s">
        <v>39</v>
      </c>
      <c r="C200" s="22">
        <v>53722</v>
      </c>
      <c r="D200" s="8">
        <v>35625</v>
      </c>
      <c r="E200" s="8">
        <v>90891</v>
      </c>
      <c r="F200" s="23">
        <v>4603</v>
      </c>
      <c r="G200" s="24">
        <v>2909</v>
      </c>
      <c r="H200" s="25">
        <v>1704</v>
      </c>
      <c r="I200" s="37">
        <v>1178</v>
      </c>
      <c r="J200" s="9">
        <f t="shared" si="56"/>
        <v>55266</v>
      </c>
      <c r="K200" s="38">
        <f t="shared" si="57"/>
        <v>766</v>
      </c>
      <c r="L200" s="38">
        <v>778</v>
      </c>
      <c r="M200" s="39">
        <f t="shared" si="50"/>
        <v>773033</v>
      </c>
      <c r="N200" s="40">
        <f t="shared" si="51"/>
        <v>456519</v>
      </c>
      <c r="O200" s="40">
        <f t="shared" si="52"/>
        <v>1267453</v>
      </c>
      <c r="P200" s="41">
        <f t="shared" si="53"/>
        <v>10749441</v>
      </c>
      <c r="Q200" s="41">
        <f t="shared" si="54"/>
        <v>4174550.1</v>
      </c>
      <c r="R200" s="41">
        <f t="shared" si="55"/>
        <v>15263092.16</v>
      </c>
      <c r="S200" s="54"/>
      <c r="T200" s="38"/>
      <c r="U200" s="38"/>
      <c r="V200" s="9"/>
    </row>
    <row r="201" ht="15" customHeight="1" spans="1:22">
      <c r="A201" s="21">
        <v>41105</v>
      </c>
      <c r="B201" s="21" t="s">
        <v>34</v>
      </c>
      <c r="C201" s="22">
        <v>48224</v>
      </c>
      <c r="D201" s="8">
        <v>39576</v>
      </c>
      <c r="E201" s="8">
        <v>89994</v>
      </c>
      <c r="F201" s="23">
        <v>4580.6</v>
      </c>
      <c r="G201" s="24">
        <v>3120.6</v>
      </c>
      <c r="H201" s="25"/>
      <c r="I201" s="37"/>
      <c r="J201" s="9">
        <f t="shared" si="56"/>
        <v>50418</v>
      </c>
      <c r="K201" s="38">
        <f t="shared" si="57"/>
        <v>1421</v>
      </c>
      <c r="L201" s="38">
        <v>773</v>
      </c>
      <c r="M201" s="39">
        <f t="shared" si="50"/>
        <v>821257</v>
      </c>
      <c r="N201" s="40">
        <f t="shared" si="51"/>
        <v>496095</v>
      </c>
      <c r="O201" s="40">
        <f t="shared" si="52"/>
        <v>1357447</v>
      </c>
      <c r="P201" s="41">
        <f t="shared" si="53"/>
        <v>10797665</v>
      </c>
      <c r="Q201" s="41">
        <f t="shared" si="54"/>
        <v>4214126.1</v>
      </c>
      <c r="R201" s="41">
        <f t="shared" si="55"/>
        <v>15353086.16</v>
      </c>
      <c r="S201" s="54"/>
      <c r="T201" s="38"/>
      <c r="U201" s="38"/>
      <c r="V201" s="9"/>
    </row>
    <row r="202" ht="15" customHeight="1" spans="1:22">
      <c r="A202" s="15">
        <v>41106</v>
      </c>
      <c r="B202" s="15" t="s">
        <v>35</v>
      </c>
      <c r="C202" s="16">
        <v>55751</v>
      </c>
      <c r="D202" s="17">
        <v>33910</v>
      </c>
      <c r="E202" s="17">
        <v>91701</v>
      </c>
      <c r="F202" s="18">
        <v>4700.9</v>
      </c>
      <c r="G202" s="19">
        <v>2946.7</v>
      </c>
      <c r="H202" s="20">
        <v>1858.8</v>
      </c>
      <c r="I202" s="20">
        <v>995.3</v>
      </c>
      <c r="J202" s="33">
        <f t="shared" si="56"/>
        <v>57791</v>
      </c>
      <c r="K202" s="34">
        <f t="shared" si="57"/>
        <v>1267</v>
      </c>
      <c r="L202" s="34">
        <v>773</v>
      </c>
      <c r="M202" s="35">
        <f t="shared" si="50"/>
        <v>877008</v>
      </c>
      <c r="N202" s="36">
        <f t="shared" si="51"/>
        <v>530005</v>
      </c>
      <c r="O202" s="36">
        <f t="shared" si="52"/>
        <v>1449148</v>
      </c>
      <c r="P202" s="35">
        <f t="shared" si="53"/>
        <v>10853416</v>
      </c>
      <c r="Q202" s="35">
        <f t="shared" si="54"/>
        <v>4248036.1</v>
      </c>
      <c r="R202" s="35">
        <f t="shared" si="55"/>
        <v>15444787.16</v>
      </c>
      <c r="S202" s="53"/>
      <c r="T202" s="33"/>
      <c r="U202" s="33"/>
      <c r="V202" s="33"/>
    </row>
    <row r="203" ht="15" customHeight="1" spans="1:22">
      <c r="A203" s="21">
        <v>41107</v>
      </c>
      <c r="B203" s="21" t="s">
        <v>36</v>
      </c>
      <c r="C203" s="22">
        <v>58854</v>
      </c>
      <c r="D203" s="8">
        <v>36800</v>
      </c>
      <c r="E203" s="8">
        <v>97309</v>
      </c>
      <c r="F203" s="23">
        <v>4865.9</v>
      </c>
      <c r="G203" s="24">
        <v>3069.5</v>
      </c>
      <c r="H203" s="25">
        <v>1860.4</v>
      </c>
      <c r="I203" s="37">
        <v>857.4</v>
      </c>
      <c r="J203" s="9">
        <f t="shared" si="56"/>
        <v>60509</v>
      </c>
      <c r="K203" s="38">
        <f t="shared" si="57"/>
        <v>882</v>
      </c>
      <c r="L203" s="38">
        <v>773</v>
      </c>
      <c r="M203" s="39">
        <f t="shared" si="50"/>
        <v>935862</v>
      </c>
      <c r="N203" s="40">
        <f t="shared" si="51"/>
        <v>566805</v>
      </c>
      <c r="O203" s="40">
        <f t="shared" si="52"/>
        <v>1546457</v>
      </c>
      <c r="P203" s="41">
        <f t="shared" si="53"/>
        <v>10912270</v>
      </c>
      <c r="Q203" s="41">
        <f t="shared" si="54"/>
        <v>4284836.1</v>
      </c>
      <c r="R203" s="41">
        <f t="shared" si="55"/>
        <v>15542096.16</v>
      </c>
      <c r="S203" s="54">
        <v>85.7558</v>
      </c>
      <c r="T203" s="54">
        <f>P203/10000-S203</f>
        <v>1005.4712</v>
      </c>
      <c r="U203" s="38"/>
      <c r="V203" s="59">
        <f>V$155+(T203-T$155-4.8)*10000/(3298.592+202+35*(4.5+20)/(30+20)+100*7/(30+17))</f>
        <v>2832.64765598374</v>
      </c>
    </row>
    <row r="204" ht="15" customHeight="1" spans="1:22">
      <c r="A204" s="21">
        <v>41108</v>
      </c>
      <c r="B204" s="21" t="s">
        <v>37</v>
      </c>
      <c r="C204" s="22">
        <v>61128</v>
      </c>
      <c r="D204" s="8">
        <v>39126</v>
      </c>
      <c r="E204" s="8">
        <v>101946</v>
      </c>
      <c r="F204" s="23">
        <v>5078.7</v>
      </c>
      <c r="G204" s="24">
        <v>3306.3</v>
      </c>
      <c r="H204" s="25">
        <v>1847</v>
      </c>
      <c r="I204" s="37">
        <v>1401</v>
      </c>
      <c r="J204" s="9">
        <f t="shared" si="56"/>
        <v>62820</v>
      </c>
      <c r="K204" s="38">
        <f t="shared" si="57"/>
        <v>919</v>
      </c>
      <c r="L204" s="38">
        <v>773</v>
      </c>
      <c r="M204" s="39">
        <f t="shared" si="50"/>
        <v>996990</v>
      </c>
      <c r="N204" s="40">
        <f t="shared" si="51"/>
        <v>605931</v>
      </c>
      <c r="O204" s="40">
        <f t="shared" si="52"/>
        <v>1648403</v>
      </c>
      <c r="P204" s="41">
        <f t="shared" si="53"/>
        <v>10973398</v>
      </c>
      <c r="Q204" s="41">
        <f t="shared" si="54"/>
        <v>4323962.1</v>
      </c>
      <c r="R204" s="41">
        <f t="shared" si="55"/>
        <v>15644042.16</v>
      </c>
      <c r="S204" s="54"/>
      <c r="T204" s="38"/>
      <c r="U204" s="38"/>
      <c r="V204" s="9"/>
    </row>
    <row r="205" ht="15" customHeight="1" spans="1:22">
      <c r="A205" s="21">
        <v>41109</v>
      </c>
      <c r="B205" s="21" t="s">
        <v>38</v>
      </c>
      <c r="C205" s="22">
        <v>61829</v>
      </c>
      <c r="D205" s="8">
        <v>38712</v>
      </c>
      <c r="E205" s="8">
        <v>102770</v>
      </c>
      <c r="F205" s="23">
        <v>5022.3</v>
      </c>
      <c r="G205" s="24">
        <v>3444</v>
      </c>
      <c r="H205" s="25">
        <v>1790</v>
      </c>
      <c r="I205" s="37">
        <v>1397</v>
      </c>
      <c r="J205" s="9">
        <f t="shared" si="56"/>
        <v>64058</v>
      </c>
      <c r="K205" s="38">
        <f t="shared" si="57"/>
        <v>1456</v>
      </c>
      <c r="L205" s="38">
        <v>773</v>
      </c>
      <c r="M205" s="39">
        <f t="shared" si="50"/>
        <v>1058819</v>
      </c>
      <c r="N205" s="40">
        <f t="shared" si="51"/>
        <v>644643</v>
      </c>
      <c r="O205" s="40">
        <f t="shared" si="52"/>
        <v>1751173</v>
      </c>
      <c r="P205" s="41">
        <f t="shared" si="53"/>
        <v>11035227</v>
      </c>
      <c r="Q205" s="41">
        <f t="shared" si="54"/>
        <v>4362674.1</v>
      </c>
      <c r="R205" s="41">
        <f t="shared" si="55"/>
        <v>15746812.16</v>
      </c>
      <c r="S205" s="54"/>
      <c r="T205" s="38"/>
      <c r="U205" s="38"/>
      <c r="V205" s="9"/>
    </row>
    <row r="206" ht="15" customHeight="1" spans="1:22">
      <c r="A206" s="21">
        <v>41110</v>
      </c>
      <c r="B206" s="21" t="s">
        <v>1</v>
      </c>
      <c r="C206" s="22">
        <v>59351</v>
      </c>
      <c r="D206" s="8">
        <v>38625</v>
      </c>
      <c r="E206" s="8">
        <v>99829</v>
      </c>
      <c r="F206" s="23">
        <v>4760.8</v>
      </c>
      <c r="G206" s="24">
        <v>3429</v>
      </c>
      <c r="H206" s="25">
        <v>1785</v>
      </c>
      <c r="I206" s="37">
        <v>1400</v>
      </c>
      <c r="J206" s="9">
        <f t="shared" si="56"/>
        <v>61204</v>
      </c>
      <c r="K206" s="38">
        <f t="shared" si="57"/>
        <v>1080</v>
      </c>
      <c r="L206" s="38">
        <v>773</v>
      </c>
      <c r="M206" s="39">
        <f t="shared" si="50"/>
        <v>1118170</v>
      </c>
      <c r="N206" s="40">
        <f t="shared" si="51"/>
        <v>683268</v>
      </c>
      <c r="O206" s="40">
        <f t="shared" si="52"/>
        <v>1851002</v>
      </c>
      <c r="P206" s="41">
        <f t="shared" si="53"/>
        <v>11094578</v>
      </c>
      <c r="Q206" s="41">
        <f t="shared" si="54"/>
        <v>4401299.1</v>
      </c>
      <c r="R206" s="41">
        <f t="shared" si="55"/>
        <v>15846641.16</v>
      </c>
      <c r="S206" s="54">
        <v>88.1705</v>
      </c>
      <c r="T206" s="54">
        <f>P206/10000-S206</f>
        <v>1021.2873</v>
      </c>
      <c r="U206" s="38"/>
      <c r="V206" s="60">
        <f>V$155+(T206-T$155-4.8)*10000/(3298.592+202+35*(4.5+20)/(30+20)+100*11/(30+20))</f>
        <v>2871.64234003495</v>
      </c>
    </row>
    <row r="207" ht="15" customHeight="1" spans="1:22">
      <c r="A207" s="21">
        <v>41111</v>
      </c>
      <c r="B207" s="21" t="s">
        <v>39</v>
      </c>
      <c r="C207" s="22">
        <v>66316</v>
      </c>
      <c r="D207" s="8">
        <v>38517</v>
      </c>
      <c r="E207" s="8">
        <v>107739</v>
      </c>
      <c r="F207" s="23">
        <v>5385</v>
      </c>
      <c r="G207" s="24">
        <v>3428</v>
      </c>
      <c r="H207" s="25">
        <v>1782</v>
      </c>
      <c r="I207" s="37">
        <v>1366</v>
      </c>
      <c r="J207" s="9">
        <f t="shared" si="56"/>
        <v>69222</v>
      </c>
      <c r="K207" s="38">
        <f t="shared" si="57"/>
        <v>2133</v>
      </c>
      <c r="L207" s="38">
        <v>773</v>
      </c>
      <c r="M207" s="39">
        <f t="shared" si="50"/>
        <v>1184486</v>
      </c>
      <c r="N207" s="40">
        <f t="shared" si="51"/>
        <v>721785</v>
      </c>
      <c r="O207" s="40">
        <f t="shared" si="52"/>
        <v>1958741</v>
      </c>
      <c r="P207" s="41">
        <f t="shared" si="53"/>
        <v>11160894</v>
      </c>
      <c r="Q207" s="41">
        <f t="shared" si="54"/>
        <v>4439816.1</v>
      </c>
      <c r="R207" s="41">
        <f t="shared" si="55"/>
        <v>15954380.16</v>
      </c>
      <c r="S207" s="54"/>
      <c r="T207" s="38"/>
      <c r="U207" s="38"/>
      <c r="V207" s="9"/>
    </row>
    <row r="208" ht="15" customHeight="1" spans="1:22">
      <c r="A208" s="21">
        <v>41112</v>
      </c>
      <c r="B208" s="21" t="s">
        <v>34</v>
      </c>
      <c r="C208" s="22">
        <v>63776.52</v>
      </c>
      <c r="D208" s="8">
        <v>36380</v>
      </c>
      <c r="E208" s="8">
        <v>104188</v>
      </c>
      <c r="F208" s="23">
        <v>5406</v>
      </c>
      <c r="G208" s="24">
        <v>3424</v>
      </c>
      <c r="H208" s="25">
        <v>1788</v>
      </c>
      <c r="I208" s="37">
        <v>1454</v>
      </c>
      <c r="J208" s="9">
        <f t="shared" si="56"/>
        <v>67808</v>
      </c>
      <c r="K208" s="38">
        <f t="shared" si="57"/>
        <v>3258.48</v>
      </c>
      <c r="L208" s="38">
        <v>773</v>
      </c>
      <c r="M208" s="39">
        <f t="shared" si="50"/>
        <v>1248262.52</v>
      </c>
      <c r="N208" s="40">
        <f t="shared" si="51"/>
        <v>758165</v>
      </c>
      <c r="O208" s="40">
        <f t="shared" si="52"/>
        <v>2062929</v>
      </c>
      <c r="P208" s="41">
        <f t="shared" si="53"/>
        <v>11224670.52</v>
      </c>
      <c r="Q208" s="41">
        <f t="shared" si="54"/>
        <v>4476196.1</v>
      </c>
      <c r="R208" s="41">
        <f t="shared" si="55"/>
        <v>16058568.16</v>
      </c>
      <c r="S208" s="54"/>
      <c r="T208" s="38"/>
      <c r="U208" s="38"/>
      <c r="V208" s="9"/>
    </row>
    <row r="209" ht="15" customHeight="1" spans="1:22">
      <c r="A209" s="15">
        <v>41113</v>
      </c>
      <c r="B209" s="15" t="s">
        <v>35</v>
      </c>
      <c r="C209" s="16">
        <v>64612</v>
      </c>
      <c r="D209" s="17">
        <v>37961</v>
      </c>
      <c r="E209" s="17">
        <v>106703</v>
      </c>
      <c r="F209" s="18">
        <v>5328</v>
      </c>
      <c r="G209" s="19">
        <v>3587.8</v>
      </c>
      <c r="H209" s="20">
        <v>1830.1</v>
      </c>
      <c r="I209" s="20">
        <v>1419.9</v>
      </c>
      <c r="J209" s="33">
        <f t="shared" si="56"/>
        <v>68742</v>
      </c>
      <c r="K209" s="34">
        <f t="shared" si="57"/>
        <v>3357</v>
      </c>
      <c r="L209" s="34">
        <v>773</v>
      </c>
      <c r="M209" s="35">
        <f t="shared" si="50"/>
        <v>1312874.52</v>
      </c>
      <c r="N209" s="36">
        <f t="shared" si="51"/>
        <v>796126</v>
      </c>
      <c r="O209" s="36">
        <f t="shared" si="52"/>
        <v>2169632</v>
      </c>
      <c r="P209" s="35">
        <f t="shared" si="53"/>
        <v>11289282.52</v>
      </c>
      <c r="Q209" s="35">
        <f t="shared" si="54"/>
        <v>4514157.1</v>
      </c>
      <c r="R209" s="35">
        <f t="shared" si="55"/>
        <v>16165271.16</v>
      </c>
      <c r="S209" s="53"/>
      <c r="T209" s="33"/>
      <c r="U209" s="33"/>
      <c r="V209" s="33"/>
    </row>
    <row r="210" ht="15" customHeight="1" spans="1:22">
      <c r="A210" s="21">
        <v>41114</v>
      </c>
      <c r="B210" s="21" t="s">
        <v>36</v>
      </c>
      <c r="C210" s="22">
        <v>62000</v>
      </c>
      <c r="D210" s="8">
        <v>36360</v>
      </c>
      <c r="E210" s="8">
        <v>102500</v>
      </c>
      <c r="F210" s="23">
        <v>4892.7</v>
      </c>
      <c r="G210" s="24">
        <v>3378.4</v>
      </c>
      <c r="H210" s="25">
        <v>1577.8</v>
      </c>
      <c r="I210" s="37">
        <v>1203.3</v>
      </c>
      <c r="J210" s="9">
        <f t="shared" si="56"/>
        <v>66140</v>
      </c>
      <c r="K210" s="38">
        <f t="shared" si="57"/>
        <v>3367</v>
      </c>
      <c r="L210" s="38">
        <v>773</v>
      </c>
      <c r="M210" s="39">
        <f t="shared" si="50"/>
        <v>1374874.52</v>
      </c>
      <c r="N210" s="40">
        <f t="shared" si="51"/>
        <v>832486</v>
      </c>
      <c r="O210" s="40">
        <f t="shared" si="52"/>
        <v>2272132</v>
      </c>
      <c r="P210" s="41">
        <f t="shared" si="53"/>
        <v>11351282.52</v>
      </c>
      <c r="Q210" s="41">
        <f t="shared" si="54"/>
        <v>4550517.1</v>
      </c>
      <c r="R210" s="41">
        <f t="shared" si="55"/>
        <v>16267771.16</v>
      </c>
      <c r="S210" s="54">
        <v>90.3705</v>
      </c>
      <c r="T210" s="54">
        <f>P210/10000-S210</f>
        <v>1044.757752</v>
      </c>
      <c r="U210" s="38"/>
      <c r="V210" s="59">
        <f>V$155+(T210-T$155-4.8)*10000/(3298.592+202+35*(4.5+24)/(30+24)+100*15/(30+24))</f>
        <v>2932.06675685018</v>
      </c>
    </row>
    <row r="211" ht="15" customHeight="1" spans="1:22">
      <c r="A211" s="21">
        <v>41115</v>
      </c>
      <c r="B211" s="21" t="s">
        <v>37</v>
      </c>
      <c r="C211" s="22">
        <v>55621</v>
      </c>
      <c r="D211" s="8">
        <v>37907</v>
      </c>
      <c r="E211" s="8">
        <v>96872</v>
      </c>
      <c r="F211" s="23">
        <v>4813.7</v>
      </c>
      <c r="G211" s="24">
        <v>3101.8</v>
      </c>
      <c r="H211" s="25">
        <v>1774</v>
      </c>
      <c r="I211" s="37">
        <v>1346.3</v>
      </c>
      <c r="J211" s="9">
        <f t="shared" si="56"/>
        <v>58965</v>
      </c>
      <c r="K211" s="38">
        <f t="shared" si="57"/>
        <v>2576</v>
      </c>
      <c r="L211" s="38">
        <v>768</v>
      </c>
      <c r="M211" s="39">
        <f t="shared" si="50"/>
        <v>1430495.52</v>
      </c>
      <c r="N211" s="40">
        <f t="shared" si="51"/>
        <v>870393</v>
      </c>
      <c r="O211" s="40">
        <f t="shared" si="52"/>
        <v>2369004</v>
      </c>
      <c r="P211" s="41">
        <f t="shared" si="53"/>
        <v>11406903.52</v>
      </c>
      <c r="Q211" s="41">
        <f t="shared" si="54"/>
        <v>4588424.1</v>
      </c>
      <c r="R211" s="41">
        <f t="shared" si="55"/>
        <v>16364643.16</v>
      </c>
      <c r="S211" s="54"/>
      <c r="T211" s="38"/>
      <c r="U211" s="38"/>
      <c r="V211" s="9"/>
    </row>
    <row r="212" ht="15" customHeight="1" spans="1:22">
      <c r="A212" s="21">
        <v>41116</v>
      </c>
      <c r="B212" s="21" t="s">
        <v>38</v>
      </c>
      <c r="C212" s="22">
        <v>56554</v>
      </c>
      <c r="D212" s="8">
        <v>37573</v>
      </c>
      <c r="E212" s="8">
        <v>96821</v>
      </c>
      <c r="F212" s="23">
        <v>4893.4</v>
      </c>
      <c r="G212" s="24">
        <v>3246.2</v>
      </c>
      <c r="H212" s="25">
        <v>1758.6</v>
      </c>
      <c r="I212" s="37">
        <v>1339.5</v>
      </c>
      <c r="J212" s="9">
        <f t="shared" si="56"/>
        <v>59248</v>
      </c>
      <c r="K212" s="38">
        <f t="shared" si="57"/>
        <v>1927</v>
      </c>
      <c r="L212" s="38">
        <v>767</v>
      </c>
      <c r="M212" s="39">
        <f t="shared" si="50"/>
        <v>1487049.52</v>
      </c>
      <c r="N212" s="40">
        <f t="shared" si="51"/>
        <v>907966</v>
      </c>
      <c r="O212" s="40">
        <f t="shared" si="52"/>
        <v>2465825</v>
      </c>
      <c r="P212" s="41">
        <f t="shared" si="53"/>
        <v>11463457.52</v>
      </c>
      <c r="Q212" s="41">
        <f t="shared" si="54"/>
        <v>4625997.1</v>
      </c>
      <c r="R212" s="41">
        <f t="shared" si="55"/>
        <v>16461464.16</v>
      </c>
      <c r="S212" s="54"/>
      <c r="T212" s="38"/>
      <c r="U212" s="38"/>
      <c r="V212" s="9"/>
    </row>
    <row r="213" ht="15" customHeight="1" spans="1:22">
      <c r="A213" s="21">
        <v>41117</v>
      </c>
      <c r="B213" s="21" t="s">
        <v>1</v>
      </c>
      <c r="C213" s="22">
        <v>50785</v>
      </c>
      <c r="D213" s="8">
        <v>37543</v>
      </c>
      <c r="E213" s="8">
        <v>90370</v>
      </c>
      <c r="F213" s="23">
        <v>4553.3</v>
      </c>
      <c r="G213" s="24">
        <v>3149.5</v>
      </c>
      <c r="H213" s="25">
        <v>1769.2</v>
      </c>
      <c r="I213" s="37">
        <v>1359.3</v>
      </c>
      <c r="J213" s="9">
        <f t="shared" si="56"/>
        <v>52827</v>
      </c>
      <c r="K213" s="38">
        <f t="shared" si="57"/>
        <v>1275</v>
      </c>
      <c r="L213" s="38">
        <v>767</v>
      </c>
      <c r="M213" s="39">
        <f t="shared" si="50"/>
        <v>1537834.52</v>
      </c>
      <c r="N213" s="40">
        <f t="shared" si="51"/>
        <v>945509</v>
      </c>
      <c r="O213" s="40">
        <f t="shared" si="52"/>
        <v>2556195</v>
      </c>
      <c r="P213" s="41">
        <f t="shared" si="53"/>
        <v>11514242.52</v>
      </c>
      <c r="Q213" s="41">
        <f t="shared" si="54"/>
        <v>4663540.1</v>
      </c>
      <c r="R213" s="41">
        <f t="shared" si="55"/>
        <v>16551834.16</v>
      </c>
      <c r="S213" s="54"/>
      <c r="T213" s="38"/>
      <c r="U213" s="38"/>
      <c r="V213" s="9"/>
    </row>
    <row r="214" ht="15" customHeight="1" spans="1:22">
      <c r="A214" s="21">
        <v>41118</v>
      </c>
      <c r="B214" s="21" t="s">
        <v>39</v>
      </c>
      <c r="C214" s="22">
        <v>54768</v>
      </c>
      <c r="D214" s="8">
        <v>38192</v>
      </c>
      <c r="E214" s="8">
        <v>95940</v>
      </c>
      <c r="F214" s="23">
        <v>4906</v>
      </c>
      <c r="G214" s="24">
        <v>2960</v>
      </c>
      <c r="H214" s="25">
        <v>1770</v>
      </c>
      <c r="I214" s="37"/>
      <c r="J214" s="9">
        <f t="shared" si="56"/>
        <v>57748</v>
      </c>
      <c r="K214" s="38">
        <f t="shared" si="57"/>
        <v>2214</v>
      </c>
      <c r="L214" s="38">
        <v>766</v>
      </c>
      <c r="M214" s="39">
        <f t="shared" si="50"/>
        <v>1592602.52</v>
      </c>
      <c r="N214" s="40">
        <f t="shared" si="51"/>
        <v>983701</v>
      </c>
      <c r="O214" s="40">
        <f t="shared" si="52"/>
        <v>2652135</v>
      </c>
      <c r="P214" s="41">
        <f t="shared" si="53"/>
        <v>11569010.52</v>
      </c>
      <c r="Q214" s="41">
        <f t="shared" si="54"/>
        <v>4701732.1</v>
      </c>
      <c r="R214" s="41">
        <f t="shared" si="55"/>
        <v>16647774.16</v>
      </c>
      <c r="S214" s="54"/>
      <c r="T214" s="38"/>
      <c r="U214" s="38"/>
      <c r="V214" s="9"/>
    </row>
    <row r="215" ht="15" customHeight="1" spans="1:22">
      <c r="A215" s="21">
        <v>41119</v>
      </c>
      <c r="B215" s="21" t="s">
        <v>34</v>
      </c>
      <c r="C215" s="22">
        <v>60498</v>
      </c>
      <c r="D215" s="8">
        <v>37223</v>
      </c>
      <c r="E215" s="8">
        <v>100936</v>
      </c>
      <c r="F215" s="23">
        <v>5028.6</v>
      </c>
      <c r="G215" s="24">
        <v>3146.6</v>
      </c>
      <c r="H215" s="25">
        <v>1781.1</v>
      </c>
      <c r="I215" s="37">
        <v>1380.8</v>
      </c>
      <c r="J215" s="9">
        <f t="shared" si="56"/>
        <v>63713</v>
      </c>
      <c r="K215" s="38">
        <f t="shared" si="57"/>
        <v>2449</v>
      </c>
      <c r="L215" s="38">
        <v>766</v>
      </c>
      <c r="M215" s="39">
        <f t="shared" si="50"/>
        <v>1653100.52</v>
      </c>
      <c r="N215" s="40">
        <f t="shared" si="51"/>
        <v>1020924</v>
      </c>
      <c r="O215" s="40">
        <f t="shared" si="52"/>
        <v>2753071</v>
      </c>
      <c r="P215" s="41">
        <f t="shared" si="53"/>
        <v>11629508.52</v>
      </c>
      <c r="Q215" s="41">
        <f t="shared" si="54"/>
        <v>4738955.1</v>
      </c>
      <c r="R215" s="41">
        <f t="shared" si="55"/>
        <v>16748710.16</v>
      </c>
      <c r="S215" s="54"/>
      <c r="T215" s="38"/>
      <c r="U215" s="38"/>
      <c r="V215" s="9"/>
    </row>
    <row r="216" ht="15" customHeight="1" spans="1:22">
      <c r="A216" s="15">
        <v>41120</v>
      </c>
      <c r="B216" s="15" t="s">
        <v>35</v>
      </c>
      <c r="C216" s="16">
        <v>66225</v>
      </c>
      <c r="D216" s="17">
        <v>35249</v>
      </c>
      <c r="E216" s="17">
        <v>105100</v>
      </c>
      <c r="F216" s="18">
        <v>5213.7</v>
      </c>
      <c r="G216" s="19">
        <v>3357.6</v>
      </c>
      <c r="H216" s="20">
        <v>1650</v>
      </c>
      <c r="I216" s="20">
        <v>1251.7</v>
      </c>
      <c r="J216" s="33">
        <f t="shared" si="56"/>
        <v>69851</v>
      </c>
      <c r="K216" s="34">
        <f t="shared" si="57"/>
        <v>2863</v>
      </c>
      <c r="L216" s="34">
        <v>763</v>
      </c>
      <c r="M216" s="35">
        <f t="shared" si="50"/>
        <v>1719325.52</v>
      </c>
      <c r="N216" s="36">
        <f t="shared" si="51"/>
        <v>1056173</v>
      </c>
      <c r="O216" s="36">
        <f t="shared" si="52"/>
        <v>2858171</v>
      </c>
      <c r="P216" s="35">
        <f t="shared" si="53"/>
        <v>11695733.52</v>
      </c>
      <c r="Q216" s="35">
        <f t="shared" si="54"/>
        <v>4774204.1</v>
      </c>
      <c r="R216" s="35">
        <f t="shared" si="55"/>
        <v>16853810.16</v>
      </c>
      <c r="S216" s="53"/>
      <c r="T216" s="33"/>
      <c r="U216" s="33"/>
      <c r="V216" s="33"/>
    </row>
    <row r="217" s="1" customFormat="1" ht="15" customHeight="1" spans="1:22">
      <c r="A217" s="26">
        <v>41121</v>
      </c>
      <c r="B217" s="26" t="s">
        <v>36</v>
      </c>
      <c r="C217" s="27">
        <v>65930</v>
      </c>
      <c r="D217" s="28">
        <v>34370</v>
      </c>
      <c r="E217" s="28">
        <v>104266</v>
      </c>
      <c r="F217" s="29">
        <v>5242.2</v>
      </c>
      <c r="G217" s="30">
        <v>3493.5</v>
      </c>
      <c r="H217" s="31">
        <v>1663.6</v>
      </c>
      <c r="I217" s="31">
        <v>1239.7</v>
      </c>
      <c r="J217" s="43">
        <f t="shared" si="56"/>
        <v>69896</v>
      </c>
      <c r="K217" s="44">
        <f t="shared" si="57"/>
        <v>3203</v>
      </c>
      <c r="L217" s="44">
        <v>763</v>
      </c>
      <c r="M217" s="45">
        <f t="shared" si="50"/>
        <v>1785255.52</v>
      </c>
      <c r="N217" s="47">
        <f t="shared" si="51"/>
        <v>1090543</v>
      </c>
      <c r="O217" s="47">
        <f t="shared" si="52"/>
        <v>2962437</v>
      </c>
      <c r="P217" s="45">
        <f t="shared" si="53"/>
        <v>11761663.52</v>
      </c>
      <c r="Q217" s="45">
        <f t="shared" si="54"/>
        <v>4808574.1</v>
      </c>
      <c r="R217" s="45">
        <f t="shared" si="55"/>
        <v>16958076.16</v>
      </c>
      <c r="S217" s="56">
        <v>95.2487</v>
      </c>
      <c r="T217" s="56">
        <f>P217/10000-S217</f>
        <v>1080.917652</v>
      </c>
      <c r="U217" s="44"/>
      <c r="V217" s="61">
        <f>V$155+(T217-T$155-4.8)*10000/(3298.592+202+35*(4.5+31)/(30+31)+100*21.7/(30+31))</f>
        <v>3025.74771817392</v>
      </c>
    </row>
    <row r="218" ht="15" customHeight="1" spans="1:22">
      <c r="A218" s="21">
        <v>41122</v>
      </c>
      <c r="B218" s="21" t="s">
        <v>37</v>
      </c>
      <c r="C218" s="22">
        <v>56413</v>
      </c>
      <c r="D218" s="8">
        <v>34245</v>
      </c>
      <c r="E218" s="8">
        <v>93059</v>
      </c>
      <c r="F218" s="23">
        <v>4647.8</v>
      </c>
      <c r="G218" s="24">
        <v>3346.3</v>
      </c>
      <c r="H218" s="25"/>
      <c r="I218" s="37"/>
      <c r="J218" s="9">
        <f t="shared" si="56"/>
        <v>58814</v>
      </c>
      <c r="K218" s="38">
        <f t="shared" si="57"/>
        <v>1637</v>
      </c>
      <c r="L218" s="38">
        <v>764</v>
      </c>
      <c r="M218" s="39">
        <f>C218</f>
        <v>56413</v>
      </c>
      <c r="N218" s="40">
        <f>D218</f>
        <v>34245</v>
      </c>
      <c r="O218" s="40">
        <f>E218</f>
        <v>93059</v>
      </c>
      <c r="P218" s="41">
        <f>P$217+M218</f>
        <v>11818076.52</v>
      </c>
      <c r="Q218" s="41">
        <f>Q$217+N218</f>
        <v>4842819.1</v>
      </c>
      <c r="R218" s="41">
        <f>R$217+O218</f>
        <v>17051135.16</v>
      </c>
      <c r="S218" s="54"/>
      <c r="T218" s="38"/>
      <c r="U218" s="38"/>
      <c r="V218" s="62">
        <f>V217-V186</f>
        <v>410.823828278144</v>
      </c>
    </row>
    <row r="219" ht="15" customHeight="1" spans="1:22">
      <c r="A219" s="21">
        <v>41123</v>
      </c>
      <c r="B219" s="21" t="s">
        <v>38</v>
      </c>
      <c r="C219" s="22">
        <v>53884</v>
      </c>
      <c r="D219" s="8">
        <v>34337</v>
      </c>
      <c r="E219" s="8">
        <v>90025</v>
      </c>
      <c r="F219" s="23">
        <v>4466.5</v>
      </c>
      <c r="G219" s="24">
        <v>3053.2</v>
      </c>
      <c r="H219" s="25"/>
      <c r="I219" s="37"/>
      <c r="J219" s="9">
        <f t="shared" si="56"/>
        <v>55688</v>
      </c>
      <c r="K219" s="38">
        <f t="shared" si="57"/>
        <v>1035</v>
      </c>
      <c r="L219" s="38">
        <v>769</v>
      </c>
      <c r="M219" s="39">
        <f t="shared" ref="M219:M248" si="58">M218+C219</f>
        <v>110297</v>
      </c>
      <c r="N219" s="40">
        <f t="shared" ref="N219:O226" si="59">N218+D219</f>
        <v>68582</v>
      </c>
      <c r="O219" s="40">
        <f t="shared" si="59"/>
        <v>183084</v>
      </c>
      <c r="P219" s="41">
        <f t="shared" ref="P219:P248" si="60">P$217+M219</f>
        <v>11871960.52</v>
      </c>
      <c r="Q219" s="41">
        <f t="shared" ref="Q219:Q248" si="61">Q$217+N219</f>
        <v>4877156.1</v>
      </c>
      <c r="R219" s="41">
        <f t="shared" ref="R219:R248" si="62">R$217+O219</f>
        <v>17141160.16</v>
      </c>
      <c r="S219" s="54"/>
      <c r="T219" s="38"/>
      <c r="U219" s="38"/>
      <c r="V219" s="9"/>
    </row>
    <row r="220" ht="15" customHeight="1" spans="1:22">
      <c r="A220" s="21">
        <v>41124</v>
      </c>
      <c r="B220" s="21" t="s">
        <v>1</v>
      </c>
      <c r="C220" s="22">
        <v>58890</v>
      </c>
      <c r="D220" s="8">
        <v>32854</v>
      </c>
      <c r="E220" s="8">
        <v>93906</v>
      </c>
      <c r="F220" s="23">
        <v>4470</v>
      </c>
      <c r="G220" s="24">
        <v>3152.6</v>
      </c>
      <c r="H220" s="25"/>
      <c r="I220" s="37"/>
      <c r="J220" s="9">
        <f t="shared" si="56"/>
        <v>61052</v>
      </c>
      <c r="K220" s="38">
        <f t="shared" si="57"/>
        <v>1394</v>
      </c>
      <c r="L220" s="38">
        <v>768</v>
      </c>
      <c r="M220" s="39">
        <f t="shared" si="58"/>
        <v>169187</v>
      </c>
      <c r="N220" s="40">
        <f t="shared" si="59"/>
        <v>101436</v>
      </c>
      <c r="O220" s="40">
        <f t="shared" si="59"/>
        <v>276990</v>
      </c>
      <c r="P220" s="41">
        <f t="shared" si="60"/>
        <v>11930850.52</v>
      </c>
      <c r="Q220" s="41">
        <f t="shared" si="61"/>
        <v>4910010.1</v>
      </c>
      <c r="R220" s="41">
        <f t="shared" si="62"/>
        <v>17235066.16</v>
      </c>
      <c r="S220" s="54"/>
      <c r="T220" s="38"/>
      <c r="U220" s="38"/>
      <c r="V220" s="9"/>
    </row>
    <row r="221" ht="15" customHeight="1" spans="1:22">
      <c r="A221" s="21">
        <v>41125</v>
      </c>
      <c r="B221" s="21" t="s">
        <v>39</v>
      </c>
      <c r="C221" s="22">
        <v>71157</v>
      </c>
      <c r="D221" s="8">
        <v>32017</v>
      </c>
      <c r="E221" s="8">
        <v>106306</v>
      </c>
      <c r="F221" s="23">
        <v>5373</v>
      </c>
      <c r="G221" s="24">
        <v>3331.6</v>
      </c>
      <c r="H221" s="25">
        <v>1641.1</v>
      </c>
      <c r="I221" s="37">
        <v>955.9</v>
      </c>
      <c r="J221" s="9">
        <f t="shared" si="56"/>
        <v>74289</v>
      </c>
      <c r="K221" s="38">
        <f t="shared" si="57"/>
        <v>2366</v>
      </c>
      <c r="L221" s="38">
        <v>766</v>
      </c>
      <c r="M221" s="39">
        <f t="shared" si="58"/>
        <v>240344</v>
      </c>
      <c r="N221" s="40">
        <f t="shared" si="59"/>
        <v>133453</v>
      </c>
      <c r="O221" s="40">
        <f t="shared" si="59"/>
        <v>383296</v>
      </c>
      <c r="P221" s="41">
        <f t="shared" si="60"/>
        <v>12002007.52</v>
      </c>
      <c r="Q221" s="41">
        <f t="shared" si="61"/>
        <v>4942027.1</v>
      </c>
      <c r="R221" s="41">
        <f t="shared" si="62"/>
        <v>17341372.16</v>
      </c>
      <c r="S221" s="54"/>
      <c r="T221" s="38"/>
      <c r="U221" s="38"/>
      <c r="V221" s="9"/>
    </row>
    <row r="222" ht="15" customHeight="1" spans="1:22">
      <c r="A222" s="21">
        <v>41126</v>
      </c>
      <c r="B222" s="21" t="s">
        <v>34</v>
      </c>
      <c r="C222" s="22">
        <v>73422</v>
      </c>
      <c r="D222" s="8">
        <v>34813</v>
      </c>
      <c r="E222" s="8">
        <v>110654</v>
      </c>
      <c r="F222" s="23">
        <v>5503</v>
      </c>
      <c r="G222" s="24">
        <v>3589.5</v>
      </c>
      <c r="H222" s="25">
        <v>1687.5</v>
      </c>
      <c r="I222" s="37">
        <v>1063.6</v>
      </c>
      <c r="J222" s="9">
        <f t="shared" si="56"/>
        <v>75841</v>
      </c>
      <c r="K222" s="38">
        <f t="shared" si="57"/>
        <v>1658</v>
      </c>
      <c r="L222" s="38">
        <v>761</v>
      </c>
      <c r="M222" s="39">
        <f t="shared" si="58"/>
        <v>313766</v>
      </c>
      <c r="N222" s="40">
        <f t="shared" si="59"/>
        <v>168266</v>
      </c>
      <c r="O222" s="40">
        <f t="shared" si="59"/>
        <v>493950</v>
      </c>
      <c r="P222" s="41">
        <f t="shared" si="60"/>
        <v>12075429.52</v>
      </c>
      <c r="Q222" s="41">
        <f t="shared" si="61"/>
        <v>4976840.1</v>
      </c>
      <c r="R222" s="41">
        <f t="shared" si="62"/>
        <v>17452026.16</v>
      </c>
      <c r="S222" s="54"/>
      <c r="T222" s="38"/>
      <c r="U222" s="38"/>
      <c r="V222" s="9"/>
    </row>
    <row r="223" ht="15" customHeight="1" spans="1:22">
      <c r="A223" s="15">
        <v>41127</v>
      </c>
      <c r="B223" s="15" t="s">
        <v>35</v>
      </c>
      <c r="C223" s="16">
        <v>72388</v>
      </c>
      <c r="D223" s="17">
        <v>38898</v>
      </c>
      <c r="E223" s="17">
        <v>113521</v>
      </c>
      <c r="F223" s="18">
        <v>5773.6</v>
      </c>
      <c r="G223" s="19">
        <v>3624</v>
      </c>
      <c r="H223" s="20">
        <v>1829</v>
      </c>
      <c r="I223" s="20">
        <v>1341</v>
      </c>
      <c r="J223" s="33">
        <f t="shared" si="56"/>
        <v>74623</v>
      </c>
      <c r="K223" s="34">
        <f t="shared" si="57"/>
        <v>1475</v>
      </c>
      <c r="L223" s="34">
        <v>760</v>
      </c>
      <c r="M223" s="35">
        <f t="shared" si="58"/>
        <v>386154</v>
      </c>
      <c r="N223" s="36">
        <f t="shared" si="59"/>
        <v>207164</v>
      </c>
      <c r="O223" s="36">
        <f t="shared" si="59"/>
        <v>607471</v>
      </c>
      <c r="P223" s="35">
        <f t="shared" si="60"/>
        <v>12147817.52</v>
      </c>
      <c r="Q223" s="35">
        <f t="shared" si="61"/>
        <v>5015738.1</v>
      </c>
      <c r="R223" s="35">
        <f t="shared" si="62"/>
        <v>17565547.16</v>
      </c>
      <c r="S223" s="53"/>
      <c r="T223" s="33"/>
      <c r="U223" s="33"/>
      <c r="V223" s="33"/>
    </row>
    <row r="224" ht="15" customHeight="1" spans="1:22">
      <c r="A224" s="21">
        <v>41128</v>
      </c>
      <c r="B224" s="21" t="s">
        <v>36</v>
      </c>
      <c r="C224" s="22">
        <v>71117</v>
      </c>
      <c r="D224" s="8">
        <v>36247</v>
      </c>
      <c r="E224" s="8">
        <v>109086</v>
      </c>
      <c r="F224" s="23">
        <v>5437.4</v>
      </c>
      <c r="G224" s="24">
        <v>3618.7</v>
      </c>
      <c r="H224" s="25">
        <v>1692.3</v>
      </c>
      <c r="I224" s="37">
        <v>1251.8</v>
      </c>
      <c r="J224" s="9">
        <f t="shared" si="56"/>
        <v>72839</v>
      </c>
      <c r="K224" s="38">
        <f t="shared" si="57"/>
        <v>962</v>
      </c>
      <c r="L224" s="38">
        <v>760</v>
      </c>
      <c r="M224" s="39">
        <f t="shared" si="58"/>
        <v>457271</v>
      </c>
      <c r="N224" s="40">
        <f t="shared" si="59"/>
        <v>243411</v>
      </c>
      <c r="O224" s="40">
        <f t="shared" si="59"/>
        <v>716557</v>
      </c>
      <c r="P224" s="41">
        <f t="shared" si="60"/>
        <v>12218934.52</v>
      </c>
      <c r="Q224" s="41">
        <f t="shared" si="61"/>
        <v>5051985.1</v>
      </c>
      <c r="R224" s="41">
        <f t="shared" si="62"/>
        <v>17674633.16</v>
      </c>
      <c r="S224" s="54">
        <v>99.7287</v>
      </c>
      <c r="T224" s="54">
        <f>P224/10000-S224</f>
        <v>1122.164752</v>
      </c>
      <c r="U224" s="38"/>
      <c r="V224" s="59">
        <f>V$155+(T224-T$155-4.8)*10000/(3298.592+202+35*(4.5+31+7)/(30+31+7)+100*(21+7)/(30+31+7))</f>
        <v>3135.45606125284</v>
      </c>
    </row>
    <row r="225" ht="15" customHeight="1" spans="1:22">
      <c r="A225" s="21">
        <v>41129</v>
      </c>
      <c r="B225" s="21" t="s">
        <v>37</v>
      </c>
      <c r="C225" s="22">
        <v>62457</v>
      </c>
      <c r="D225" s="8">
        <v>37329</v>
      </c>
      <c r="E225" s="8">
        <v>101725</v>
      </c>
      <c r="F225" s="23">
        <v>4996</v>
      </c>
      <c r="G225" s="24">
        <v>3547</v>
      </c>
      <c r="H225" s="25">
        <v>1780.3</v>
      </c>
      <c r="I225" s="37">
        <v>1265.9</v>
      </c>
      <c r="J225" s="9">
        <f t="shared" si="56"/>
        <v>64396</v>
      </c>
      <c r="K225" s="38">
        <f t="shared" si="57"/>
        <v>1177</v>
      </c>
      <c r="L225" s="38">
        <v>762</v>
      </c>
      <c r="M225" s="39">
        <f t="shared" si="58"/>
        <v>519728</v>
      </c>
      <c r="N225" s="40">
        <f t="shared" si="59"/>
        <v>280740</v>
      </c>
      <c r="O225" s="40">
        <f t="shared" si="59"/>
        <v>818282</v>
      </c>
      <c r="P225" s="41">
        <f t="shared" si="60"/>
        <v>12281391.52</v>
      </c>
      <c r="Q225" s="41">
        <f t="shared" si="61"/>
        <v>5089314.1</v>
      </c>
      <c r="R225" s="41">
        <f t="shared" si="62"/>
        <v>17776358.16</v>
      </c>
      <c r="S225" s="54"/>
      <c r="T225" s="38"/>
      <c r="U225" s="38"/>
      <c r="V225" s="9"/>
    </row>
    <row r="226" ht="15" customHeight="1" spans="1:22">
      <c r="A226" s="21">
        <v>41130</v>
      </c>
      <c r="B226" s="21" t="s">
        <v>38</v>
      </c>
      <c r="C226" s="22">
        <v>61769</v>
      </c>
      <c r="D226" s="8">
        <v>33758</v>
      </c>
      <c r="E226" s="8">
        <v>97590</v>
      </c>
      <c r="F226" s="23">
        <v>4749</v>
      </c>
      <c r="G226" s="24">
        <v>3342</v>
      </c>
      <c r="H226" s="25"/>
      <c r="I226" s="37"/>
      <c r="J226" s="9">
        <f t="shared" si="56"/>
        <v>63832</v>
      </c>
      <c r="K226" s="38">
        <f t="shared" si="57"/>
        <v>1301</v>
      </c>
      <c r="L226" s="38">
        <v>762</v>
      </c>
      <c r="M226" s="39">
        <f t="shared" si="58"/>
        <v>581497</v>
      </c>
      <c r="N226" s="40">
        <f t="shared" si="59"/>
        <v>314498</v>
      </c>
      <c r="O226" s="40">
        <f t="shared" si="59"/>
        <v>915872</v>
      </c>
      <c r="P226" s="41">
        <f t="shared" si="60"/>
        <v>12343160.52</v>
      </c>
      <c r="Q226" s="41">
        <f t="shared" si="61"/>
        <v>5123072.1</v>
      </c>
      <c r="R226" s="41">
        <f t="shared" si="62"/>
        <v>17873948.16</v>
      </c>
      <c r="S226" s="54"/>
      <c r="T226" s="38"/>
      <c r="U226" s="38"/>
      <c r="V226" s="9"/>
    </row>
    <row r="227" ht="15" customHeight="1" spans="1:22">
      <c r="A227" s="21">
        <v>41131</v>
      </c>
      <c r="B227" s="21" t="s">
        <v>1</v>
      </c>
      <c r="C227" s="22">
        <v>54293</v>
      </c>
      <c r="D227" s="8">
        <v>34343</v>
      </c>
      <c r="E227" s="8">
        <v>89936</v>
      </c>
      <c r="F227" s="23">
        <v>4282</v>
      </c>
      <c r="G227" s="24">
        <v>3289</v>
      </c>
      <c r="H227" s="25"/>
      <c r="I227" s="37"/>
      <c r="J227" s="9">
        <f t="shared" si="56"/>
        <v>55593</v>
      </c>
      <c r="K227" s="38">
        <f t="shared" si="57"/>
        <v>538</v>
      </c>
      <c r="L227" s="38">
        <v>762</v>
      </c>
      <c r="M227" s="39">
        <v>635790</v>
      </c>
      <c r="N227" s="40">
        <v>348841</v>
      </c>
      <c r="O227" s="40">
        <v>1005807</v>
      </c>
      <c r="P227" s="41">
        <f t="shared" si="60"/>
        <v>12397453.52</v>
      </c>
      <c r="Q227" s="41">
        <f t="shared" si="61"/>
        <v>5157415.1</v>
      </c>
      <c r="R227" s="41">
        <f t="shared" si="62"/>
        <v>17963883.16</v>
      </c>
      <c r="S227" s="54">
        <v>102.3126</v>
      </c>
      <c r="T227" s="54">
        <f>P227/10000-S227</f>
        <v>1137.432752</v>
      </c>
      <c r="U227" s="38"/>
      <c r="V227" s="60">
        <f>V$155+(T227-T$155-4.8)*10000/(3298.592+202+35*(4.5+31+10)/(30+31+10)+103*(21+10)/(30+31+10)+12*(31+10)/(181+31+10))</f>
        <v>3172.45448047233</v>
      </c>
    </row>
    <row r="228" ht="15" customHeight="1" spans="1:22">
      <c r="A228" s="21">
        <v>41132</v>
      </c>
      <c r="B228" s="21" t="s">
        <v>39</v>
      </c>
      <c r="C228" s="22">
        <v>54387</v>
      </c>
      <c r="D228" s="8">
        <v>36446</v>
      </c>
      <c r="E228" s="8">
        <v>92276</v>
      </c>
      <c r="F228" s="23">
        <v>4679</v>
      </c>
      <c r="G228" s="24">
        <v>3066</v>
      </c>
      <c r="H228" s="25"/>
      <c r="I228" s="37"/>
      <c r="J228" s="9">
        <f t="shared" si="56"/>
        <v>55830</v>
      </c>
      <c r="K228" s="38">
        <f t="shared" si="57"/>
        <v>681</v>
      </c>
      <c r="L228" s="38">
        <v>762</v>
      </c>
      <c r="M228" s="39">
        <f t="shared" si="58"/>
        <v>690177</v>
      </c>
      <c r="N228" s="40">
        <f t="shared" ref="N228:N248" si="63">N227+D228</f>
        <v>385287</v>
      </c>
      <c r="O228" s="40">
        <f t="shared" ref="O228:O248" si="64">O227+E228</f>
        <v>1098083</v>
      </c>
      <c r="P228" s="41">
        <f t="shared" si="60"/>
        <v>12451840.52</v>
      </c>
      <c r="Q228" s="41">
        <f t="shared" si="61"/>
        <v>5193861.1</v>
      </c>
      <c r="R228" s="41">
        <f t="shared" si="62"/>
        <v>18056159.16</v>
      </c>
      <c r="S228" s="54"/>
      <c r="T228" s="38"/>
      <c r="U228" s="38"/>
      <c r="V228" s="9"/>
    </row>
    <row r="229" ht="15" customHeight="1" spans="1:22">
      <c r="A229" s="21">
        <v>41133</v>
      </c>
      <c r="B229" s="21" t="s">
        <v>34</v>
      </c>
      <c r="C229" s="22">
        <v>49814</v>
      </c>
      <c r="D229" s="8">
        <v>37983</v>
      </c>
      <c r="E229" s="8">
        <v>89010</v>
      </c>
      <c r="F229" s="23">
        <v>4534</v>
      </c>
      <c r="G229" s="24">
        <v>3093</v>
      </c>
      <c r="H229" s="25"/>
      <c r="I229" s="37"/>
      <c r="J229" s="9">
        <f t="shared" si="56"/>
        <v>51027</v>
      </c>
      <c r="K229" s="38">
        <f t="shared" si="57"/>
        <v>451</v>
      </c>
      <c r="L229" s="38">
        <v>762</v>
      </c>
      <c r="M229" s="39">
        <f t="shared" si="58"/>
        <v>739991</v>
      </c>
      <c r="N229" s="40">
        <f t="shared" si="63"/>
        <v>423270</v>
      </c>
      <c r="O229" s="40">
        <f t="shared" si="64"/>
        <v>1187093</v>
      </c>
      <c r="P229" s="41">
        <f t="shared" si="60"/>
        <v>12501654.52</v>
      </c>
      <c r="Q229" s="41">
        <f t="shared" si="61"/>
        <v>5231844.1</v>
      </c>
      <c r="R229" s="41">
        <f t="shared" si="62"/>
        <v>18145169.16</v>
      </c>
      <c r="S229" s="54"/>
      <c r="T229" s="38"/>
      <c r="U229" s="38"/>
      <c r="V229" s="9"/>
    </row>
    <row r="230" ht="15" customHeight="1" spans="1:22">
      <c r="A230" s="15">
        <v>41134</v>
      </c>
      <c r="B230" s="15" t="s">
        <v>35</v>
      </c>
      <c r="C230" s="16">
        <v>52373</v>
      </c>
      <c r="D230" s="17">
        <v>38147</v>
      </c>
      <c r="E230" s="17">
        <v>92332</v>
      </c>
      <c r="F230" s="18">
        <v>4662</v>
      </c>
      <c r="G230" s="19">
        <v>2991</v>
      </c>
      <c r="H230" s="20">
        <v>1809.9</v>
      </c>
      <c r="I230" s="20">
        <v>1325.4</v>
      </c>
      <c r="J230" s="33">
        <f t="shared" si="56"/>
        <v>54185</v>
      </c>
      <c r="K230" s="34">
        <f t="shared" si="57"/>
        <v>1045</v>
      </c>
      <c r="L230" s="34">
        <v>767</v>
      </c>
      <c r="M230" s="35">
        <f t="shared" si="58"/>
        <v>792364</v>
      </c>
      <c r="N230" s="36">
        <f t="shared" si="63"/>
        <v>461417</v>
      </c>
      <c r="O230" s="36">
        <f t="shared" si="64"/>
        <v>1279425</v>
      </c>
      <c r="P230" s="35">
        <f t="shared" si="60"/>
        <v>12554027.52</v>
      </c>
      <c r="Q230" s="35">
        <f t="shared" si="61"/>
        <v>5269991.1</v>
      </c>
      <c r="R230" s="35">
        <f t="shared" si="62"/>
        <v>18237501.16</v>
      </c>
      <c r="S230" s="53"/>
      <c r="T230" s="33"/>
      <c r="U230" s="33"/>
      <c r="V230" s="33"/>
    </row>
    <row r="231" ht="15" customHeight="1" spans="1:22">
      <c r="A231" s="21">
        <v>41135</v>
      </c>
      <c r="B231" s="21" t="s">
        <v>36</v>
      </c>
      <c r="C231" s="22">
        <v>50586</v>
      </c>
      <c r="D231" s="8">
        <v>37094</v>
      </c>
      <c r="E231" s="8">
        <v>89984</v>
      </c>
      <c r="F231" s="23">
        <v>4644</v>
      </c>
      <c r="G231" s="24">
        <v>3131</v>
      </c>
      <c r="H231" s="25">
        <v>1763.2</v>
      </c>
      <c r="I231" s="37">
        <v>1297.6</v>
      </c>
      <c r="J231" s="9">
        <f t="shared" si="56"/>
        <v>52890</v>
      </c>
      <c r="K231" s="38">
        <f t="shared" si="57"/>
        <v>1542</v>
      </c>
      <c r="L231" s="38">
        <v>762</v>
      </c>
      <c r="M231" s="39">
        <f t="shared" si="58"/>
        <v>842950</v>
      </c>
      <c r="N231" s="40">
        <f t="shared" si="63"/>
        <v>498511</v>
      </c>
      <c r="O231" s="40">
        <f t="shared" si="64"/>
        <v>1369409</v>
      </c>
      <c r="P231" s="41">
        <f t="shared" si="60"/>
        <v>12604613.52</v>
      </c>
      <c r="Q231" s="41">
        <f t="shared" si="61"/>
        <v>5307085.1</v>
      </c>
      <c r="R231" s="41">
        <f t="shared" si="62"/>
        <v>18327485.16</v>
      </c>
      <c r="S231" s="54">
        <v>105.1126</v>
      </c>
      <c r="T231" s="54">
        <f>P231/10000-S231</f>
        <v>1155.348752</v>
      </c>
      <c r="U231" s="38"/>
      <c r="V231" s="59">
        <v>3321</v>
      </c>
    </row>
    <row r="232" ht="15" customHeight="1" spans="1:22">
      <c r="A232" s="21">
        <v>41136</v>
      </c>
      <c r="B232" s="21" t="s">
        <v>37</v>
      </c>
      <c r="C232" s="22">
        <v>47268</v>
      </c>
      <c r="D232" s="8">
        <v>37647</v>
      </c>
      <c r="E232" s="8">
        <v>87200</v>
      </c>
      <c r="F232" s="23">
        <v>4455</v>
      </c>
      <c r="G232" s="24">
        <v>2950</v>
      </c>
      <c r="H232" s="25">
        <v>1775</v>
      </c>
      <c r="I232" s="37">
        <v>1326</v>
      </c>
      <c r="J232" s="9">
        <f t="shared" si="56"/>
        <v>49553</v>
      </c>
      <c r="K232" s="38">
        <f t="shared" si="57"/>
        <v>1512</v>
      </c>
      <c r="L232" s="38">
        <v>773</v>
      </c>
      <c r="M232" s="39">
        <f t="shared" si="58"/>
        <v>890218</v>
      </c>
      <c r="N232" s="40">
        <f t="shared" si="63"/>
        <v>536158</v>
      </c>
      <c r="O232" s="40">
        <f t="shared" si="64"/>
        <v>1456609</v>
      </c>
      <c r="P232" s="41">
        <f t="shared" si="60"/>
        <v>12651881.52</v>
      </c>
      <c r="Q232" s="41">
        <f t="shared" si="61"/>
        <v>5344732.1</v>
      </c>
      <c r="R232" s="41">
        <f t="shared" si="62"/>
        <v>18414685.16</v>
      </c>
      <c r="S232" s="54"/>
      <c r="T232" s="38"/>
      <c r="U232" s="38"/>
      <c r="V232" s="9"/>
    </row>
    <row r="233" ht="15" customHeight="1" spans="1:22">
      <c r="A233" s="21">
        <v>41137</v>
      </c>
      <c r="B233" s="21" t="s">
        <v>38</v>
      </c>
      <c r="C233" s="22">
        <v>44670</v>
      </c>
      <c r="D233" s="8">
        <v>36972</v>
      </c>
      <c r="E233" s="8">
        <v>84312</v>
      </c>
      <c r="F233" s="23">
        <v>4322</v>
      </c>
      <c r="G233" s="24">
        <v>2913</v>
      </c>
      <c r="H233" s="25">
        <v>1730</v>
      </c>
      <c r="I233" s="37">
        <v>1315</v>
      </c>
      <c r="J233" s="9">
        <f t="shared" si="56"/>
        <v>47340</v>
      </c>
      <c r="K233" s="38">
        <f t="shared" si="57"/>
        <v>1896</v>
      </c>
      <c r="L233" s="38">
        <v>774</v>
      </c>
      <c r="M233" s="39">
        <f t="shared" si="58"/>
        <v>934888</v>
      </c>
      <c r="N233" s="40">
        <f t="shared" si="63"/>
        <v>573130</v>
      </c>
      <c r="O233" s="40">
        <f t="shared" si="64"/>
        <v>1540921</v>
      </c>
      <c r="P233" s="41">
        <f t="shared" si="60"/>
        <v>12696551.52</v>
      </c>
      <c r="Q233" s="41">
        <f t="shared" si="61"/>
        <v>5381704.1</v>
      </c>
      <c r="R233" s="41">
        <f t="shared" si="62"/>
        <v>18498997.16</v>
      </c>
      <c r="S233" s="54"/>
      <c r="T233" s="38"/>
      <c r="U233" s="38"/>
      <c r="V233" s="9"/>
    </row>
    <row r="234" ht="15" customHeight="1" spans="1:22">
      <c r="A234" s="21">
        <v>41138</v>
      </c>
      <c r="B234" s="21" t="s">
        <v>1</v>
      </c>
      <c r="C234" s="22">
        <v>38138</v>
      </c>
      <c r="D234" s="8">
        <v>36999</v>
      </c>
      <c r="E234" s="8">
        <v>77828</v>
      </c>
      <c r="F234" s="23">
        <v>3854</v>
      </c>
      <c r="G234" s="24">
        <v>2754</v>
      </c>
      <c r="H234" s="25">
        <v>1754</v>
      </c>
      <c r="I234" s="37">
        <v>1308</v>
      </c>
      <c r="J234" s="9">
        <f t="shared" si="56"/>
        <v>40829</v>
      </c>
      <c r="K234" s="38">
        <f t="shared" si="57"/>
        <v>1919</v>
      </c>
      <c r="L234" s="38">
        <v>772</v>
      </c>
      <c r="M234" s="39">
        <f t="shared" si="58"/>
        <v>973026</v>
      </c>
      <c r="N234" s="40">
        <f t="shared" si="63"/>
        <v>610129</v>
      </c>
      <c r="O234" s="40">
        <f t="shared" si="64"/>
        <v>1618749</v>
      </c>
      <c r="P234" s="41">
        <f t="shared" si="60"/>
        <v>12734689.52</v>
      </c>
      <c r="Q234" s="41">
        <f t="shared" si="61"/>
        <v>5418703.1</v>
      </c>
      <c r="R234" s="41">
        <f t="shared" si="62"/>
        <v>18576825.16</v>
      </c>
      <c r="S234" s="54"/>
      <c r="T234" s="38"/>
      <c r="U234" s="38"/>
      <c r="V234" s="9"/>
    </row>
    <row r="235" ht="15" customHeight="1" spans="1:22">
      <c r="A235" s="21">
        <v>41139</v>
      </c>
      <c r="B235" s="21" t="s">
        <v>39</v>
      </c>
      <c r="C235" s="22">
        <v>40793</v>
      </c>
      <c r="D235" s="8">
        <v>37475</v>
      </c>
      <c r="E235" s="8">
        <v>81915</v>
      </c>
      <c r="F235" s="23">
        <v>4279</v>
      </c>
      <c r="G235" s="24">
        <v>2686</v>
      </c>
      <c r="H235" s="25">
        <v>1766</v>
      </c>
      <c r="I235" s="37">
        <v>1315</v>
      </c>
      <c r="J235" s="9">
        <f t="shared" si="56"/>
        <v>44440</v>
      </c>
      <c r="K235" s="38">
        <f t="shared" si="57"/>
        <v>2870</v>
      </c>
      <c r="L235" s="38">
        <v>777</v>
      </c>
      <c r="M235" s="39">
        <f t="shared" si="58"/>
        <v>1013819</v>
      </c>
      <c r="N235" s="40">
        <f t="shared" si="63"/>
        <v>647604</v>
      </c>
      <c r="O235" s="40">
        <f t="shared" si="64"/>
        <v>1700664</v>
      </c>
      <c r="P235" s="41">
        <f t="shared" si="60"/>
        <v>12775482.52</v>
      </c>
      <c r="Q235" s="41">
        <f t="shared" si="61"/>
        <v>5456178.1</v>
      </c>
      <c r="R235" s="41">
        <f t="shared" si="62"/>
        <v>18658740.16</v>
      </c>
      <c r="S235" s="54"/>
      <c r="T235" s="38"/>
      <c r="U235" s="38"/>
      <c r="V235" s="9"/>
    </row>
    <row r="236" ht="15" customHeight="1" spans="1:22">
      <c r="A236" s="21">
        <v>41140</v>
      </c>
      <c r="B236" s="21" t="s">
        <v>34</v>
      </c>
      <c r="C236" s="22">
        <v>38449</v>
      </c>
      <c r="D236" s="8">
        <v>37316</v>
      </c>
      <c r="E236" s="8">
        <v>79820</v>
      </c>
      <c r="F236" s="23">
        <v>4154</v>
      </c>
      <c r="G236" s="24">
        <v>2637</v>
      </c>
      <c r="H236" s="25">
        <v>1763</v>
      </c>
      <c r="I236" s="37">
        <v>1297</v>
      </c>
      <c r="J236" s="9">
        <f t="shared" si="56"/>
        <v>42504</v>
      </c>
      <c r="K236" s="38">
        <f t="shared" si="57"/>
        <v>3278</v>
      </c>
      <c r="L236" s="38">
        <v>777</v>
      </c>
      <c r="M236" s="39">
        <f t="shared" si="58"/>
        <v>1052268</v>
      </c>
      <c r="N236" s="40">
        <f t="shared" si="63"/>
        <v>684920</v>
      </c>
      <c r="O236" s="40">
        <f t="shared" si="64"/>
        <v>1780484</v>
      </c>
      <c r="P236" s="41">
        <f t="shared" si="60"/>
        <v>12813931.52</v>
      </c>
      <c r="Q236" s="41">
        <f t="shared" si="61"/>
        <v>5493494.1</v>
      </c>
      <c r="R236" s="41">
        <f t="shared" si="62"/>
        <v>18738560.16</v>
      </c>
      <c r="S236" s="54"/>
      <c r="T236" s="38"/>
      <c r="U236" s="38"/>
      <c r="V236" s="9"/>
    </row>
    <row r="237" ht="15" customHeight="1" spans="1:22">
      <c r="A237" s="15">
        <v>41141</v>
      </c>
      <c r="B237" s="15" t="s">
        <v>35</v>
      </c>
      <c r="C237" s="16">
        <v>38422</v>
      </c>
      <c r="D237" s="17">
        <v>36258</v>
      </c>
      <c r="E237" s="17">
        <v>78530</v>
      </c>
      <c r="F237" s="18">
        <v>4079</v>
      </c>
      <c r="G237" s="19">
        <v>2587</v>
      </c>
      <c r="H237" s="20">
        <v>1776</v>
      </c>
      <c r="I237" s="20">
        <v>1251</v>
      </c>
      <c r="J237" s="33">
        <f t="shared" si="56"/>
        <v>42272</v>
      </c>
      <c r="K237" s="34">
        <f t="shared" si="57"/>
        <v>3071</v>
      </c>
      <c r="L237" s="34">
        <v>779</v>
      </c>
      <c r="M237" s="35">
        <f t="shared" si="58"/>
        <v>1090690</v>
      </c>
      <c r="N237" s="36">
        <f t="shared" si="63"/>
        <v>721178</v>
      </c>
      <c r="O237" s="36">
        <f t="shared" si="64"/>
        <v>1859014</v>
      </c>
      <c r="P237" s="35">
        <v>12852499</v>
      </c>
      <c r="Q237" s="35">
        <f t="shared" si="61"/>
        <v>5529752.1</v>
      </c>
      <c r="R237" s="35">
        <f t="shared" si="62"/>
        <v>18817090.16</v>
      </c>
      <c r="S237" s="53">
        <v>106.2849</v>
      </c>
      <c r="T237" s="53">
        <f>P237/10000-S237</f>
        <v>1178.965</v>
      </c>
      <c r="U237" s="33"/>
      <c r="V237" s="63">
        <v>3384</v>
      </c>
    </row>
    <row r="238" ht="15" customHeight="1" spans="1:22">
      <c r="A238" s="21">
        <v>41142</v>
      </c>
      <c r="B238" s="21" t="s">
        <v>36</v>
      </c>
      <c r="C238" s="22">
        <v>39547</v>
      </c>
      <c r="D238" s="8">
        <v>37668</v>
      </c>
      <c r="E238" s="8">
        <v>81758</v>
      </c>
      <c r="F238" s="23">
        <v>4199</v>
      </c>
      <c r="G238" s="24">
        <v>2580</v>
      </c>
      <c r="H238" s="25">
        <v>1808</v>
      </c>
      <c r="I238" s="37">
        <v>1254</v>
      </c>
      <c r="J238" s="9">
        <f t="shared" si="56"/>
        <v>44090</v>
      </c>
      <c r="K238" s="38">
        <f t="shared" si="57"/>
        <v>3764</v>
      </c>
      <c r="L238" s="38">
        <v>779</v>
      </c>
      <c r="M238" s="39">
        <f t="shared" si="58"/>
        <v>1130237</v>
      </c>
      <c r="N238" s="40">
        <f t="shared" si="63"/>
        <v>758846</v>
      </c>
      <c r="O238" s="40">
        <f t="shared" si="64"/>
        <v>1940772</v>
      </c>
      <c r="P238" s="41">
        <f t="shared" si="60"/>
        <v>12891900.52</v>
      </c>
      <c r="Q238" s="41">
        <f t="shared" si="61"/>
        <v>5567420.1</v>
      </c>
      <c r="R238" s="41">
        <f t="shared" si="62"/>
        <v>18898848.16</v>
      </c>
      <c r="S238" s="54">
        <v>106.6849</v>
      </c>
      <c r="T238" s="54">
        <f>P238/10000-S238</f>
        <v>1182.505152</v>
      </c>
      <c r="U238" s="38"/>
      <c r="V238" s="59">
        <v>3394</v>
      </c>
    </row>
    <row r="239" ht="15" customHeight="1" spans="1:22">
      <c r="A239" s="21">
        <v>41143</v>
      </c>
      <c r="B239" s="21" t="s">
        <v>37</v>
      </c>
      <c r="C239" s="22">
        <v>43831</v>
      </c>
      <c r="D239" s="8">
        <v>38110</v>
      </c>
      <c r="E239" s="8">
        <v>86561</v>
      </c>
      <c r="F239" s="23">
        <v>4505</v>
      </c>
      <c r="G239" s="24">
        <v>2701</v>
      </c>
      <c r="H239" s="25">
        <v>1817</v>
      </c>
      <c r="I239" s="37">
        <v>1297</v>
      </c>
      <c r="J239" s="9">
        <f t="shared" si="56"/>
        <v>48451</v>
      </c>
      <c r="K239" s="38">
        <f t="shared" si="57"/>
        <v>3841</v>
      </c>
      <c r="L239" s="38">
        <v>779</v>
      </c>
      <c r="M239" s="39">
        <f t="shared" si="58"/>
        <v>1174068</v>
      </c>
      <c r="N239" s="40">
        <f t="shared" si="63"/>
        <v>796956</v>
      </c>
      <c r="O239" s="40">
        <f t="shared" si="64"/>
        <v>2027333</v>
      </c>
      <c r="P239" s="41">
        <f t="shared" si="60"/>
        <v>12935731.52</v>
      </c>
      <c r="Q239" s="41">
        <f t="shared" si="61"/>
        <v>5605530.1</v>
      </c>
      <c r="R239" s="41">
        <f t="shared" si="62"/>
        <v>18985409.16</v>
      </c>
      <c r="S239" s="54"/>
      <c r="T239" s="38"/>
      <c r="U239" s="38"/>
      <c r="V239" s="9"/>
    </row>
    <row r="240" ht="15" customHeight="1" spans="1:22">
      <c r="A240" s="21">
        <v>41144</v>
      </c>
      <c r="B240" s="21" t="s">
        <v>38</v>
      </c>
      <c r="C240" s="22">
        <v>46377</v>
      </c>
      <c r="D240" s="8">
        <v>37625</v>
      </c>
      <c r="E240" s="8">
        <v>88737</v>
      </c>
      <c r="F240" s="23">
        <v>4526</v>
      </c>
      <c r="G240" s="24">
        <v>2824</v>
      </c>
      <c r="H240" s="25">
        <v>1787</v>
      </c>
      <c r="I240" s="37">
        <v>1296</v>
      </c>
      <c r="J240" s="9">
        <f t="shared" si="56"/>
        <v>51112</v>
      </c>
      <c r="K240" s="38">
        <f t="shared" si="57"/>
        <v>3956</v>
      </c>
      <c r="L240" s="38">
        <v>779</v>
      </c>
      <c r="M240" s="39">
        <f t="shared" si="58"/>
        <v>1220445</v>
      </c>
      <c r="N240" s="40">
        <f t="shared" si="63"/>
        <v>834581</v>
      </c>
      <c r="O240" s="40">
        <f t="shared" si="64"/>
        <v>2116070</v>
      </c>
      <c r="P240" s="41">
        <f t="shared" si="60"/>
        <v>12982108.52</v>
      </c>
      <c r="Q240" s="41">
        <f t="shared" si="61"/>
        <v>5643155.1</v>
      </c>
      <c r="R240" s="41">
        <f t="shared" si="62"/>
        <v>19074146.16</v>
      </c>
      <c r="S240" s="54"/>
      <c r="T240" s="38"/>
      <c r="U240" s="38"/>
      <c r="V240" s="9"/>
    </row>
    <row r="241" ht="15" customHeight="1" spans="1:22">
      <c r="A241" s="21">
        <v>41145</v>
      </c>
      <c r="B241" s="21" t="s">
        <v>1</v>
      </c>
      <c r="C241" s="22">
        <v>47578</v>
      </c>
      <c r="D241" s="8">
        <v>36157</v>
      </c>
      <c r="E241" s="8">
        <v>88433</v>
      </c>
      <c r="F241" s="23">
        <v>4346</v>
      </c>
      <c r="G241" s="24">
        <v>2926</v>
      </c>
      <c r="H241" s="25">
        <v>1725</v>
      </c>
      <c r="I241" s="37">
        <v>1266</v>
      </c>
      <c r="J241" s="9">
        <f t="shared" si="56"/>
        <v>52276</v>
      </c>
      <c r="K241" s="38">
        <f t="shared" si="57"/>
        <v>3919</v>
      </c>
      <c r="L241" s="38">
        <v>779</v>
      </c>
      <c r="M241" s="39">
        <f t="shared" si="58"/>
        <v>1268023</v>
      </c>
      <c r="N241" s="40">
        <f t="shared" si="63"/>
        <v>870738</v>
      </c>
      <c r="O241" s="40">
        <f t="shared" si="64"/>
        <v>2204503</v>
      </c>
      <c r="P241" s="41">
        <f t="shared" si="60"/>
        <v>13029686.52</v>
      </c>
      <c r="Q241" s="41">
        <f t="shared" si="61"/>
        <v>5679312.1</v>
      </c>
      <c r="R241" s="41">
        <f t="shared" si="62"/>
        <v>19162579.16</v>
      </c>
      <c r="S241" s="54"/>
      <c r="T241" s="38"/>
      <c r="U241" s="38"/>
      <c r="V241" s="9"/>
    </row>
    <row r="242" ht="15" customHeight="1" spans="1:22">
      <c r="A242" s="21">
        <v>41146</v>
      </c>
      <c r="B242" s="21" t="s">
        <v>39</v>
      </c>
      <c r="C242" s="22">
        <v>49714</v>
      </c>
      <c r="D242" s="8">
        <v>37437</v>
      </c>
      <c r="E242" s="8">
        <v>91787</v>
      </c>
      <c r="F242" s="23">
        <v>4769</v>
      </c>
      <c r="G242" s="24">
        <v>2949</v>
      </c>
      <c r="H242" s="25">
        <v>1798</v>
      </c>
      <c r="I242" s="37">
        <v>1274</v>
      </c>
      <c r="J242" s="9">
        <f t="shared" si="56"/>
        <v>54350</v>
      </c>
      <c r="K242" s="38">
        <f t="shared" si="57"/>
        <v>3857</v>
      </c>
      <c r="L242" s="38">
        <v>779</v>
      </c>
      <c r="M242" s="39">
        <f t="shared" si="58"/>
        <v>1317737</v>
      </c>
      <c r="N242" s="40">
        <f t="shared" si="63"/>
        <v>908175</v>
      </c>
      <c r="O242" s="40">
        <f t="shared" si="64"/>
        <v>2296290</v>
      </c>
      <c r="P242" s="41">
        <f t="shared" si="60"/>
        <v>13079400.52</v>
      </c>
      <c r="Q242" s="41">
        <f t="shared" si="61"/>
        <v>5716749.1</v>
      </c>
      <c r="R242" s="41">
        <f t="shared" si="62"/>
        <v>19254366.16</v>
      </c>
      <c r="S242" s="54"/>
      <c r="T242" s="38"/>
      <c r="U242" s="38"/>
      <c r="V242" s="9"/>
    </row>
    <row r="243" ht="15" customHeight="1" spans="1:22">
      <c r="A243" s="21">
        <v>41147</v>
      </c>
      <c r="B243" s="21" t="s">
        <v>34</v>
      </c>
      <c r="C243" s="22">
        <v>46182</v>
      </c>
      <c r="D243" s="8">
        <v>38878</v>
      </c>
      <c r="E243" s="8">
        <v>89704</v>
      </c>
      <c r="F243" s="23">
        <v>4648</v>
      </c>
      <c r="G243" s="24">
        <v>3050</v>
      </c>
      <c r="H243" s="25">
        <v>1854</v>
      </c>
      <c r="I243" s="37">
        <v>1360</v>
      </c>
      <c r="J243" s="9">
        <f t="shared" si="56"/>
        <v>50826</v>
      </c>
      <c r="K243" s="38">
        <f t="shared" si="57"/>
        <v>3865</v>
      </c>
      <c r="L243" s="38">
        <v>779</v>
      </c>
      <c r="M243" s="39">
        <f t="shared" si="58"/>
        <v>1363919</v>
      </c>
      <c r="N243" s="40">
        <f t="shared" si="63"/>
        <v>947053</v>
      </c>
      <c r="O243" s="40">
        <f t="shared" si="64"/>
        <v>2385994</v>
      </c>
      <c r="P243" s="41">
        <f t="shared" si="60"/>
        <v>13125582.52</v>
      </c>
      <c r="Q243" s="41">
        <f t="shared" si="61"/>
        <v>5755627.1</v>
      </c>
      <c r="R243" s="41">
        <f t="shared" si="62"/>
        <v>19344070.16</v>
      </c>
      <c r="S243" s="54"/>
      <c r="T243" s="38"/>
      <c r="U243" s="38"/>
      <c r="V243" s="9"/>
    </row>
    <row r="244" ht="15" customHeight="1" spans="1:22">
      <c r="A244" s="15">
        <v>41148</v>
      </c>
      <c r="B244" s="15" t="s">
        <v>35</v>
      </c>
      <c r="C244" s="16">
        <v>47026</v>
      </c>
      <c r="D244" s="17">
        <v>38453</v>
      </c>
      <c r="E244" s="17">
        <v>88857</v>
      </c>
      <c r="F244" s="18">
        <v>4561</v>
      </c>
      <c r="G244" s="19">
        <v>2926</v>
      </c>
      <c r="H244" s="20">
        <v>1844</v>
      </c>
      <c r="I244" s="20">
        <v>1333</v>
      </c>
      <c r="J244" s="33">
        <f t="shared" si="56"/>
        <v>50404</v>
      </c>
      <c r="K244" s="34">
        <f t="shared" si="57"/>
        <v>2599</v>
      </c>
      <c r="L244" s="34">
        <v>779</v>
      </c>
      <c r="M244" s="35">
        <f t="shared" si="58"/>
        <v>1410945</v>
      </c>
      <c r="N244" s="36">
        <f t="shared" si="63"/>
        <v>985506</v>
      </c>
      <c r="O244" s="36">
        <f t="shared" si="64"/>
        <v>2474851</v>
      </c>
      <c r="P244" s="35">
        <f t="shared" si="60"/>
        <v>13172608.52</v>
      </c>
      <c r="Q244" s="35">
        <f t="shared" si="61"/>
        <v>5794080.1</v>
      </c>
      <c r="R244" s="35">
        <f t="shared" si="62"/>
        <v>19432927.16</v>
      </c>
      <c r="S244" s="53"/>
      <c r="T244" s="33"/>
      <c r="U244" s="33"/>
      <c r="V244" s="33"/>
    </row>
    <row r="245" ht="15" customHeight="1" spans="1:22">
      <c r="A245" s="21">
        <v>41149</v>
      </c>
      <c r="B245" s="21" t="s">
        <v>36</v>
      </c>
      <c r="C245" s="22">
        <v>49525</v>
      </c>
      <c r="D245" s="8">
        <v>38272</v>
      </c>
      <c r="E245" s="8">
        <v>93225</v>
      </c>
      <c r="F245" s="23">
        <v>4722</v>
      </c>
      <c r="G245" s="24">
        <v>2967</v>
      </c>
      <c r="H245" s="25"/>
      <c r="I245" s="37"/>
      <c r="J245" s="9">
        <f t="shared" si="56"/>
        <v>54953</v>
      </c>
      <c r="K245" s="38">
        <f t="shared" si="57"/>
        <v>4649</v>
      </c>
      <c r="L245" s="38">
        <v>779</v>
      </c>
      <c r="M245" s="39">
        <f t="shared" si="58"/>
        <v>1460470</v>
      </c>
      <c r="N245" s="40">
        <f t="shared" si="63"/>
        <v>1023778</v>
      </c>
      <c r="O245" s="40">
        <f t="shared" si="64"/>
        <v>2568076</v>
      </c>
      <c r="P245" s="41">
        <f t="shared" si="60"/>
        <v>13222133.52</v>
      </c>
      <c r="Q245" s="41">
        <f t="shared" si="61"/>
        <v>5832352.1</v>
      </c>
      <c r="R245" s="41">
        <f t="shared" si="62"/>
        <v>19526152.16</v>
      </c>
      <c r="S245" s="54">
        <v>109.4849</v>
      </c>
      <c r="T245" s="54">
        <f>P245/10000-S245</f>
        <v>1212.728452</v>
      </c>
      <c r="U245" s="38"/>
      <c r="V245" s="9">
        <v>3476</v>
      </c>
    </row>
    <row r="246" ht="15" customHeight="1" spans="1:22">
      <c r="A246" s="21">
        <v>41150</v>
      </c>
      <c r="B246" s="21" t="s">
        <v>37</v>
      </c>
      <c r="C246" s="22">
        <v>49522</v>
      </c>
      <c r="D246" s="8">
        <v>38715</v>
      </c>
      <c r="E246" s="8">
        <v>92632</v>
      </c>
      <c r="F246" s="23">
        <v>4708</v>
      </c>
      <c r="G246" s="24">
        <v>2963</v>
      </c>
      <c r="H246" s="25">
        <v>1851</v>
      </c>
      <c r="I246" s="37">
        <v>1383</v>
      </c>
      <c r="J246" s="9">
        <f t="shared" si="56"/>
        <v>53917</v>
      </c>
      <c r="K246" s="38">
        <f t="shared" si="57"/>
        <v>3619</v>
      </c>
      <c r="L246" s="38">
        <v>776</v>
      </c>
      <c r="M246" s="39">
        <f t="shared" si="58"/>
        <v>1509992</v>
      </c>
      <c r="N246" s="40">
        <f t="shared" si="63"/>
        <v>1062493</v>
      </c>
      <c r="O246" s="40">
        <f t="shared" si="64"/>
        <v>2660708</v>
      </c>
      <c r="P246" s="41">
        <f t="shared" si="60"/>
        <v>13271655.52</v>
      </c>
      <c r="Q246" s="41">
        <f t="shared" si="61"/>
        <v>5871067.1</v>
      </c>
      <c r="R246" s="41">
        <f t="shared" si="62"/>
        <v>19618784.16</v>
      </c>
      <c r="S246" s="54"/>
      <c r="T246" s="38"/>
      <c r="U246" s="38"/>
      <c r="V246" s="9"/>
    </row>
    <row r="247" ht="15" customHeight="1" spans="1:22">
      <c r="A247" s="21">
        <v>41151</v>
      </c>
      <c r="B247" s="21" t="s">
        <v>38</v>
      </c>
      <c r="C247" s="22">
        <v>46211</v>
      </c>
      <c r="D247" s="8">
        <v>38301</v>
      </c>
      <c r="E247" s="8">
        <v>88548</v>
      </c>
      <c r="F247" s="23">
        <v>4461</v>
      </c>
      <c r="G247" s="24">
        <v>2998</v>
      </c>
      <c r="H247" s="25">
        <v>1788</v>
      </c>
      <c r="I247" s="37">
        <v>1389</v>
      </c>
      <c r="J247" s="9">
        <f t="shared" si="56"/>
        <v>50247</v>
      </c>
      <c r="K247" s="38">
        <f t="shared" si="57"/>
        <v>3261</v>
      </c>
      <c r="L247" s="38">
        <v>775</v>
      </c>
      <c r="M247" s="39">
        <f t="shared" si="58"/>
        <v>1556203</v>
      </c>
      <c r="N247" s="40">
        <f t="shared" si="63"/>
        <v>1100794</v>
      </c>
      <c r="O247" s="40">
        <f t="shared" si="64"/>
        <v>2749256</v>
      </c>
      <c r="P247" s="41">
        <f t="shared" si="60"/>
        <v>13317866.52</v>
      </c>
      <c r="Q247" s="41">
        <f t="shared" si="61"/>
        <v>5909368.1</v>
      </c>
      <c r="R247" s="41">
        <f t="shared" si="62"/>
        <v>19707332.16</v>
      </c>
      <c r="S247" s="54"/>
      <c r="T247" s="38"/>
      <c r="U247" s="38"/>
      <c r="V247" s="9"/>
    </row>
    <row r="248" s="1" customFormat="1" ht="15" customHeight="1" spans="1:22">
      <c r="A248" s="26">
        <v>41152</v>
      </c>
      <c r="B248" s="26" t="s">
        <v>1</v>
      </c>
      <c r="C248" s="27">
        <v>44108</v>
      </c>
      <c r="D248" s="28">
        <v>36339</v>
      </c>
      <c r="E248" s="28">
        <v>84615</v>
      </c>
      <c r="F248" s="29">
        <v>4175</v>
      </c>
      <c r="G248" s="30">
        <v>2931</v>
      </c>
      <c r="H248" s="31">
        <v>1722</v>
      </c>
      <c r="I248" s="31">
        <v>1355</v>
      </c>
      <c r="J248" s="43">
        <f t="shared" si="56"/>
        <v>48276</v>
      </c>
      <c r="K248" s="44">
        <f t="shared" si="57"/>
        <v>3395</v>
      </c>
      <c r="L248" s="44">
        <v>773</v>
      </c>
      <c r="M248" s="45">
        <f t="shared" si="58"/>
        <v>1600311</v>
      </c>
      <c r="N248" s="47">
        <f t="shared" si="63"/>
        <v>1137133</v>
      </c>
      <c r="O248" s="47">
        <f t="shared" si="64"/>
        <v>2833871</v>
      </c>
      <c r="P248" s="45">
        <f t="shared" si="60"/>
        <v>13361974.52</v>
      </c>
      <c r="Q248" s="45">
        <f t="shared" si="61"/>
        <v>5945707.1</v>
      </c>
      <c r="R248" s="45">
        <f t="shared" si="62"/>
        <v>19791947.16</v>
      </c>
      <c r="S248" s="56">
        <v>111.9875</v>
      </c>
      <c r="T248" s="56">
        <f>P248/10000-S248</f>
        <v>1224.209952</v>
      </c>
      <c r="U248" s="44"/>
      <c r="V248" s="43">
        <v>3503</v>
      </c>
    </row>
    <row r="249" ht="15" customHeight="1" spans="1:22">
      <c r="A249" s="21">
        <v>41153</v>
      </c>
      <c r="B249" s="21" t="s">
        <v>39</v>
      </c>
      <c r="C249" s="22">
        <v>46043</v>
      </c>
      <c r="D249" s="8">
        <v>38763</v>
      </c>
      <c r="E249" s="8">
        <v>87980</v>
      </c>
      <c r="F249" s="23">
        <v>4486</v>
      </c>
      <c r="G249" s="24">
        <v>2851</v>
      </c>
      <c r="H249" s="25">
        <v>1778</v>
      </c>
      <c r="I249" s="37">
        <v>1422</v>
      </c>
      <c r="J249" s="9">
        <f t="shared" si="56"/>
        <v>49217</v>
      </c>
      <c r="K249" s="38">
        <f t="shared" si="57"/>
        <v>2401</v>
      </c>
      <c r="L249" s="38">
        <v>773</v>
      </c>
      <c r="M249" s="39">
        <f>C249</f>
        <v>46043</v>
      </c>
      <c r="N249" s="40">
        <f>D249</f>
        <v>38763</v>
      </c>
      <c r="O249" s="40">
        <f>E249</f>
        <v>87980</v>
      </c>
      <c r="P249" s="41">
        <f t="shared" ref="P249:R250" si="65">P$248+M249</f>
        <v>13408017.52</v>
      </c>
      <c r="Q249" s="41">
        <f t="shared" si="65"/>
        <v>5984470.1</v>
      </c>
      <c r="R249" s="41">
        <f t="shared" si="65"/>
        <v>19879927.16</v>
      </c>
      <c r="S249" s="54"/>
      <c r="T249" s="38"/>
      <c r="U249" s="38"/>
      <c r="V249" s="62">
        <v>390</v>
      </c>
    </row>
    <row r="250" ht="15" customHeight="1" spans="1:22">
      <c r="A250" s="21">
        <v>41154</v>
      </c>
      <c r="B250" s="21" t="s">
        <v>34</v>
      </c>
      <c r="C250" s="22">
        <v>51270</v>
      </c>
      <c r="D250" s="8">
        <v>39067</v>
      </c>
      <c r="E250" s="8">
        <v>93412</v>
      </c>
      <c r="F250" s="23">
        <v>4854</v>
      </c>
      <c r="G250" s="24">
        <v>2980</v>
      </c>
      <c r="H250" s="25">
        <v>1794</v>
      </c>
      <c r="I250" s="37">
        <v>1458</v>
      </c>
      <c r="J250" s="9">
        <f t="shared" si="56"/>
        <v>54345</v>
      </c>
      <c r="K250" s="38">
        <f t="shared" si="57"/>
        <v>2302</v>
      </c>
      <c r="L250" s="38">
        <v>773</v>
      </c>
      <c r="M250" s="39">
        <f t="shared" ref="M250:M277" si="66">C250+M249</f>
        <v>97313</v>
      </c>
      <c r="N250" s="40">
        <f t="shared" ref="N250:N277" si="67">D250+N249</f>
        <v>77830</v>
      </c>
      <c r="O250" s="40">
        <f t="shared" ref="O250:O277" si="68">E250+O249</f>
        <v>181392</v>
      </c>
      <c r="P250" s="41">
        <f t="shared" si="65"/>
        <v>13459287.52</v>
      </c>
      <c r="Q250" s="41">
        <f t="shared" si="65"/>
        <v>6023537.1</v>
      </c>
      <c r="R250" s="41">
        <f t="shared" si="65"/>
        <v>19973339.16</v>
      </c>
      <c r="S250" s="54"/>
      <c r="T250" s="38"/>
      <c r="U250" s="38"/>
      <c r="V250" s="9"/>
    </row>
    <row r="251" ht="15" customHeight="1" spans="1:22">
      <c r="A251" s="15">
        <v>41155</v>
      </c>
      <c r="B251" s="15" t="s">
        <v>35</v>
      </c>
      <c r="C251" s="16">
        <v>46130</v>
      </c>
      <c r="D251" s="17">
        <v>39132</v>
      </c>
      <c r="E251" s="17">
        <v>87998</v>
      </c>
      <c r="F251" s="18">
        <v>4522</v>
      </c>
      <c r="G251" s="19">
        <v>3008</v>
      </c>
      <c r="H251" s="20">
        <v>1802</v>
      </c>
      <c r="I251" s="20">
        <v>1444</v>
      </c>
      <c r="J251" s="33">
        <f t="shared" si="56"/>
        <v>48866</v>
      </c>
      <c r="K251" s="34">
        <f t="shared" si="57"/>
        <v>1963</v>
      </c>
      <c r="L251" s="34">
        <v>773</v>
      </c>
      <c r="M251" s="35">
        <f t="shared" si="66"/>
        <v>143443</v>
      </c>
      <c r="N251" s="36">
        <f t="shared" si="67"/>
        <v>116962</v>
      </c>
      <c r="O251" s="36">
        <f t="shared" si="68"/>
        <v>269390</v>
      </c>
      <c r="P251" s="35">
        <f t="shared" ref="P251:P278" si="69">P$248+M251</f>
        <v>13505417.52</v>
      </c>
      <c r="Q251" s="35">
        <f t="shared" ref="Q251:Q278" si="70">Q$248+N251</f>
        <v>6062669.1</v>
      </c>
      <c r="R251" s="35">
        <f t="shared" ref="R251:R278" si="71">R$248+O251</f>
        <v>20061337.16</v>
      </c>
      <c r="S251" s="53"/>
      <c r="T251" s="33"/>
      <c r="U251" s="33"/>
      <c r="V251" s="33"/>
    </row>
    <row r="252" ht="15" customHeight="1" spans="1:22">
      <c r="A252" s="21">
        <v>41156</v>
      </c>
      <c r="B252" s="21" t="s">
        <v>36</v>
      </c>
      <c r="C252" s="22">
        <v>46646</v>
      </c>
      <c r="D252" s="8">
        <v>39462</v>
      </c>
      <c r="E252" s="8">
        <v>88283</v>
      </c>
      <c r="F252" s="23">
        <v>4508</v>
      </c>
      <c r="G252" s="24">
        <v>2898</v>
      </c>
      <c r="H252" s="25"/>
      <c r="I252" s="37"/>
      <c r="J252" s="9">
        <f t="shared" si="56"/>
        <v>48821</v>
      </c>
      <c r="K252" s="38">
        <f t="shared" si="57"/>
        <v>1402</v>
      </c>
      <c r="L252" s="38">
        <v>773</v>
      </c>
      <c r="M252" s="39">
        <f t="shared" si="66"/>
        <v>190089</v>
      </c>
      <c r="N252" s="40">
        <f t="shared" si="67"/>
        <v>156424</v>
      </c>
      <c r="O252" s="40">
        <f t="shared" si="68"/>
        <v>357673</v>
      </c>
      <c r="P252" s="41">
        <f t="shared" si="69"/>
        <v>13552063.52</v>
      </c>
      <c r="Q252" s="41">
        <f t="shared" si="70"/>
        <v>6102131.1</v>
      </c>
      <c r="R252" s="41">
        <f t="shared" si="71"/>
        <v>20149620.16</v>
      </c>
      <c r="S252" s="54">
        <v>113.9875</v>
      </c>
      <c r="T252" s="54">
        <f>P252/10000-S252</f>
        <v>1241.218852</v>
      </c>
      <c r="U252" s="38"/>
      <c r="V252" s="9">
        <v>3550</v>
      </c>
    </row>
    <row r="253" ht="15" customHeight="1" spans="1:22">
      <c r="A253" s="21">
        <v>41157</v>
      </c>
      <c r="B253" s="21" t="s">
        <v>37</v>
      </c>
      <c r="C253" s="22">
        <v>49790</v>
      </c>
      <c r="D253" s="8">
        <v>39309</v>
      </c>
      <c r="E253" s="8">
        <v>90324</v>
      </c>
      <c r="F253" s="23">
        <v>4600</v>
      </c>
      <c r="G253" s="24">
        <v>2980</v>
      </c>
      <c r="H253" s="25">
        <v>1802</v>
      </c>
      <c r="I253" s="37">
        <v>1472</v>
      </c>
      <c r="J253" s="9">
        <f t="shared" si="56"/>
        <v>51015</v>
      </c>
      <c r="K253" s="38">
        <f t="shared" si="57"/>
        <v>452</v>
      </c>
      <c r="L253" s="38">
        <v>773</v>
      </c>
      <c r="M253" s="39">
        <f t="shared" si="66"/>
        <v>239879</v>
      </c>
      <c r="N253" s="40">
        <f t="shared" si="67"/>
        <v>195733</v>
      </c>
      <c r="O253" s="40">
        <f t="shared" si="68"/>
        <v>447997</v>
      </c>
      <c r="P253" s="41">
        <f t="shared" si="69"/>
        <v>13601853.52</v>
      </c>
      <c r="Q253" s="41">
        <f t="shared" si="70"/>
        <v>6141440.1</v>
      </c>
      <c r="R253" s="41">
        <f t="shared" si="71"/>
        <v>20239944.16</v>
      </c>
      <c r="S253" s="54"/>
      <c r="T253" s="38"/>
      <c r="U253" s="38"/>
      <c r="V253" s="9"/>
    </row>
    <row r="254" ht="15" customHeight="1" spans="1:22">
      <c r="A254" s="21">
        <v>41158</v>
      </c>
      <c r="B254" s="21" t="s">
        <v>38</v>
      </c>
      <c r="C254" s="22">
        <v>50868</v>
      </c>
      <c r="D254" s="8">
        <v>38396</v>
      </c>
      <c r="E254" s="8">
        <v>90875</v>
      </c>
      <c r="F254" s="23">
        <v>4594</v>
      </c>
      <c r="G254" s="24">
        <v>3047</v>
      </c>
      <c r="H254" s="25">
        <v>1749</v>
      </c>
      <c r="I254" s="37">
        <v>1470</v>
      </c>
      <c r="J254" s="9">
        <f t="shared" si="56"/>
        <v>52479</v>
      </c>
      <c r="K254" s="38">
        <f t="shared" si="57"/>
        <v>837</v>
      </c>
      <c r="L254" s="38">
        <v>774</v>
      </c>
      <c r="M254" s="39">
        <f t="shared" si="66"/>
        <v>290747</v>
      </c>
      <c r="N254" s="40">
        <f t="shared" si="67"/>
        <v>234129</v>
      </c>
      <c r="O254" s="40">
        <f t="shared" si="68"/>
        <v>538872</v>
      </c>
      <c r="P254" s="41">
        <f t="shared" si="69"/>
        <v>13652721.52</v>
      </c>
      <c r="Q254" s="41">
        <f t="shared" si="70"/>
        <v>6179836.1</v>
      </c>
      <c r="R254" s="41">
        <f t="shared" si="71"/>
        <v>20330819.16</v>
      </c>
      <c r="S254" s="54"/>
      <c r="T254" s="38"/>
      <c r="U254" s="38"/>
      <c r="V254" s="9"/>
    </row>
    <row r="255" ht="15" customHeight="1" spans="1:22">
      <c r="A255" s="21">
        <v>41159</v>
      </c>
      <c r="B255" s="21" t="s">
        <v>1</v>
      </c>
      <c r="C255" s="22">
        <v>44766</v>
      </c>
      <c r="D255" s="8">
        <v>37406</v>
      </c>
      <c r="E255" s="8">
        <v>84038</v>
      </c>
      <c r="F255" s="23">
        <v>4103</v>
      </c>
      <c r="G255" s="24">
        <v>2989</v>
      </c>
      <c r="H255" s="25">
        <v>1698</v>
      </c>
      <c r="I255" s="37">
        <v>1470</v>
      </c>
      <c r="J255" s="9">
        <f t="shared" si="56"/>
        <v>46632</v>
      </c>
      <c r="K255" s="38">
        <f t="shared" si="57"/>
        <v>1092</v>
      </c>
      <c r="L255" s="38">
        <v>774</v>
      </c>
      <c r="M255" s="39">
        <f t="shared" si="66"/>
        <v>335513</v>
      </c>
      <c r="N255" s="40">
        <f t="shared" si="67"/>
        <v>271535</v>
      </c>
      <c r="O255" s="40">
        <f t="shared" si="68"/>
        <v>622910</v>
      </c>
      <c r="P255" s="41">
        <f t="shared" si="69"/>
        <v>13697487.52</v>
      </c>
      <c r="Q255" s="41">
        <f t="shared" si="70"/>
        <v>6217242.1</v>
      </c>
      <c r="R255" s="41">
        <f t="shared" si="71"/>
        <v>20414857.16</v>
      </c>
      <c r="S255" s="54"/>
      <c r="T255" s="38"/>
      <c r="U255" s="38"/>
      <c r="V255" s="9"/>
    </row>
    <row r="256" ht="15" customHeight="1" spans="1:22">
      <c r="A256" s="21">
        <v>41160</v>
      </c>
      <c r="B256" s="21" t="s">
        <v>39</v>
      </c>
      <c r="C256" s="22">
        <v>30532</v>
      </c>
      <c r="D256" s="8">
        <v>35550</v>
      </c>
      <c r="E256" s="8">
        <v>67072</v>
      </c>
      <c r="F256" s="23">
        <v>3099</v>
      </c>
      <c r="G256" s="24">
        <v>2581</v>
      </c>
      <c r="H256" s="25">
        <v>1593</v>
      </c>
      <c r="I256" s="37">
        <v>1297</v>
      </c>
      <c r="J256" s="9">
        <f t="shared" si="56"/>
        <v>31522</v>
      </c>
      <c r="K256" s="38">
        <f t="shared" si="57"/>
        <v>216</v>
      </c>
      <c r="L256" s="38">
        <v>774</v>
      </c>
      <c r="M256" s="39">
        <f t="shared" si="66"/>
        <v>366045</v>
      </c>
      <c r="N256" s="40">
        <f t="shared" si="67"/>
        <v>307085</v>
      </c>
      <c r="O256" s="40">
        <f t="shared" si="68"/>
        <v>689982</v>
      </c>
      <c r="P256" s="41">
        <f t="shared" si="69"/>
        <v>13728019.52</v>
      </c>
      <c r="Q256" s="41">
        <f t="shared" si="70"/>
        <v>6252792.1</v>
      </c>
      <c r="R256" s="41">
        <f t="shared" si="71"/>
        <v>20481929.16</v>
      </c>
      <c r="S256" s="54"/>
      <c r="T256" s="38"/>
      <c r="U256" s="38"/>
      <c r="V256" s="9"/>
    </row>
    <row r="257" ht="15" customHeight="1" spans="1:22">
      <c r="A257" s="21">
        <v>41161</v>
      </c>
      <c r="B257" s="21" t="s">
        <v>34</v>
      </c>
      <c r="C257" s="22">
        <v>47827</v>
      </c>
      <c r="D257" s="8">
        <v>35256</v>
      </c>
      <c r="E257" s="8">
        <v>85521</v>
      </c>
      <c r="F257" s="23">
        <v>4487</v>
      </c>
      <c r="G257" s="24">
        <v>2381</v>
      </c>
      <c r="H257" s="25">
        <v>1713</v>
      </c>
      <c r="I257" s="37">
        <v>1125</v>
      </c>
      <c r="J257" s="9">
        <f t="shared" ref="J257:J320" si="72">E257-D257</f>
        <v>50265</v>
      </c>
      <c r="K257" s="38">
        <f t="shared" ref="K257:K320" si="73">J257-C257-L257</f>
        <v>1665</v>
      </c>
      <c r="L257" s="38">
        <v>773</v>
      </c>
      <c r="M257" s="39">
        <f t="shared" si="66"/>
        <v>413872</v>
      </c>
      <c r="N257" s="40">
        <f t="shared" si="67"/>
        <v>342341</v>
      </c>
      <c r="O257" s="40">
        <f t="shared" si="68"/>
        <v>775503</v>
      </c>
      <c r="P257" s="41">
        <f t="shared" si="69"/>
        <v>13775846.52</v>
      </c>
      <c r="Q257" s="41">
        <f t="shared" si="70"/>
        <v>6288048.1</v>
      </c>
      <c r="R257" s="41">
        <f t="shared" si="71"/>
        <v>20567450.16</v>
      </c>
      <c r="S257" s="54"/>
      <c r="T257" s="38"/>
      <c r="U257" s="38"/>
      <c r="V257" s="9"/>
    </row>
    <row r="258" ht="15" customHeight="1" spans="1:22">
      <c r="A258" s="15">
        <v>41162</v>
      </c>
      <c r="B258" s="15" t="s">
        <v>35</v>
      </c>
      <c r="C258" s="16">
        <v>50924</v>
      </c>
      <c r="D258" s="17">
        <v>39024</v>
      </c>
      <c r="E258" s="17">
        <v>91603</v>
      </c>
      <c r="F258" s="18">
        <v>4683</v>
      </c>
      <c r="G258" s="19">
        <v>3037</v>
      </c>
      <c r="H258" s="20">
        <v>1818</v>
      </c>
      <c r="I258" s="20">
        <v>1422</v>
      </c>
      <c r="J258" s="33">
        <f t="shared" si="72"/>
        <v>52579</v>
      </c>
      <c r="K258" s="34">
        <f t="shared" si="73"/>
        <v>882</v>
      </c>
      <c r="L258" s="34">
        <v>773</v>
      </c>
      <c r="M258" s="35">
        <f t="shared" si="66"/>
        <v>464796</v>
      </c>
      <c r="N258" s="36">
        <f t="shared" si="67"/>
        <v>381365</v>
      </c>
      <c r="O258" s="36">
        <f t="shared" si="68"/>
        <v>867106</v>
      </c>
      <c r="P258" s="35">
        <f t="shared" si="69"/>
        <v>13826770.52</v>
      </c>
      <c r="Q258" s="35">
        <f t="shared" si="70"/>
        <v>6327072.1</v>
      </c>
      <c r="R258" s="35">
        <f t="shared" si="71"/>
        <v>20659053.16</v>
      </c>
      <c r="S258" s="53">
        <v>116.6277</v>
      </c>
      <c r="T258" s="53">
        <f>P258/10000-S258</f>
        <v>1266.049352</v>
      </c>
      <c r="U258" s="33"/>
      <c r="V258" s="63">
        <f>(T258-5-0.95-3.7-1)/3471.1*10000</f>
        <v>3616.71905735934</v>
      </c>
    </row>
    <row r="259" ht="15" customHeight="1" spans="1:22">
      <c r="A259" s="21">
        <v>41163</v>
      </c>
      <c r="B259" s="21" t="s">
        <v>36</v>
      </c>
      <c r="C259" s="22">
        <v>48466</v>
      </c>
      <c r="D259" s="8">
        <v>39175</v>
      </c>
      <c r="E259" s="8">
        <v>89557</v>
      </c>
      <c r="F259" s="23">
        <v>4557</v>
      </c>
      <c r="G259" s="24">
        <v>3004</v>
      </c>
      <c r="H259" s="25">
        <v>1823</v>
      </c>
      <c r="I259" s="37">
        <v>1433</v>
      </c>
      <c r="J259" s="9">
        <f t="shared" si="72"/>
        <v>50382</v>
      </c>
      <c r="K259" s="38">
        <f t="shared" si="73"/>
        <v>1143</v>
      </c>
      <c r="L259" s="38">
        <v>773</v>
      </c>
      <c r="M259" s="39">
        <f t="shared" si="66"/>
        <v>513262</v>
      </c>
      <c r="N259" s="40">
        <f t="shared" si="67"/>
        <v>420540</v>
      </c>
      <c r="O259" s="40">
        <f t="shared" si="68"/>
        <v>956663</v>
      </c>
      <c r="P259" s="41">
        <f t="shared" si="69"/>
        <v>13875236.52</v>
      </c>
      <c r="Q259" s="41">
        <f t="shared" si="70"/>
        <v>6366247.1</v>
      </c>
      <c r="R259" s="41">
        <f t="shared" si="71"/>
        <v>20748610.16</v>
      </c>
      <c r="S259" s="54">
        <v>117.0877</v>
      </c>
      <c r="T259" s="54">
        <f>P259/10000-S259</f>
        <v>1270.435952</v>
      </c>
      <c r="U259" s="38"/>
      <c r="V259" s="59">
        <f>(T259-5-0.95-3.7-1)/3471.8*10000</f>
        <v>3628.62478253355</v>
      </c>
    </row>
    <row r="260" ht="15" customHeight="1" spans="1:22">
      <c r="A260" s="21">
        <v>41164</v>
      </c>
      <c r="B260" s="21" t="s">
        <v>37</v>
      </c>
      <c r="C260" s="22">
        <v>53009</v>
      </c>
      <c r="D260" s="8">
        <v>38667</v>
      </c>
      <c r="E260" s="8">
        <v>93550</v>
      </c>
      <c r="F260" s="23">
        <v>4684</v>
      </c>
      <c r="G260" s="24">
        <v>3006</v>
      </c>
      <c r="H260" s="25">
        <v>182</v>
      </c>
      <c r="I260" s="37">
        <v>1443</v>
      </c>
      <c r="J260" s="9">
        <f t="shared" si="72"/>
        <v>54883</v>
      </c>
      <c r="K260" s="38">
        <f t="shared" si="73"/>
        <v>1101</v>
      </c>
      <c r="L260" s="38">
        <v>773</v>
      </c>
      <c r="M260" s="39">
        <f t="shared" si="66"/>
        <v>566271</v>
      </c>
      <c r="N260" s="40">
        <f t="shared" si="67"/>
        <v>459207</v>
      </c>
      <c r="O260" s="40">
        <f t="shared" si="68"/>
        <v>1050213</v>
      </c>
      <c r="P260" s="41">
        <f t="shared" si="69"/>
        <v>13928245.52</v>
      </c>
      <c r="Q260" s="41">
        <f t="shared" si="70"/>
        <v>6404914.1</v>
      </c>
      <c r="R260" s="41">
        <f t="shared" si="71"/>
        <v>20842160.16</v>
      </c>
      <c r="S260" s="54"/>
      <c r="T260" s="38"/>
      <c r="U260" s="38"/>
      <c r="V260" s="9"/>
    </row>
    <row r="261" ht="15" customHeight="1" spans="1:22">
      <c r="A261" s="21">
        <v>41165</v>
      </c>
      <c r="B261" s="21" t="s">
        <v>38</v>
      </c>
      <c r="C261" s="22">
        <v>51080</v>
      </c>
      <c r="D261" s="8">
        <v>37450</v>
      </c>
      <c r="E261" s="8">
        <v>90067</v>
      </c>
      <c r="F261" s="23">
        <v>4577</v>
      </c>
      <c r="G261" s="24">
        <v>3091</v>
      </c>
      <c r="H261" s="25"/>
      <c r="I261" s="37"/>
      <c r="J261" s="9">
        <f t="shared" si="72"/>
        <v>52617</v>
      </c>
      <c r="K261" s="38">
        <f t="shared" si="73"/>
        <v>764</v>
      </c>
      <c r="L261" s="38">
        <v>773</v>
      </c>
      <c r="M261" s="39">
        <f t="shared" si="66"/>
        <v>617351</v>
      </c>
      <c r="N261" s="40">
        <f t="shared" si="67"/>
        <v>496657</v>
      </c>
      <c r="O261" s="40">
        <f t="shared" si="68"/>
        <v>1140280</v>
      </c>
      <c r="P261" s="41">
        <f t="shared" si="69"/>
        <v>13979325.52</v>
      </c>
      <c r="Q261" s="41">
        <f t="shared" si="70"/>
        <v>6442364.1</v>
      </c>
      <c r="R261" s="41">
        <f t="shared" si="71"/>
        <v>20932227.16</v>
      </c>
      <c r="S261" s="54"/>
      <c r="T261" s="38"/>
      <c r="U261" s="38"/>
      <c r="V261" s="9"/>
    </row>
    <row r="262" ht="15" customHeight="1" spans="1:22">
      <c r="A262" s="21">
        <v>41166</v>
      </c>
      <c r="B262" s="21" t="s">
        <v>1</v>
      </c>
      <c r="C262" s="22">
        <v>45767</v>
      </c>
      <c r="D262" s="8">
        <v>37190</v>
      </c>
      <c r="E262" s="8">
        <v>84384</v>
      </c>
      <c r="F262" s="23">
        <v>4180</v>
      </c>
      <c r="G262" s="24">
        <v>2982</v>
      </c>
      <c r="H262" s="25"/>
      <c r="I262" s="37"/>
      <c r="J262" s="9">
        <f t="shared" si="72"/>
        <v>47194</v>
      </c>
      <c r="K262" s="38">
        <f t="shared" si="73"/>
        <v>654</v>
      </c>
      <c r="L262" s="38">
        <v>773</v>
      </c>
      <c r="M262" s="39">
        <f t="shared" si="66"/>
        <v>663118</v>
      </c>
      <c r="N262" s="40">
        <f t="shared" si="67"/>
        <v>533847</v>
      </c>
      <c r="O262" s="40">
        <f t="shared" si="68"/>
        <v>1224664</v>
      </c>
      <c r="P262" s="41">
        <f t="shared" si="69"/>
        <v>14025092.52</v>
      </c>
      <c r="Q262" s="41">
        <f t="shared" si="70"/>
        <v>6479554.1</v>
      </c>
      <c r="R262" s="41">
        <f t="shared" si="71"/>
        <v>21016611.16</v>
      </c>
      <c r="S262" s="54"/>
      <c r="T262" s="38"/>
      <c r="U262" s="38"/>
      <c r="V262" s="9"/>
    </row>
    <row r="263" ht="15" customHeight="1" spans="1:22">
      <c r="A263" s="21">
        <v>41167</v>
      </c>
      <c r="B263" s="21" t="s">
        <v>39</v>
      </c>
      <c r="C263" s="22">
        <v>49417</v>
      </c>
      <c r="D263" s="8">
        <v>37838</v>
      </c>
      <c r="E263" s="8">
        <v>88541</v>
      </c>
      <c r="F263" s="23">
        <v>4531</v>
      </c>
      <c r="G263" s="24">
        <v>2887</v>
      </c>
      <c r="H263" s="25"/>
      <c r="I263" s="37"/>
      <c r="J263" s="9">
        <f t="shared" si="72"/>
        <v>50703</v>
      </c>
      <c r="K263" s="38">
        <f t="shared" si="73"/>
        <v>513</v>
      </c>
      <c r="L263" s="38">
        <v>773</v>
      </c>
      <c r="M263" s="39">
        <f t="shared" si="66"/>
        <v>712535</v>
      </c>
      <c r="N263" s="40">
        <f t="shared" si="67"/>
        <v>571685</v>
      </c>
      <c r="O263" s="40">
        <f t="shared" si="68"/>
        <v>1313205</v>
      </c>
      <c r="P263" s="41">
        <f t="shared" si="69"/>
        <v>14074509.52</v>
      </c>
      <c r="Q263" s="41">
        <f t="shared" si="70"/>
        <v>6517392.1</v>
      </c>
      <c r="R263" s="41">
        <f t="shared" si="71"/>
        <v>21105152.16</v>
      </c>
      <c r="S263" s="54"/>
      <c r="T263" s="38"/>
      <c r="U263" s="38"/>
      <c r="V263" s="9"/>
    </row>
    <row r="264" ht="15" customHeight="1" spans="1:22">
      <c r="A264" s="21">
        <v>41168</v>
      </c>
      <c r="B264" s="21" t="s">
        <v>34</v>
      </c>
      <c r="C264" s="22">
        <v>49191</v>
      </c>
      <c r="D264" s="8">
        <v>37038</v>
      </c>
      <c r="E264" s="8">
        <v>88438</v>
      </c>
      <c r="F264" s="23">
        <v>4469</v>
      </c>
      <c r="G264" s="24">
        <v>2984</v>
      </c>
      <c r="H264" s="25">
        <v>1712</v>
      </c>
      <c r="I264" s="37">
        <v>1355</v>
      </c>
      <c r="J264" s="9">
        <f t="shared" si="72"/>
        <v>51400</v>
      </c>
      <c r="K264" s="38">
        <f t="shared" si="73"/>
        <v>1429</v>
      </c>
      <c r="L264" s="38">
        <v>780</v>
      </c>
      <c r="M264" s="39">
        <f t="shared" si="66"/>
        <v>761726</v>
      </c>
      <c r="N264" s="40">
        <f t="shared" si="67"/>
        <v>608723</v>
      </c>
      <c r="O264" s="40">
        <f t="shared" si="68"/>
        <v>1401643</v>
      </c>
      <c r="P264" s="41">
        <f t="shared" si="69"/>
        <v>14123700.52</v>
      </c>
      <c r="Q264" s="41">
        <f t="shared" si="70"/>
        <v>6554430.1</v>
      </c>
      <c r="R264" s="41">
        <f t="shared" si="71"/>
        <v>21193590.16</v>
      </c>
      <c r="S264" s="54"/>
      <c r="T264" s="38"/>
      <c r="U264" s="38"/>
      <c r="V264" s="9"/>
    </row>
    <row r="265" ht="15" customHeight="1" spans="1:22">
      <c r="A265" s="15">
        <v>41169</v>
      </c>
      <c r="B265" s="15" t="s">
        <v>35</v>
      </c>
      <c r="C265" s="16">
        <v>53297</v>
      </c>
      <c r="D265" s="17">
        <v>37774</v>
      </c>
      <c r="E265" s="17">
        <v>92618</v>
      </c>
      <c r="F265" s="18">
        <v>4743</v>
      </c>
      <c r="G265" s="19">
        <v>3012</v>
      </c>
      <c r="H265" s="20"/>
      <c r="I265" s="20"/>
      <c r="J265" s="33">
        <f t="shared" si="72"/>
        <v>54844</v>
      </c>
      <c r="K265" s="34">
        <f t="shared" si="73"/>
        <v>765</v>
      </c>
      <c r="L265" s="34">
        <v>782</v>
      </c>
      <c r="M265" s="35">
        <f t="shared" si="66"/>
        <v>815023</v>
      </c>
      <c r="N265" s="36">
        <f t="shared" si="67"/>
        <v>646497</v>
      </c>
      <c r="O265" s="36">
        <f t="shared" si="68"/>
        <v>1494261</v>
      </c>
      <c r="P265" s="35">
        <f t="shared" si="69"/>
        <v>14176997.52</v>
      </c>
      <c r="Q265" s="35">
        <f t="shared" si="70"/>
        <v>6592204.1</v>
      </c>
      <c r="R265" s="35">
        <f t="shared" si="71"/>
        <v>21286208.16</v>
      </c>
      <c r="S265" s="53"/>
      <c r="T265" s="33"/>
      <c r="U265" s="33"/>
      <c r="V265" s="33"/>
    </row>
    <row r="266" ht="15" customHeight="1" spans="1:22">
      <c r="A266" s="21">
        <v>41170</v>
      </c>
      <c r="B266" s="21" t="s">
        <v>36</v>
      </c>
      <c r="C266" s="22">
        <v>50775</v>
      </c>
      <c r="D266" s="8">
        <v>37796</v>
      </c>
      <c r="E266" s="8">
        <v>90623</v>
      </c>
      <c r="F266" s="23">
        <v>4658</v>
      </c>
      <c r="G266" s="24">
        <v>3138</v>
      </c>
      <c r="H266" s="25"/>
      <c r="I266" s="37"/>
      <c r="J266" s="9">
        <f t="shared" si="72"/>
        <v>52827</v>
      </c>
      <c r="K266" s="38">
        <f t="shared" si="73"/>
        <v>1266</v>
      </c>
      <c r="L266" s="38">
        <v>786</v>
      </c>
      <c r="M266" s="39">
        <f t="shared" si="66"/>
        <v>865798</v>
      </c>
      <c r="N266" s="40">
        <f t="shared" si="67"/>
        <v>684293</v>
      </c>
      <c r="O266" s="40">
        <f t="shared" si="68"/>
        <v>1584884</v>
      </c>
      <c r="P266" s="41">
        <f t="shared" si="69"/>
        <v>14227772.52</v>
      </c>
      <c r="Q266" s="41">
        <f t="shared" si="70"/>
        <v>6630000.1</v>
      </c>
      <c r="R266" s="41">
        <f t="shared" si="71"/>
        <v>21376831.16</v>
      </c>
      <c r="S266" s="54">
        <v>120.2377</v>
      </c>
      <c r="T266" s="54">
        <f>P266/10000-S266</f>
        <v>1302.539552</v>
      </c>
      <c r="U266" s="38"/>
      <c r="V266" s="9">
        <v>3710</v>
      </c>
    </row>
    <row r="267" ht="15" customHeight="1" spans="1:22">
      <c r="A267" s="21">
        <v>41171</v>
      </c>
      <c r="B267" s="21" t="s">
        <v>37</v>
      </c>
      <c r="C267" s="22">
        <v>43064</v>
      </c>
      <c r="D267" s="8">
        <v>38851</v>
      </c>
      <c r="E267" s="8">
        <v>84194</v>
      </c>
      <c r="F267" s="23">
        <v>4314</v>
      </c>
      <c r="G267" s="24">
        <v>2889</v>
      </c>
      <c r="H267" s="25"/>
      <c r="I267" s="37"/>
      <c r="J267" s="9">
        <f t="shared" si="72"/>
        <v>45343</v>
      </c>
      <c r="K267" s="38">
        <f t="shared" si="73"/>
        <v>1496</v>
      </c>
      <c r="L267" s="38">
        <v>783</v>
      </c>
      <c r="M267" s="39">
        <f t="shared" si="66"/>
        <v>908862</v>
      </c>
      <c r="N267" s="40">
        <f t="shared" si="67"/>
        <v>723144</v>
      </c>
      <c r="O267" s="40">
        <f t="shared" si="68"/>
        <v>1669078</v>
      </c>
      <c r="P267" s="41">
        <f t="shared" si="69"/>
        <v>14270836.52</v>
      </c>
      <c r="Q267" s="41">
        <f t="shared" si="70"/>
        <v>6668851.1</v>
      </c>
      <c r="R267" s="41">
        <f t="shared" si="71"/>
        <v>21461025.16</v>
      </c>
      <c r="S267" s="54"/>
      <c r="T267" s="38"/>
      <c r="U267" s="38"/>
      <c r="V267" s="9"/>
    </row>
    <row r="268" ht="15" customHeight="1" spans="1:22">
      <c r="A268" s="21">
        <v>41172</v>
      </c>
      <c r="B268" s="21" t="s">
        <v>38</v>
      </c>
      <c r="C268" s="22">
        <v>41398</v>
      </c>
      <c r="D268" s="8">
        <v>37944</v>
      </c>
      <c r="E268" s="8">
        <v>81611</v>
      </c>
      <c r="F268" s="23">
        <v>4145</v>
      </c>
      <c r="G268" s="24">
        <v>2798</v>
      </c>
      <c r="H268" s="25"/>
      <c r="I268" s="37"/>
      <c r="J268" s="9">
        <f t="shared" si="72"/>
        <v>43667</v>
      </c>
      <c r="K268" s="38">
        <f t="shared" si="73"/>
        <v>1483</v>
      </c>
      <c r="L268" s="38">
        <v>786</v>
      </c>
      <c r="M268" s="39">
        <f t="shared" si="66"/>
        <v>950260</v>
      </c>
      <c r="N268" s="40">
        <f t="shared" si="67"/>
        <v>761088</v>
      </c>
      <c r="O268" s="40">
        <f t="shared" si="68"/>
        <v>1750689</v>
      </c>
      <c r="P268" s="41">
        <f t="shared" si="69"/>
        <v>14312234.52</v>
      </c>
      <c r="Q268" s="41">
        <f t="shared" si="70"/>
        <v>6706795.1</v>
      </c>
      <c r="R268" s="41">
        <f t="shared" si="71"/>
        <v>21542636.16</v>
      </c>
      <c r="S268" s="54">
        <v>122.5702</v>
      </c>
      <c r="T268" s="54">
        <f>P268/10000-S268</f>
        <v>1308.653252</v>
      </c>
      <c r="U268" s="38"/>
      <c r="V268" s="60">
        <f>(T268-5-0.95-3.7-3.1)/3479.7*10000</f>
        <v>3724.18096962382</v>
      </c>
    </row>
    <row r="269" ht="15" customHeight="1" spans="1:22">
      <c r="A269" s="21">
        <v>41173</v>
      </c>
      <c r="B269" s="21" t="s">
        <v>1</v>
      </c>
      <c r="C269" s="22">
        <v>35045</v>
      </c>
      <c r="D269" s="8">
        <v>37065</v>
      </c>
      <c r="E269" s="8">
        <v>75344</v>
      </c>
      <c r="F269" s="23">
        <v>3775</v>
      </c>
      <c r="G269" s="24">
        <v>2702</v>
      </c>
      <c r="H269" s="25"/>
      <c r="I269" s="37"/>
      <c r="J269" s="9">
        <f t="shared" si="72"/>
        <v>38279</v>
      </c>
      <c r="K269" s="38">
        <f t="shared" si="73"/>
        <v>2448</v>
      </c>
      <c r="L269" s="38">
        <v>786</v>
      </c>
      <c r="M269" s="39">
        <f t="shared" si="66"/>
        <v>985305</v>
      </c>
      <c r="N269" s="40">
        <f t="shared" si="67"/>
        <v>798153</v>
      </c>
      <c r="O269" s="40">
        <f t="shared" si="68"/>
        <v>1826033</v>
      </c>
      <c r="P269" s="41">
        <f t="shared" si="69"/>
        <v>14347279.52</v>
      </c>
      <c r="Q269" s="41">
        <f t="shared" si="70"/>
        <v>6743860.1</v>
      </c>
      <c r="R269" s="41">
        <f t="shared" si="71"/>
        <v>21617980.16</v>
      </c>
      <c r="S269" s="54"/>
      <c r="T269" s="38"/>
      <c r="U269" s="38"/>
      <c r="V269" s="9"/>
    </row>
    <row r="270" ht="15" customHeight="1" spans="1:22">
      <c r="A270" s="21">
        <v>41174</v>
      </c>
      <c r="B270" s="21" t="s">
        <v>39</v>
      </c>
      <c r="C270" s="22">
        <v>39012</v>
      </c>
      <c r="D270" s="8">
        <v>34175</v>
      </c>
      <c r="E270" s="8">
        <v>76848</v>
      </c>
      <c r="F270" s="23">
        <v>4058</v>
      </c>
      <c r="G270" s="24">
        <v>2493</v>
      </c>
      <c r="H270" s="25"/>
      <c r="I270" s="37"/>
      <c r="J270" s="9">
        <f t="shared" si="72"/>
        <v>42673</v>
      </c>
      <c r="K270" s="38">
        <f t="shared" si="73"/>
        <v>2876</v>
      </c>
      <c r="L270" s="38">
        <v>785</v>
      </c>
      <c r="M270" s="39">
        <f t="shared" si="66"/>
        <v>1024317</v>
      </c>
      <c r="N270" s="40">
        <f t="shared" si="67"/>
        <v>832328</v>
      </c>
      <c r="O270" s="40">
        <f t="shared" si="68"/>
        <v>1902881</v>
      </c>
      <c r="P270" s="41">
        <f t="shared" si="69"/>
        <v>14386291.52</v>
      </c>
      <c r="Q270" s="41">
        <f t="shared" si="70"/>
        <v>6778035.1</v>
      </c>
      <c r="R270" s="41">
        <f t="shared" si="71"/>
        <v>21694828.16</v>
      </c>
      <c r="S270" s="54"/>
      <c r="T270" s="38"/>
      <c r="U270" s="38"/>
      <c r="V270" s="9"/>
    </row>
    <row r="271" ht="15" customHeight="1" spans="1:22">
      <c r="A271" s="21">
        <v>41175</v>
      </c>
      <c r="B271" s="21" t="s">
        <v>34</v>
      </c>
      <c r="C271" s="22">
        <v>41070</v>
      </c>
      <c r="D271" s="8">
        <v>36433</v>
      </c>
      <c r="E271" s="8">
        <v>80580</v>
      </c>
      <c r="F271" s="23">
        <v>4156</v>
      </c>
      <c r="G271" s="24">
        <v>2549</v>
      </c>
      <c r="H271" s="25"/>
      <c r="I271" s="37"/>
      <c r="J271" s="9">
        <f t="shared" si="72"/>
        <v>44147</v>
      </c>
      <c r="K271" s="38">
        <f t="shared" si="73"/>
        <v>2292</v>
      </c>
      <c r="L271" s="38">
        <v>785</v>
      </c>
      <c r="M271" s="39">
        <f t="shared" si="66"/>
        <v>1065387</v>
      </c>
      <c r="N271" s="40">
        <f t="shared" si="67"/>
        <v>868761</v>
      </c>
      <c r="O271" s="40">
        <f t="shared" si="68"/>
        <v>1983461</v>
      </c>
      <c r="P271" s="41">
        <f t="shared" si="69"/>
        <v>14427361.52</v>
      </c>
      <c r="Q271" s="41">
        <f t="shared" si="70"/>
        <v>6814468.1</v>
      </c>
      <c r="R271" s="41">
        <f t="shared" si="71"/>
        <v>21775408.16</v>
      </c>
      <c r="S271" s="54"/>
      <c r="T271" s="38"/>
      <c r="U271" s="38"/>
      <c r="V271" s="9"/>
    </row>
    <row r="272" ht="15" customHeight="1" spans="1:22">
      <c r="A272" s="15">
        <v>41176</v>
      </c>
      <c r="B272" s="15" t="s">
        <v>35</v>
      </c>
      <c r="C272" s="16">
        <v>45428</v>
      </c>
      <c r="D272" s="17">
        <v>37572</v>
      </c>
      <c r="E272" s="17">
        <v>84862</v>
      </c>
      <c r="F272" s="18">
        <v>4353</v>
      </c>
      <c r="G272" s="19">
        <v>2804</v>
      </c>
      <c r="H272" s="20"/>
      <c r="I272" s="20"/>
      <c r="J272" s="33">
        <f t="shared" si="72"/>
        <v>47290</v>
      </c>
      <c r="K272" s="34">
        <f t="shared" si="73"/>
        <v>1074</v>
      </c>
      <c r="L272" s="34">
        <v>788</v>
      </c>
      <c r="M272" s="35">
        <f t="shared" si="66"/>
        <v>1110815</v>
      </c>
      <c r="N272" s="36">
        <f t="shared" si="67"/>
        <v>906333</v>
      </c>
      <c r="O272" s="36">
        <f t="shared" si="68"/>
        <v>2068323</v>
      </c>
      <c r="P272" s="35">
        <f t="shared" si="69"/>
        <v>14472789.52</v>
      </c>
      <c r="Q272" s="35">
        <f t="shared" si="70"/>
        <v>6852040.1</v>
      </c>
      <c r="R272" s="35">
        <f t="shared" si="71"/>
        <v>21860270.16</v>
      </c>
      <c r="S272" s="53"/>
      <c r="T272" s="33"/>
      <c r="U272" s="33"/>
      <c r="V272" s="33"/>
    </row>
    <row r="273" ht="15" customHeight="1" spans="1:22">
      <c r="A273" s="21">
        <v>41177</v>
      </c>
      <c r="B273" s="21" t="s">
        <v>36</v>
      </c>
      <c r="C273" s="22">
        <v>44576</v>
      </c>
      <c r="D273" s="8">
        <v>38443</v>
      </c>
      <c r="E273" s="8">
        <v>84855</v>
      </c>
      <c r="F273" s="23">
        <v>4318</v>
      </c>
      <c r="G273" s="24">
        <v>2882</v>
      </c>
      <c r="H273" s="25"/>
      <c r="I273" s="37"/>
      <c r="J273" s="9">
        <f t="shared" si="72"/>
        <v>46412</v>
      </c>
      <c r="K273" s="38">
        <f t="shared" si="73"/>
        <v>1137</v>
      </c>
      <c r="L273" s="38">
        <v>699</v>
      </c>
      <c r="M273" s="39">
        <f t="shared" si="66"/>
        <v>1155391</v>
      </c>
      <c r="N273" s="40">
        <f t="shared" si="67"/>
        <v>944776</v>
      </c>
      <c r="O273" s="40">
        <f t="shared" si="68"/>
        <v>2153178</v>
      </c>
      <c r="P273" s="41">
        <f t="shared" si="69"/>
        <v>14517365.52</v>
      </c>
      <c r="Q273" s="41">
        <f t="shared" si="70"/>
        <v>6890483.1</v>
      </c>
      <c r="R273" s="41">
        <f t="shared" si="71"/>
        <v>21945125.16</v>
      </c>
      <c r="S273" s="54">
        <v>125.5702</v>
      </c>
      <c r="T273" s="54">
        <f>P273/10000-S273</f>
        <v>1326.166352</v>
      </c>
      <c r="U273" s="38"/>
      <c r="V273" s="59">
        <f>(T273-5-0.95-3.7-3.1)/3484.9*10000</f>
        <v>3768.87816580103</v>
      </c>
    </row>
    <row r="274" ht="15" customHeight="1" spans="1:22">
      <c r="A274" s="21">
        <v>41178</v>
      </c>
      <c r="B274" s="21" t="s">
        <v>37</v>
      </c>
      <c r="C274" s="22">
        <v>46365</v>
      </c>
      <c r="D274" s="8">
        <v>38658</v>
      </c>
      <c r="E274" s="8">
        <v>86331</v>
      </c>
      <c r="F274" s="23">
        <v>4383</v>
      </c>
      <c r="G274" s="24">
        <v>2884</v>
      </c>
      <c r="H274" s="25"/>
      <c r="I274" s="37"/>
      <c r="J274" s="9">
        <f t="shared" si="72"/>
        <v>47673</v>
      </c>
      <c r="K274" s="38">
        <f t="shared" si="73"/>
        <v>519</v>
      </c>
      <c r="L274" s="38">
        <v>789</v>
      </c>
      <c r="M274" s="39">
        <f t="shared" si="66"/>
        <v>1201756</v>
      </c>
      <c r="N274" s="40">
        <f t="shared" si="67"/>
        <v>983434</v>
      </c>
      <c r="O274" s="40">
        <f t="shared" si="68"/>
        <v>2239509</v>
      </c>
      <c r="P274" s="41">
        <f t="shared" si="69"/>
        <v>14563730.52</v>
      </c>
      <c r="Q274" s="41">
        <f t="shared" si="70"/>
        <v>6929141.1</v>
      </c>
      <c r="R274" s="41">
        <f t="shared" si="71"/>
        <v>22031456.16</v>
      </c>
      <c r="S274" s="54"/>
      <c r="T274" s="38"/>
      <c r="U274" s="38"/>
      <c r="V274" s="9"/>
    </row>
    <row r="275" ht="15" customHeight="1" spans="1:22">
      <c r="A275" s="21">
        <v>41179</v>
      </c>
      <c r="B275" s="21" t="s">
        <v>38</v>
      </c>
      <c r="C275" s="22">
        <v>48912</v>
      </c>
      <c r="D275" s="8">
        <v>38152</v>
      </c>
      <c r="E275" s="8">
        <v>88716</v>
      </c>
      <c r="F275" s="23">
        <v>4463</v>
      </c>
      <c r="G275" s="24">
        <v>2957</v>
      </c>
      <c r="H275" s="25"/>
      <c r="I275" s="37"/>
      <c r="J275" s="9">
        <f t="shared" si="72"/>
        <v>50564</v>
      </c>
      <c r="K275" s="38">
        <f t="shared" si="73"/>
        <v>882</v>
      </c>
      <c r="L275" s="38">
        <v>770</v>
      </c>
      <c r="M275" s="39">
        <f t="shared" si="66"/>
        <v>1250668</v>
      </c>
      <c r="N275" s="40">
        <f t="shared" si="67"/>
        <v>1021586</v>
      </c>
      <c r="O275" s="40">
        <f t="shared" si="68"/>
        <v>2328225</v>
      </c>
      <c r="P275" s="41">
        <f t="shared" si="69"/>
        <v>14612642.52</v>
      </c>
      <c r="Q275" s="41">
        <f t="shared" si="70"/>
        <v>6967293.1</v>
      </c>
      <c r="R275" s="41">
        <f t="shared" si="71"/>
        <v>22120172.16</v>
      </c>
      <c r="S275" s="54"/>
      <c r="T275" s="38"/>
      <c r="U275" s="38"/>
      <c r="V275" s="9"/>
    </row>
    <row r="276" ht="15" customHeight="1" spans="1:22">
      <c r="A276" s="21">
        <v>41180</v>
      </c>
      <c r="B276" s="21" t="s">
        <v>1</v>
      </c>
      <c r="C276" s="22">
        <v>50169</v>
      </c>
      <c r="D276" s="8">
        <v>38255</v>
      </c>
      <c r="E276" s="8">
        <v>90185</v>
      </c>
      <c r="F276" s="23">
        <v>4567</v>
      </c>
      <c r="G276" s="24">
        <v>3003</v>
      </c>
      <c r="H276" s="25">
        <v>1722</v>
      </c>
      <c r="I276" s="37">
        <v>1449</v>
      </c>
      <c r="J276" s="9">
        <f t="shared" si="72"/>
        <v>51930</v>
      </c>
      <c r="K276" s="38">
        <f t="shared" si="73"/>
        <v>988</v>
      </c>
      <c r="L276" s="38">
        <v>773</v>
      </c>
      <c r="M276" s="39">
        <f t="shared" si="66"/>
        <v>1300837</v>
      </c>
      <c r="N276" s="40">
        <f t="shared" si="67"/>
        <v>1059841</v>
      </c>
      <c r="O276" s="40">
        <f t="shared" si="68"/>
        <v>2418410</v>
      </c>
      <c r="P276" s="41">
        <f t="shared" si="69"/>
        <v>14662811.52</v>
      </c>
      <c r="Q276" s="41">
        <f t="shared" si="70"/>
        <v>7005548.1</v>
      </c>
      <c r="R276" s="41">
        <f t="shared" si="71"/>
        <v>22210357.16</v>
      </c>
      <c r="S276" s="54"/>
      <c r="T276" s="38"/>
      <c r="U276" s="38"/>
      <c r="V276" s="9"/>
    </row>
    <row r="277" ht="15" customHeight="1" spans="1:22">
      <c r="A277" s="21">
        <v>41181</v>
      </c>
      <c r="B277" s="21" t="s">
        <v>39</v>
      </c>
      <c r="C277" s="22">
        <v>51487</v>
      </c>
      <c r="D277" s="8">
        <v>38642</v>
      </c>
      <c r="E277" s="8">
        <v>92051</v>
      </c>
      <c r="F277" s="23">
        <v>4776</v>
      </c>
      <c r="G277" s="24">
        <v>3011</v>
      </c>
      <c r="H277" s="25">
        <v>1824</v>
      </c>
      <c r="I277" s="37">
        <v>1441</v>
      </c>
      <c r="J277" s="9">
        <f t="shared" si="72"/>
        <v>53409</v>
      </c>
      <c r="K277" s="38">
        <f t="shared" si="73"/>
        <v>1135</v>
      </c>
      <c r="L277" s="38">
        <v>787</v>
      </c>
      <c r="M277" s="39">
        <f t="shared" si="66"/>
        <v>1352324</v>
      </c>
      <c r="N277" s="40">
        <f t="shared" si="67"/>
        <v>1098483</v>
      </c>
      <c r="O277" s="40">
        <f t="shared" si="68"/>
        <v>2510461</v>
      </c>
      <c r="P277" s="41">
        <f t="shared" si="69"/>
        <v>14714298.52</v>
      </c>
      <c r="Q277" s="41">
        <f t="shared" si="70"/>
        <v>7044190.1</v>
      </c>
      <c r="R277" s="41">
        <f t="shared" si="71"/>
        <v>22302408.16</v>
      </c>
      <c r="S277" s="54"/>
      <c r="T277" s="38"/>
      <c r="U277" s="38"/>
      <c r="V277" s="9"/>
    </row>
    <row r="278" s="1" customFormat="1" ht="15" customHeight="1" spans="1:22">
      <c r="A278" s="26">
        <v>41182</v>
      </c>
      <c r="B278" s="26" t="s">
        <v>34</v>
      </c>
      <c r="C278" s="27">
        <v>42214</v>
      </c>
      <c r="D278" s="28">
        <v>36523</v>
      </c>
      <c r="E278" s="28">
        <v>80548</v>
      </c>
      <c r="F278" s="29">
        <v>4196</v>
      </c>
      <c r="G278" s="30">
        <v>2774</v>
      </c>
      <c r="H278" s="31"/>
      <c r="I278" s="31"/>
      <c r="J278" s="43">
        <f t="shared" si="72"/>
        <v>44025</v>
      </c>
      <c r="K278" s="44">
        <f t="shared" si="73"/>
        <v>1024</v>
      </c>
      <c r="L278" s="44">
        <v>787</v>
      </c>
      <c r="M278" s="45">
        <v>1395042.17</v>
      </c>
      <c r="N278" s="47">
        <v>1134665.4</v>
      </c>
      <c r="O278" s="47">
        <v>2590631.57</v>
      </c>
      <c r="P278" s="45">
        <f t="shared" si="69"/>
        <v>14757016.69</v>
      </c>
      <c r="Q278" s="45">
        <f t="shared" si="70"/>
        <v>7080372.5</v>
      </c>
      <c r="R278" s="45">
        <f t="shared" si="71"/>
        <v>22382578.73</v>
      </c>
      <c r="S278" s="56">
        <v>128.233706</v>
      </c>
      <c r="T278" s="56">
        <f>P278/10000-S278</f>
        <v>1347.467963</v>
      </c>
      <c r="U278" s="44"/>
      <c r="V278" s="61">
        <v>3816</v>
      </c>
    </row>
    <row r="279" ht="15" customHeight="1" spans="1:22">
      <c r="A279" s="15">
        <v>41183</v>
      </c>
      <c r="B279" s="15" t="s">
        <v>35</v>
      </c>
      <c r="C279" s="16">
        <v>26675</v>
      </c>
      <c r="D279" s="17">
        <v>26314</v>
      </c>
      <c r="E279" s="17">
        <v>54188</v>
      </c>
      <c r="F279" s="18">
        <v>2753</v>
      </c>
      <c r="G279" s="19">
        <v>2008</v>
      </c>
      <c r="H279" s="20"/>
      <c r="I279" s="20"/>
      <c r="J279" s="33">
        <f t="shared" si="72"/>
        <v>27874</v>
      </c>
      <c r="K279" s="34">
        <f t="shared" si="73"/>
        <v>412</v>
      </c>
      <c r="L279" s="34">
        <v>787</v>
      </c>
      <c r="M279" s="35">
        <f>C279</f>
        <v>26675</v>
      </c>
      <c r="N279" s="36">
        <f>D279</f>
        <v>26314</v>
      </c>
      <c r="O279" s="36">
        <f>E279</f>
        <v>54188</v>
      </c>
      <c r="P279" s="35">
        <f>P$278+M279</f>
        <v>14783691.69</v>
      </c>
      <c r="Q279" s="35">
        <f>Q$278+N279</f>
        <v>7106686.5</v>
      </c>
      <c r="R279" s="35">
        <f>R$278+O279</f>
        <v>22436766.73</v>
      </c>
      <c r="S279" s="53"/>
      <c r="T279" s="33"/>
      <c r="U279" s="33"/>
      <c r="V279" s="63"/>
    </row>
    <row r="280" ht="15" customHeight="1" spans="1:22">
      <c r="A280" s="21">
        <v>41184</v>
      </c>
      <c r="B280" s="21" t="s">
        <v>36</v>
      </c>
      <c r="C280" s="22">
        <v>29834</v>
      </c>
      <c r="D280" s="8">
        <v>24541</v>
      </c>
      <c r="E280" s="8">
        <v>55390</v>
      </c>
      <c r="F280" s="23">
        <v>2637</v>
      </c>
      <c r="G280" s="24">
        <v>1805</v>
      </c>
      <c r="H280" s="25"/>
      <c r="I280" s="37"/>
      <c r="J280" s="9">
        <f t="shared" si="72"/>
        <v>30849</v>
      </c>
      <c r="K280" s="38">
        <f t="shared" si="73"/>
        <v>228</v>
      </c>
      <c r="L280" s="38">
        <v>787</v>
      </c>
      <c r="M280" s="39">
        <f t="shared" ref="M280:M309" si="74">C280+M279</f>
        <v>56509</v>
      </c>
      <c r="N280" s="40">
        <f t="shared" ref="N280:N309" si="75">D280+N279</f>
        <v>50855</v>
      </c>
      <c r="O280" s="40">
        <f t="shared" ref="O280:O309" si="76">E280+O279</f>
        <v>109578</v>
      </c>
      <c r="P280" s="41">
        <f t="shared" ref="P280:P308" si="77">P$278+M280</f>
        <v>14813525.69</v>
      </c>
      <c r="Q280" s="41">
        <f t="shared" ref="Q280:Q309" si="78">Q$278+N280</f>
        <v>7131227.5</v>
      </c>
      <c r="R280" s="41">
        <f t="shared" ref="R280:R309" si="79">R$278+O280</f>
        <v>22492156.73</v>
      </c>
      <c r="S280" s="54">
        <v>128.633706</v>
      </c>
      <c r="T280" s="54">
        <f>P280/10000-S280</f>
        <v>1352.718863</v>
      </c>
      <c r="U280" s="38"/>
      <c r="V280" s="59">
        <f>(T280-5-0.95-3.7-3.1)/3491.9*10000</f>
        <v>3837.36322059624</v>
      </c>
    </row>
    <row r="281" ht="15" customHeight="1" spans="1:22">
      <c r="A281" s="21">
        <v>41185</v>
      </c>
      <c r="B281" s="21" t="s">
        <v>37</v>
      </c>
      <c r="C281" s="22">
        <v>37963</v>
      </c>
      <c r="D281" s="8">
        <v>25698</v>
      </c>
      <c r="E281" s="8">
        <v>65024</v>
      </c>
      <c r="F281" s="23">
        <v>3288</v>
      </c>
      <c r="G281" s="24">
        <v>2065</v>
      </c>
      <c r="H281" s="25"/>
      <c r="I281" s="37"/>
      <c r="J281" s="9">
        <f t="shared" si="72"/>
        <v>39326</v>
      </c>
      <c r="K281" s="38">
        <f t="shared" si="73"/>
        <v>576</v>
      </c>
      <c r="L281" s="38">
        <v>787</v>
      </c>
      <c r="M281" s="39">
        <f t="shared" si="74"/>
        <v>94472</v>
      </c>
      <c r="N281" s="40">
        <f t="shared" si="75"/>
        <v>76553</v>
      </c>
      <c r="O281" s="40">
        <f t="shared" si="76"/>
        <v>174602</v>
      </c>
      <c r="P281" s="41">
        <f t="shared" si="77"/>
        <v>14851488.69</v>
      </c>
      <c r="Q281" s="41">
        <f t="shared" si="78"/>
        <v>7156925.5</v>
      </c>
      <c r="R281" s="41">
        <f t="shared" si="79"/>
        <v>22557180.73</v>
      </c>
      <c r="S281" s="54"/>
      <c r="T281" s="38"/>
      <c r="U281" s="38"/>
      <c r="V281" s="9"/>
    </row>
    <row r="282" ht="15" customHeight="1" spans="1:22">
      <c r="A282" s="21">
        <v>41186</v>
      </c>
      <c r="B282" s="21" t="s">
        <v>38</v>
      </c>
      <c r="C282" s="22">
        <v>42255</v>
      </c>
      <c r="D282" s="8">
        <v>28841</v>
      </c>
      <c r="E282" s="8">
        <v>72921</v>
      </c>
      <c r="F282" s="23">
        <v>3748</v>
      </c>
      <c r="G282" s="24">
        <v>2338</v>
      </c>
      <c r="H282" s="25"/>
      <c r="I282" s="37"/>
      <c r="J282" s="9">
        <f t="shared" si="72"/>
        <v>44080</v>
      </c>
      <c r="K282" s="38">
        <f t="shared" si="73"/>
        <v>1038</v>
      </c>
      <c r="L282" s="38">
        <v>787</v>
      </c>
      <c r="M282" s="39">
        <f t="shared" si="74"/>
        <v>136727</v>
      </c>
      <c r="N282" s="40">
        <f t="shared" si="75"/>
        <v>105394</v>
      </c>
      <c r="O282" s="40">
        <f t="shared" si="76"/>
        <v>247523</v>
      </c>
      <c r="P282" s="41">
        <f t="shared" si="77"/>
        <v>14893743.69</v>
      </c>
      <c r="Q282" s="41">
        <f t="shared" si="78"/>
        <v>7185766.5</v>
      </c>
      <c r="R282" s="41">
        <f t="shared" si="79"/>
        <v>22630101.73</v>
      </c>
      <c r="S282" s="54"/>
      <c r="T282" s="38"/>
      <c r="U282" s="38"/>
      <c r="V282" s="9"/>
    </row>
    <row r="283" ht="15" customHeight="1" spans="1:22">
      <c r="A283" s="21">
        <v>41187</v>
      </c>
      <c r="B283" s="21" t="s">
        <v>1</v>
      </c>
      <c r="C283" s="22">
        <v>46605</v>
      </c>
      <c r="D283" s="8">
        <v>28609</v>
      </c>
      <c r="E283" s="8">
        <v>76719</v>
      </c>
      <c r="F283" s="23">
        <v>3889</v>
      </c>
      <c r="G283" s="24">
        <v>2571</v>
      </c>
      <c r="H283" s="25"/>
      <c r="I283" s="37"/>
      <c r="J283" s="9">
        <f t="shared" si="72"/>
        <v>48110</v>
      </c>
      <c r="K283" s="38">
        <f t="shared" si="73"/>
        <v>718</v>
      </c>
      <c r="L283" s="38">
        <v>787</v>
      </c>
      <c r="M283" s="39">
        <f t="shared" si="74"/>
        <v>183332</v>
      </c>
      <c r="N283" s="40">
        <f t="shared" si="75"/>
        <v>134003</v>
      </c>
      <c r="O283" s="40">
        <f t="shared" si="76"/>
        <v>324242</v>
      </c>
      <c r="P283" s="41">
        <f t="shared" si="77"/>
        <v>14940348.69</v>
      </c>
      <c r="Q283" s="41">
        <f t="shared" si="78"/>
        <v>7214375.5</v>
      </c>
      <c r="R283" s="41">
        <f t="shared" si="79"/>
        <v>22706820.73</v>
      </c>
      <c r="S283" s="54"/>
      <c r="T283" s="38"/>
      <c r="U283" s="38"/>
      <c r="V283" s="9"/>
    </row>
    <row r="284" ht="15" customHeight="1" spans="1:22">
      <c r="A284" s="21">
        <v>41188</v>
      </c>
      <c r="B284" s="21" t="s">
        <v>39</v>
      </c>
      <c r="C284" s="22">
        <v>49145</v>
      </c>
      <c r="D284" s="8">
        <v>28508</v>
      </c>
      <c r="E284" s="8">
        <v>79480</v>
      </c>
      <c r="F284" s="23">
        <v>4096</v>
      </c>
      <c r="G284" s="24">
        <v>2652</v>
      </c>
      <c r="H284" s="25"/>
      <c r="I284" s="37"/>
      <c r="J284" s="9">
        <f t="shared" si="72"/>
        <v>50972</v>
      </c>
      <c r="K284" s="38">
        <f t="shared" si="73"/>
        <v>1040</v>
      </c>
      <c r="L284" s="38">
        <v>787</v>
      </c>
      <c r="M284" s="39">
        <f t="shared" si="74"/>
        <v>232477</v>
      </c>
      <c r="N284" s="40">
        <f t="shared" si="75"/>
        <v>162511</v>
      </c>
      <c r="O284" s="40">
        <f t="shared" si="76"/>
        <v>403722</v>
      </c>
      <c r="P284" s="41">
        <f t="shared" si="77"/>
        <v>14989493.69</v>
      </c>
      <c r="Q284" s="41">
        <f t="shared" si="78"/>
        <v>7242883.5</v>
      </c>
      <c r="R284" s="41">
        <f t="shared" si="79"/>
        <v>22786300.73</v>
      </c>
      <c r="S284" s="54"/>
      <c r="T284" s="38"/>
      <c r="U284" s="38"/>
      <c r="V284" s="9"/>
    </row>
    <row r="285" ht="15" customHeight="1" spans="1:22">
      <c r="A285" s="21">
        <v>41189</v>
      </c>
      <c r="B285" s="21" t="s">
        <v>34</v>
      </c>
      <c r="C285" s="22">
        <v>52793</v>
      </c>
      <c r="D285" s="8">
        <v>26479</v>
      </c>
      <c r="E285" s="8">
        <v>80619</v>
      </c>
      <c r="F285" s="23">
        <v>4178</v>
      </c>
      <c r="G285" s="24">
        <v>2747</v>
      </c>
      <c r="H285" s="25"/>
      <c r="I285" s="37"/>
      <c r="J285" s="9">
        <f t="shared" si="72"/>
        <v>54140</v>
      </c>
      <c r="K285" s="38">
        <f t="shared" si="73"/>
        <v>560</v>
      </c>
      <c r="L285" s="38">
        <v>787</v>
      </c>
      <c r="M285" s="39">
        <f t="shared" si="74"/>
        <v>285270</v>
      </c>
      <c r="N285" s="40">
        <f t="shared" si="75"/>
        <v>188990</v>
      </c>
      <c r="O285" s="40">
        <f t="shared" si="76"/>
        <v>484341</v>
      </c>
      <c r="P285" s="41">
        <f t="shared" si="77"/>
        <v>15042286.69</v>
      </c>
      <c r="Q285" s="41">
        <f t="shared" si="78"/>
        <v>7269362.5</v>
      </c>
      <c r="R285" s="41">
        <f t="shared" si="79"/>
        <v>22866919.73</v>
      </c>
      <c r="S285" s="54"/>
      <c r="T285" s="38"/>
      <c r="U285" s="38"/>
      <c r="V285" s="9"/>
    </row>
    <row r="286" ht="15" customHeight="1" spans="1:22">
      <c r="A286" s="15">
        <v>41190</v>
      </c>
      <c r="B286" s="15" t="s">
        <v>35</v>
      </c>
      <c r="C286" s="16">
        <v>53639</v>
      </c>
      <c r="D286" s="17">
        <v>27765</v>
      </c>
      <c r="E286" s="17">
        <v>82778</v>
      </c>
      <c r="F286" s="18">
        <v>4241</v>
      </c>
      <c r="G286" s="19">
        <v>2781</v>
      </c>
      <c r="H286" s="20"/>
      <c r="I286" s="20"/>
      <c r="J286" s="33">
        <f t="shared" si="72"/>
        <v>55013</v>
      </c>
      <c r="K286" s="34">
        <f t="shared" si="73"/>
        <v>587</v>
      </c>
      <c r="L286" s="34">
        <v>787</v>
      </c>
      <c r="M286" s="35">
        <f t="shared" si="74"/>
        <v>338909</v>
      </c>
      <c r="N286" s="36">
        <f t="shared" si="75"/>
        <v>216755</v>
      </c>
      <c r="O286" s="36">
        <f t="shared" si="76"/>
        <v>567119</v>
      </c>
      <c r="P286" s="35">
        <f t="shared" si="77"/>
        <v>15095925.69</v>
      </c>
      <c r="Q286" s="35">
        <f t="shared" si="78"/>
        <v>7297127.5</v>
      </c>
      <c r="R286" s="35">
        <f t="shared" si="79"/>
        <v>22949697.73</v>
      </c>
      <c r="S286" s="53"/>
      <c r="T286" s="33"/>
      <c r="U286" s="33"/>
      <c r="V286" s="33"/>
    </row>
    <row r="287" ht="15" customHeight="1" spans="1:22">
      <c r="A287" s="21">
        <v>41191</v>
      </c>
      <c r="B287" s="21" t="s">
        <v>36</v>
      </c>
      <c r="C287" s="22">
        <v>53339</v>
      </c>
      <c r="D287" s="8">
        <v>29201</v>
      </c>
      <c r="E287" s="8">
        <v>83733</v>
      </c>
      <c r="F287" s="23">
        <v>4269</v>
      </c>
      <c r="G287" s="24">
        <v>2817</v>
      </c>
      <c r="H287" s="25">
        <v>1334</v>
      </c>
      <c r="I287" s="37">
        <v>1106</v>
      </c>
      <c r="J287" s="9">
        <f t="shared" si="72"/>
        <v>54532</v>
      </c>
      <c r="K287" s="38">
        <f t="shared" si="73"/>
        <v>405</v>
      </c>
      <c r="L287" s="38">
        <v>788</v>
      </c>
      <c r="M287" s="39">
        <f t="shared" si="74"/>
        <v>392248</v>
      </c>
      <c r="N287" s="40">
        <f t="shared" si="75"/>
        <v>245956</v>
      </c>
      <c r="O287" s="40">
        <f t="shared" si="76"/>
        <v>650852</v>
      </c>
      <c r="P287" s="41">
        <f t="shared" si="77"/>
        <v>15149264.69</v>
      </c>
      <c r="Q287" s="41">
        <f t="shared" si="78"/>
        <v>7326328.5</v>
      </c>
      <c r="R287" s="41">
        <f t="shared" si="79"/>
        <v>23033430.73</v>
      </c>
      <c r="S287" s="54">
        <v>132.483706</v>
      </c>
      <c r="T287" s="54">
        <f>P287/10000-S287</f>
        <v>1382.442763</v>
      </c>
      <c r="U287" s="38"/>
      <c r="V287" s="59">
        <f>(T287-5-0.95-3.7-3.1)/3498.6*10000</f>
        <v>3914.97388383925</v>
      </c>
    </row>
    <row r="288" ht="15" customHeight="1" spans="1:22">
      <c r="A288" s="21">
        <v>41192</v>
      </c>
      <c r="B288" s="21" t="s">
        <v>37</v>
      </c>
      <c r="C288" s="22">
        <v>52696</v>
      </c>
      <c r="D288" s="8">
        <v>30614</v>
      </c>
      <c r="E288" s="8">
        <v>84407</v>
      </c>
      <c r="F288" s="23">
        <v>4294</v>
      </c>
      <c r="G288" s="24">
        <v>2840</v>
      </c>
      <c r="H288" s="25">
        <v>1453</v>
      </c>
      <c r="I288" s="37">
        <v>1171</v>
      </c>
      <c r="J288" s="9">
        <f t="shared" si="72"/>
        <v>53793</v>
      </c>
      <c r="K288" s="38">
        <f t="shared" si="73"/>
        <v>309</v>
      </c>
      <c r="L288" s="38">
        <v>788</v>
      </c>
      <c r="M288" s="39">
        <f t="shared" si="74"/>
        <v>444944</v>
      </c>
      <c r="N288" s="40">
        <f t="shared" si="75"/>
        <v>276570</v>
      </c>
      <c r="O288" s="40">
        <f t="shared" si="76"/>
        <v>735259</v>
      </c>
      <c r="P288" s="41">
        <f t="shared" si="77"/>
        <v>15201960.69</v>
      </c>
      <c r="Q288" s="41">
        <f t="shared" si="78"/>
        <v>7356942.5</v>
      </c>
      <c r="R288" s="41">
        <f t="shared" si="79"/>
        <v>23117837.73</v>
      </c>
      <c r="S288" s="54">
        <v>132.1042</v>
      </c>
      <c r="T288" s="54">
        <f>P288/10000-S288</f>
        <v>1388.091869</v>
      </c>
      <c r="U288" s="38"/>
      <c r="V288" s="60">
        <f>(T288-5-0.95-3.7-3.1)/3498.3*10000</f>
        <v>3931.45776234171</v>
      </c>
    </row>
    <row r="289" ht="15" customHeight="1" spans="1:22">
      <c r="A289" s="21">
        <v>41193</v>
      </c>
      <c r="B289" s="21" t="s">
        <v>38</v>
      </c>
      <c r="C289" s="22">
        <v>54532</v>
      </c>
      <c r="D289" s="8">
        <v>28632</v>
      </c>
      <c r="E289" s="8">
        <v>84311</v>
      </c>
      <c r="F289" s="23">
        <v>4307</v>
      </c>
      <c r="G289" s="24">
        <v>2857</v>
      </c>
      <c r="H289" s="25"/>
      <c r="I289" s="37"/>
      <c r="J289" s="9">
        <f t="shared" si="72"/>
        <v>55679</v>
      </c>
      <c r="K289" s="38">
        <f t="shared" si="73"/>
        <v>359</v>
      </c>
      <c r="L289" s="38">
        <v>788</v>
      </c>
      <c r="M289" s="39">
        <f t="shared" si="74"/>
        <v>499476</v>
      </c>
      <c r="N289" s="40">
        <f t="shared" si="75"/>
        <v>305202</v>
      </c>
      <c r="O289" s="40">
        <f t="shared" si="76"/>
        <v>819570</v>
      </c>
      <c r="P289" s="41">
        <f t="shared" si="77"/>
        <v>15256492.69</v>
      </c>
      <c r="Q289" s="41">
        <f t="shared" si="78"/>
        <v>7385574.5</v>
      </c>
      <c r="R289" s="41">
        <f t="shared" si="79"/>
        <v>23202148.73</v>
      </c>
      <c r="S289" s="54"/>
      <c r="T289" s="38"/>
      <c r="U289" s="38"/>
      <c r="V289" s="9"/>
    </row>
    <row r="290" ht="15" customHeight="1" spans="1:22">
      <c r="A290" s="21">
        <v>41194</v>
      </c>
      <c r="B290" s="21" t="s">
        <v>1</v>
      </c>
      <c r="C290" s="22">
        <v>49584</v>
      </c>
      <c r="D290" s="8">
        <v>29218</v>
      </c>
      <c r="E290" s="8">
        <v>79940</v>
      </c>
      <c r="F290" s="23">
        <v>3998</v>
      </c>
      <c r="G290" s="24">
        <v>2827</v>
      </c>
      <c r="H290" s="25"/>
      <c r="I290" s="37"/>
      <c r="J290" s="9">
        <f t="shared" si="72"/>
        <v>50722</v>
      </c>
      <c r="K290" s="38">
        <f t="shared" si="73"/>
        <v>343</v>
      </c>
      <c r="L290" s="38">
        <v>795</v>
      </c>
      <c r="M290" s="39">
        <f t="shared" si="74"/>
        <v>549060</v>
      </c>
      <c r="N290" s="40">
        <f t="shared" si="75"/>
        <v>334420</v>
      </c>
      <c r="O290" s="40">
        <f t="shared" si="76"/>
        <v>899510</v>
      </c>
      <c r="P290" s="41">
        <f t="shared" si="77"/>
        <v>15306076.69</v>
      </c>
      <c r="Q290" s="41">
        <f t="shared" si="78"/>
        <v>7414792.5</v>
      </c>
      <c r="R290" s="41">
        <f t="shared" si="79"/>
        <v>23282088.73</v>
      </c>
      <c r="S290" s="54"/>
      <c r="T290" s="38"/>
      <c r="U290" s="38"/>
      <c r="V290" s="9"/>
    </row>
    <row r="291" ht="15" customHeight="1" spans="1:22">
      <c r="A291" s="21">
        <v>41195</v>
      </c>
      <c r="B291" s="21" t="s">
        <v>39</v>
      </c>
      <c r="C291" s="22">
        <v>53221</v>
      </c>
      <c r="D291" s="8">
        <v>28384</v>
      </c>
      <c r="E291" s="8">
        <v>82786</v>
      </c>
      <c r="F291" s="23">
        <v>4275</v>
      </c>
      <c r="G291" s="24">
        <v>2714</v>
      </c>
      <c r="H291" s="25"/>
      <c r="I291" s="37"/>
      <c r="J291" s="9">
        <f t="shared" si="72"/>
        <v>54402</v>
      </c>
      <c r="K291" s="38">
        <f t="shared" si="73"/>
        <v>386</v>
      </c>
      <c r="L291" s="38">
        <v>795</v>
      </c>
      <c r="M291" s="39">
        <f t="shared" si="74"/>
        <v>602281</v>
      </c>
      <c r="N291" s="40">
        <f t="shared" si="75"/>
        <v>362804</v>
      </c>
      <c r="O291" s="40">
        <f t="shared" si="76"/>
        <v>982296</v>
      </c>
      <c r="P291" s="41">
        <f t="shared" si="77"/>
        <v>15359297.69</v>
      </c>
      <c r="Q291" s="41">
        <f t="shared" si="78"/>
        <v>7443176.5</v>
      </c>
      <c r="R291" s="41">
        <f t="shared" si="79"/>
        <v>23364874.73</v>
      </c>
      <c r="S291" s="54"/>
      <c r="T291" s="38"/>
      <c r="U291" s="38"/>
      <c r="V291" s="9"/>
    </row>
    <row r="292" ht="15" customHeight="1" spans="1:22">
      <c r="A292" s="21">
        <v>41196</v>
      </c>
      <c r="B292" s="21" t="s">
        <v>34</v>
      </c>
      <c r="C292" s="22">
        <v>59283</v>
      </c>
      <c r="D292" s="8">
        <v>23389</v>
      </c>
      <c r="E292" s="8">
        <v>83996</v>
      </c>
      <c r="F292" s="23">
        <v>4268</v>
      </c>
      <c r="G292" s="24">
        <v>2843</v>
      </c>
      <c r="H292" s="25"/>
      <c r="I292" s="37"/>
      <c r="J292" s="9">
        <f t="shared" si="72"/>
        <v>60607</v>
      </c>
      <c r="K292" s="38">
        <f t="shared" si="73"/>
        <v>529</v>
      </c>
      <c r="L292" s="38">
        <v>795</v>
      </c>
      <c r="M292" s="39">
        <f t="shared" si="74"/>
        <v>661564</v>
      </c>
      <c r="N292" s="40">
        <f t="shared" si="75"/>
        <v>386193</v>
      </c>
      <c r="O292" s="40">
        <f t="shared" si="76"/>
        <v>1066292</v>
      </c>
      <c r="P292" s="41">
        <f t="shared" si="77"/>
        <v>15418580.69</v>
      </c>
      <c r="Q292" s="41">
        <f t="shared" si="78"/>
        <v>7466565.5</v>
      </c>
      <c r="R292" s="41">
        <f t="shared" si="79"/>
        <v>23448870.73</v>
      </c>
      <c r="S292" s="54"/>
      <c r="T292" s="38"/>
      <c r="U292" s="38"/>
      <c r="V292" s="9"/>
    </row>
    <row r="293" ht="15" customHeight="1" spans="1:22">
      <c r="A293" s="15">
        <v>41197</v>
      </c>
      <c r="B293" s="15" t="s">
        <v>35</v>
      </c>
      <c r="C293" s="16">
        <v>60464</v>
      </c>
      <c r="D293" s="17">
        <v>23271</v>
      </c>
      <c r="E293" s="17">
        <v>84744</v>
      </c>
      <c r="F293" s="18">
        <v>4305</v>
      </c>
      <c r="G293" s="19">
        <v>2861</v>
      </c>
      <c r="H293" s="20"/>
      <c r="I293" s="20"/>
      <c r="J293" s="33">
        <f t="shared" si="72"/>
        <v>61473</v>
      </c>
      <c r="K293" s="34">
        <f t="shared" si="73"/>
        <v>215</v>
      </c>
      <c r="L293" s="34">
        <v>794</v>
      </c>
      <c r="M293" s="35">
        <f t="shared" si="74"/>
        <v>722028</v>
      </c>
      <c r="N293" s="36">
        <f t="shared" si="75"/>
        <v>409464</v>
      </c>
      <c r="O293" s="36">
        <f t="shared" si="76"/>
        <v>1151036</v>
      </c>
      <c r="P293" s="35">
        <f t="shared" si="77"/>
        <v>15479044.69</v>
      </c>
      <c r="Q293" s="35">
        <f t="shared" si="78"/>
        <v>7489836.5</v>
      </c>
      <c r="R293" s="35">
        <f t="shared" si="79"/>
        <v>23533614.73</v>
      </c>
      <c r="S293" s="53"/>
      <c r="T293" s="33"/>
      <c r="U293" s="33"/>
      <c r="V293" s="33"/>
    </row>
    <row r="294" ht="15" customHeight="1" spans="1:22">
      <c r="A294" s="21">
        <v>41198</v>
      </c>
      <c r="B294" s="21" t="s">
        <v>36</v>
      </c>
      <c r="C294" s="22">
        <v>60662</v>
      </c>
      <c r="D294" s="8">
        <v>23225</v>
      </c>
      <c r="E294" s="8">
        <v>84799</v>
      </c>
      <c r="F294" s="23">
        <v>4309</v>
      </c>
      <c r="G294" s="24">
        <v>2860</v>
      </c>
      <c r="H294" s="25"/>
      <c r="I294" s="37"/>
      <c r="J294" s="9">
        <f t="shared" si="72"/>
        <v>61574</v>
      </c>
      <c r="K294" s="38">
        <f t="shared" si="73"/>
        <v>116</v>
      </c>
      <c r="L294" s="38">
        <v>796</v>
      </c>
      <c r="M294" s="39">
        <f t="shared" si="74"/>
        <v>782690</v>
      </c>
      <c r="N294" s="40">
        <f t="shared" si="75"/>
        <v>432689</v>
      </c>
      <c r="O294" s="40">
        <f t="shared" si="76"/>
        <v>1235835</v>
      </c>
      <c r="P294" s="41">
        <f t="shared" si="77"/>
        <v>15539706.69</v>
      </c>
      <c r="Q294" s="41">
        <f t="shared" si="78"/>
        <v>7513061.5</v>
      </c>
      <c r="R294" s="41">
        <f t="shared" si="79"/>
        <v>23618413.73</v>
      </c>
      <c r="S294" s="54">
        <v>134.5042</v>
      </c>
      <c r="T294" s="54">
        <f>P294/10000-S294</f>
        <v>1419.466469</v>
      </c>
      <c r="U294" s="38"/>
      <c r="V294" s="59">
        <f>(T294-5-0.95-3.7-3.1)/3503.6*10000</f>
        <v>4015.06013528942</v>
      </c>
    </row>
    <row r="295" ht="15" customHeight="1" spans="1:22">
      <c r="A295" s="21">
        <v>41199</v>
      </c>
      <c r="B295" s="21" t="s">
        <v>37</v>
      </c>
      <c r="C295" s="22">
        <v>60670</v>
      </c>
      <c r="D295" s="8">
        <v>23300</v>
      </c>
      <c r="E295" s="8">
        <v>85000</v>
      </c>
      <c r="F295" s="23">
        <v>4300</v>
      </c>
      <c r="G295" s="24">
        <v>2850</v>
      </c>
      <c r="H295" s="25"/>
      <c r="I295" s="37"/>
      <c r="J295" s="9">
        <f t="shared" si="72"/>
        <v>61700</v>
      </c>
      <c r="K295" s="38">
        <f t="shared" si="73"/>
        <v>235</v>
      </c>
      <c r="L295" s="38">
        <v>795</v>
      </c>
      <c r="M295" s="39">
        <f t="shared" si="74"/>
        <v>843360</v>
      </c>
      <c r="N295" s="40">
        <f t="shared" si="75"/>
        <v>455989</v>
      </c>
      <c r="O295" s="40">
        <f t="shared" si="76"/>
        <v>1320835</v>
      </c>
      <c r="P295" s="41">
        <f t="shared" si="77"/>
        <v>15600376.69</v>
      </c>
      <c r="Q295" s="41">
        <f t="shared" si="78"/>
        <v>7536361.5</v>
      </c>
      <c r="R295" s="41">
        <f t="shared" si="79"/>
        <v>23703413.73</v>
      </c>
      <c r="S295" s="54"/>
      <c r="T295" s="38"/>
      <c r="U295" s="38"/>
      <c r="V295" s="9"/>
    </row>
    <row r="296" ht="15" customHeight="1" spans="1:22">
      <c r="A296" s="21">
        <v>41200</v>
      </c>
      <c r="B296" s="21" t="s">
        <v>38</v>
      </c>
      <c r="C296" s="22">
        <v>59580</v>
      </c>
      <c r="D296" s="8">
        <v>23000</v>
      </c>
      <c r="E296" s="8">
        <v>84500</v>
      </c>
      <c r="F296" s="23">
        <v>4450</v>
      </c>
      <c r="G296" s="24">
        <v>2850</v>
      </c>
      <c r="H296" s="25"/>
      <c r="I296" s="37"/>
      <c r="J296" s="9">
        <f t="shared" si="72"/>
        <v>61500</v>
      </c>
      <c r="K296" s="38">
        <f t="shared" si="73"/>
        <v>1125</v>
      </c>
      <c r="L296" s="38">
        <v>795</v>
      </c>
      <c r="M296" s="39">
        <f t="shared" si="74"/>
        <v>902940</v>
      </c>
      <c r="N296" s="40">
        <f t="shared" si="75"/>
        <v>478989</v>
      </c>
      <c r="O296" s="40">
        <f t="shared" si="76"/>
        <v>1405335</v>
      </c>
      <c r="P296" s="41">
        <f t="shared" si="77"/>
        <v>15659956.69</v>
      </c>
      <c r="Q296" s="41">
        <f t="shared" si="78"/>
        <v>7559361.5</v>
      </c>
      <c r="R296" s="41">
        <f t="shared" si="79"/>
        <v>23787913.73</v>
      </c>
      <c r="S296" s="54"/>
      <c r="T296" s="38"/>
      <c r="U296" s="38"/>
      <c r="V296" s="9"/>
    </row>
    <row r="297" ht="15" customHeight="1" spans="1:22">
      <c r="A297" s="21">
        <v>41201</v>
      </c>
      <c r="B297" s="21" t="s">
        <v>1</v>
      </c>
      <c r="C297" s="22">
        <v>58716</v>
      </c>
      <c r="D297" s="8">
        <v>22986</v>
      </c>
      <c r="E297" s="8">
        <v>82694</v>
      </c>
      <c r="F297" s="23">
        <v>4150</v>
      </c>
      <c r="G297" s="24">
        <v>2850</v>
      </c>
      <c r="H297" s="25"/>
      <c r="I297" s="37"/>
      <c r="J297" s="9">
        <f t="shared" si="72"/>
        <v>59708</v>
      </c>
      <c r="K297" s="38">
        <f t="shared" si="73"/>
        <v>197</v>
      </c>
      <c r="L297" s="38">
        <v>795</v>
      </c>
      <c r="M297" s="39">
        <f t="shared" si="74"/>
        <v>961656</v>
      </c>
      <c r="N297" s="40">
        <f t="shared" si="75"/>
        <v>501975</v>
      </c>
      <c r="O297" s="40">
        <f t="shared" si="76"/>
        <v>1488029</v>
      </c>
      <c r="P297" s="41">
        <f t="shared" si="77"/>
        <v>15718672.69</v>
      </c>
      <c r="Q297" s="41">
        <f t="shared" si="78"/>
        <v>7582347.5</v>
      </c>
      <c r="R297" s="41">
        <f t="shared" si="79"/>
        <v>23870607.73</v>
      </c>
      <c r="S297" s="54"/>
      <c r="T297" s="38"/>
      <c r="U297" s="38"/>
      <c r="V297" s="9"/>
    </row>
    <row r="298" ht="15" customHeight="1" spans="1:22">
      <c r="A298" s="21">
        <v>41202</v>
      </c>
      <c r="B298" s="21" t="s">
        <v>39</v>
      </c>
      <c r="C298" s="22">
        <v>61223</v>
      </c>
      <c r="D298" s="8">
        <v>23741</v>
      </c>
      <c r="E298" s="8">
        <v>86313</v>
      </c>
      <c r="F298" s="23">
        <v>4431</v>
      </c>
      <c r="G298" s="24">
        <v>2769</v>
      </c>
      <c r="H298" s="25"/>
      <c r="I298" s="37"/>
      <c r="J298" s="9">
        <f t="shared" si="72"/>
        <v>62572</v>
      </c>
      <c r="K298" s="38">
        <f t="shared" si="73"/>
        <v>553</v>
      </c>
      <c r="L298" s="38">
        <v>796</v>
      </c>
      <c r="M298" s="39">
        <f t="shared" si="74"/>
        <v>1022879</v>
      </c>
      <c r="N298" s="40">
        <f t="shared" si="75"/>
        <v>525716</v>
      </c>
      <c r="O298" s="40">
        <f t="shared" si="76"/>
        <v>1574342</v>
      </c>
      <c r="P298" s="41">
        <f t="shared" si="77"/>
        <v>15779895.69</v>
      </c>
      <c r="Q298" s="41">
        <f t="shared" si="78"/>
        <v>7606088.5</v>
      </c>
      <c r="R298" s="41">
        <f t="shared" si="79"/>
        <v>23956920.73</v>
      </c>
      <c r="S298" s="54">
        <v>137.4065</v>
      </c>
      <c r="T298" s="54">
        <f>P298/10000-S298</f>
        <v>1440.583069</v>
      </c>
      <c r="U298" s="38"/>
      <c r="V298" s="60">
        <f>(T298-5-0.95-3.7-3.1)/3519.4*10000</f>
        <v>4057.03548616241</v>
      </c>
    </row>
    <row r="299" ht="15" customHeight="1" spans="1:22">
      <c r="A299" s="21">
        <v>41203</v>
      </c>
      <c r="B299" s="21" t="s">
        <v>34</v>
      </c>
      <c r="C299" s="22">
        <v>62926</v>
      </c>
      <c r="D299" s="8">
        <v>24035</v>
      </c>
      <c r="E299" s="8">
        <v>87959</v>
      </c>
      <c r="F299" s="23">
        <v>4516</v>
      </c>
      <c r="G299" s="24">
        <v>2934</v>
      </c>
      <c r="H299" s="25"/>
      <c r="I299" s="37"/>
      <c r="J299" s="9">
        <f t="shared" si="72"/>
        <v>63924</v>
      </c>
      <c r="K299" s="38">
        <f t="shared" si="73"/>
        <v>203</v>
      </c>
      <c r="L299" s="38">
        <v>795</v>
      </c>
      <c r="M299" s="39">
        <f t="shared" si="74"/>
        <v>1085805</v>
      </c>
      <c r="N299" s="40">
        <f t="shared" si="75"/>
        <v>549751</v>
      </c>
      <c r="O299" s="40">
        <f t="shared" si="76"/>
        <v>1662301</v>
      </c>
      <c r="P299" s="41">
        <f t="shared" si="77"/>
        <v>15842821.69</v>
      </c>
      <c r="Q299" s="41">
        <f t="shared" si="78"/>
        <v>7630123.5</v>
      </c>
      <c r="R299" s="41">
        <f t="shared" si="79"/>
        <v>24044879.73</v>
      </c>
      <c r="S299" s="54"/>
      <c r="T299" s="38"/>
      <c r="U299" s="38"/>
      <c r="V299" s="9"/>
    </row>
    <row r="300" ht="15" customHeight="1" spans="1:22">
      <c r="A300" s="15">
        <v>41204</v>
      </c>
      <c r="B300" s="15" t="s">
        <v>35</v>
      </c>
      <c r="C300" s="16">
        <v>61186</v>
      </c>
      <c r="D300" s="17">
        <v>23751</v>
      </c>
      <c r="E300" s="17">
        <v>85924</v>
      </c>
      <c r="F300" s="18">
        <v>4358</v>
      </c>
      <c r="G300" s="19">
        <v>2887</v>
      </c>
      <c r="H300" s="20"/>
      <c r="I300" s="20"/>
      <c r="J300" s="33">
        <f t="shared" si="72"/>
        <v>62173</v>
      </c>
      <c r="K300" s="34">
        <f t="shared" si="73"/>
        <v>192</v>
      </c>
      <c r="L300" s="34">
        <v>795</v>
      </c>
      <c r="M300" s="35">
        <f t="shared" si="74"/>
        <v>1146991</v>
      </c>
      <c r="N300" s="36">
        <f t="shared" si="75"/>
        <v>573502</v>
      </c>
      <c r="O300" s="36">
        <f t="shared" si="76"/>
        <v>1748225</v>
      </c>
      <c r="P300" s="35">
        <f t="shared" si="77"/>
        <v>15904007.69</v>
      </c>
      <c r="Q300" s="35">
        <f t="shared" si="78"/>
        <v>7653874.5</v>
      </c>
      <c r="R300" s="35">
        <f t="shared" si="79"/>
        <v>24130803.73</v>
      </c>
      <c r="S300" s="53"/>
      <c r="T300" s="33"/>
      <c r="U300" s="33"/>
      <c r="V300" s="33"/>
    </row>
    <row r="301" ht="15" customHeight="1" spans="1:22">
      <c r="A301" s="21">
        <v>41205</v>
      </c>
      <c r="B301" s="21" t="s">
        <v>36</v>
      </c>
      <c r="C301" s="22">
        <v>62124</v>
      </c>
      <c r="D301" s="8">
        <v>23126</v>
      </c>
      <c r="E301" s="8">
        <v>86281</v>
      </c>
      <c r="F301" s="23">
        <v>4393</v>
      </c>
      <c r="G301" s="24">
        <v>2890</v>
      </c>
      <c r="H301" s="25"/>
      <c r="I301" s="37"/>
      <c r="J301" s="9">
        <f t="shared" si="72"/>
        <v>63155</v>
      </c>
      <c r="K301" s="38">
        <f t="shared" si="73"/>
        <v>236</v>
      </c>
      <c r="L301" s="38">
        <v>795</v>
      </c>
      <c r="M301" s="39">
        <f t="shared" si="74"/>
        <v>1209115</v>
      </c>
      <c r="N301" s="40">
        <f t="shared" si="75"/>
        <v>596628</v>
      </c>
      <c r="O301" s="40">
        <f t="shared" si="76"/>
        <v>1834506</v>
      </c>
      <c r="P301" s="41">
        <f t="shared" si="77"/>
        <v>15966131.69</v>
      </c>
      <c r="Q301" s="41">
        <f t="shared" si="78"/>
        <v>7677000.5</v>
      </c>
      <c r="R301" s="41">
        <f t="shared" si="79"/>
        <v>24217084.73</v>
      </c>
      <c r="S301" s="54">
        <v>139.0565</v>
      </c>
      <c r="T301" s="54">
        <f>P301/10000-S301</f>
        <v>1457.556669</v>
      </c>
      <c r="U301" s="38"/>
      <c r="V301" s="59">
        <f>(T301-5-0.95-3.7-3.1)/3521.7*10000</f>
        <v>4102.58303944118</v>
      </c>
    </row>
    <row r="302" ht="15" customHeight="1" spans="1:22">
      <c r="A302" s="21">
        <v>41206</v>
      </c>
      <c r="B302" s="21" t="s">
        <v>37</v>
      </c>
      <c r="C302" s="22">
        <v>62614</v>
      </c>
      <c r="D302" s="8">
        <v>23039</v>
      </c>
      <c r="E302" s="8">
        <v>86610</v>
      </c>
      <c r="F302" s="23">
        <v>4396.2</v>
      </c>
      <c r="G302" s="24">
        <v>2903.3</v>
      </c>
      <c r="H302" s="25">
        <v>1105.4</v>
      </c>
      <c r="I302" s="37">
        <v>843.9</v>
      </c>
      <c r="J302" s="9">
        <f t="shared" si="72"/>
        <v>63571</v>
      </c>
      <c r="K302" s="38">
        <f t="shared" si="73"/>
        <v>162</v>
      </c>
      <c r="L302" s="38">
        <v>795</v>
      </c>
      <c r="M302" s="39">
        <f t="shared" si="74"/>
        <v>1271729</v>
      </c>
      <c r="N302" s="40">
        <f t="shared" si="75"/>
        <v>619667</v>
      </c>
      <c r="O302" s="40">
        <f t="shared" si="76"/>
        <v>1921116</v>
      </c>
      <c r="P302" s="41">
        <f t="shared" si="77"/>
        <v>16028745.69</v>
      </c>
      <c r="Q302" s="41">
        <f t="shared" si="78"/>
        <v>7700039.5</v>
      </c>
      <c r="R302" s="41">
        <f t="shared" si="79"/>
        <v>24303694.73</v>
      </c>
      <c r="S302" s="54"/>
      <c r="T302" s="38"/>
      <c r="U302" s="38"/>
      <c r="V302" s="9"/>
    </row>
    <row r="303" ht="15" customHeight="1" spans="1:22">
      <c r="A303" s="21">
        <v>41207</v>
      </c>
      <c r="B303" s="21" t="s">
        <v>38</v>
      </c>
      <c r="C303" s="22">
        <v>63358</v>
      </c>
      <c r="D303" s="8">
        <v>21427</v>
      </c>
      <c r="E303" s="8">
        <v>85733</v>
      </c>
      <c r="F303" s="23">
        <v>4346.1</v>
      </c>
      <c r="G303" s="24">
        <v>2889.7</v>
      </c>
      <c r="H303" s="25">
        <v>1015.5</v>
      </c>
      <c r="I303" s="37">
        <v>759.1</v>
      </c>
      <c r="J303" s="9">
        <f t="shared" si="72"/>
        <v>64306</v>
      </c>
      <c r="K303" s="38">
        <f t="shared" si="73"/>
        <v>153</v>
      </c>
      <c r="L303" s="38">
        <v>795</v>
      </c>
      <c r="M303" s="39">
        <f t="shared" si="74"/>
        <v>1335087</v>
      </c>
      <c r="N303" s="40">
        <f t="shared" si="75"/>
        <v>641094</v>
      </c>
      <c r="O303" s="40">
        <f t="shared" si="76"/>
        <v>2006849</v>
      </c>
      <c r="P303" s="41">
        <f t="shared" si="77"/>
        <v>16092103.69</v>
      </c>
      <c r="Q303" s="41">
        <f t="shared" si="78"/>
        <v>7721466.5</v>
      </c>
      <c r="R303" s="41">
        <f t="shared" si="79"/>
        <v>24389427.73</v>
      </c>
      <c r="S303" s="54"/>
      <c r="T303" s="38"/>
      <c r="U303" s="38"/>
      <c r="V303" s="9"/>
    </row>
    <row r="304" ht="15" customHeight="1" spans="1:22">
      <c r="A304" s="21">
        <v>41208</v>
      </c>
      <c r="B304" s="21" t="s">
        <v>1</v>
      </c>
      <c r="C304" s="22">
        <v>58906</v>
      </c>
      <c r="D304" s="8">
        <v>21619</v>
      </c>
      <c r="E304" s="8">
        <v>81590</v>
      </c>
      <c r="F304" s="23">
        <v>4046.7</v>
      </c>
      <c r="G304" s="24">
        <v>2861</v>
      </c>
      <c r="H304" s="25">
        <v>1029.6</v>
      </c>
      <c r="I304" s="37">
        <v>780.1</v>
      </c>
      <c r="J304" s="9">
        <f t="shared" si="72"/>
        <v>59971</v>
      </c>
      <c r="K304" s="38">
        <f t="shared" si="73"/>
        <v>270</v>
      </c>
      <c r="L304" s="38">
        <v>795</v>
      </c>
      <c r="M304" s="39">
        <f t="shared" si="74"/>
        <v>1393993</v>
      </c>
      <c r="N304" s="40">
        <f t="shared" si="75"/>
        <v>662713</v>
      </c>
      <c r="O304" s="40">
        <f t="shared" si="76"/>
        <v>2088439</v>
      </c>
      <c r="P304" s="41">
        <f t="shared" si="77"/>
        <v>16151009.69</v>
      </c>
      <c r="Q304" s="41">
        <f t="shared" si="78"/>
        <v>7743085.5</v>
      </c>
      <c r="R304" s="41">
        <f t="shared" si="79"/>
        <v>24471017.73</v>
      </c>
      <c r="S304" s="54"/>
      <c r="T304" s="38"/>
      <c r="U304" s="38"/>
      <c r="V304" s="9"/>
    </row>
    <row r="305" ht="15" customHeight="1" spans="1:22">
      <c r="A305" s="21">
        <v>41209</v>
      </c>
      <c r="B305" s="21" t="s">
        <v>39</v>
      </c>
      <c r="C305" s="22">
        <v>59780</v>
      </c>
      <c r="D305" s="8">
        <v>24218</v>
      </c>
      <c r="E305" s="8">
        <v>84972</v>
      </c>
      <c r="F305" s="23">
        <v>4395.5</v>
      </c>
      <c r="G305" s="24">
        <v>2770</v>
      </c>
      <c r="H305" s="25"/>
      <c r="I305" s="37"/>
      <c r="J305" s="9">
        <f t="shared" si="72"/>
        <v>60754</v>
      </c>
      <c r="K305" s="38">
        <f t="shared" si="73"/>
        <v>179</v>
      </c>
      <c r="L305" s="38">
        <v>795</v>
      </c>
      <c r="M305" s="39">
        <f t="shared" si="74"/>
        <v>1453773</v>
      </c>
      <c r="N305" s="40">
        <f t="shared" si="75"/>
        <v>686931</v>
      </c>
      <c r="O305" s="40">
        <f t="shared" si="76"/>
        <v>2173411</v>
      </c>
      <c r="P305" s="41">
        <f t="shared" si="77"/>
        <v>16210789.69</v>
      </c>
      <c r="Q305" s="41">
        <f t="shared" si="78"/>
        <v>7767303.5</v>
      </c>
      <c r="R305" s="41">
        <f t="shared" si="79"/>
        <v>24555989.73</v>
      </c>
      <c r="S305" s="54"/>
      <c r="T305" s="38"/>
      <c r="U305" s="38"/>
      <c r="V305" s="9"/>
    </row>
    <row r="306" ht="15" customHeight="1" spans="1:22">
      <c r="A306" s="21">
        <v>41210</v>
      </c>
      <c r="B306" s="21" t="s">
        <v>34</v>
      </c>
      <c r="C306" s="22">
        <v>60321</v>
      </c>
      <c r="D306" s="8">
        <v>24169</v>
      </c>
      <c r="E306" s="8">
        <v>85621</v>
      </c>
      <c r="F306" s="23">
        <v>4357</v>
      </c>
      <c r="G306" s="24">
        <v>2866</v>
      </c>
      <c r="H306" s="25"/>
      <c r="I306" s="37"/>
      <c r="J306" s="9">
        <f t="shared" si="72"/>
        <v>61452</v>
      </c>
      <c r="K306" s="38">
        <f t="shared" si="73"/>
        <v>336</v>
      </c>
      <c r="L306" s="38">
        <v>795</v>
      </c>
      <c r="M306" s="39">
        <f t="shared" si="74"/>
        <v>1514094</v>
      </c>
      <c r="N306" s="40">
        <f t="shared" si="75"/>
        <v>711100</v>
      </c>
      <c r="O306" s="40">
        <f t="shared" si="76"/>
        <v>2259032</v>
      </c>
      <c r="P306" s="41">
        <f t="shared" si="77"/>
        <v>16271110.69</v>
      </c>
      <c r="Q306" s="41">
        <f t="shared" si="78"/>
        <v>7791472.5</v>
      </c>
      <c r="R306" s="41">
        <f t="shared" si="79"/>
        <v>24641610.73</v>
      </c>
      <c r="S306" s="54"/>
      <c r="T306" s="38"/>
      <c r="U306" s="38"/>
      <c r="V306" s="9"/>
    </row>
    <row r="307" ht="15" customHeight="1" spans="1:22">
      <c r="A307" s="15">
        <v>41211</v>
      </c>
      <c r="B307" s="15" t="s">
        <v>35</v>
      </c>
      <c r="C307" s="16">
        <v>62389</v>
      </c>
      <c r="D307" s="17">
        <v>22181</v>
      </c>
      <c r="E307" s="17">
        <v>85712</v>
      </c>
      <c r="F307" s="18">
        <v>4374</v>
      </c>
      <c r="G307" s="19">
        <v>2863</v>
      </c>
      <c r="H307" s="20"/>
      <c r="I307" s="20"/>
      <c r="J307" s="33">
        <f t="shared" si="72"/>
        <v>63531</v>
      </c>
      <c r="K307" s="34">
        <f t="shared" si="73"/>
        <v>347</v>
      </c>
      <c r="L307" s="34">
        <v>795</v>
      </c>
      <c r="M307" s="35">
        <f t="shared" si="74"/>
        <v>1576483</v>
      </c>
      <c r="N307" s="36">
        <f t="shared" si="75"/>
        <v>733281</v>
      </c>
      <c r="O307" s="36">
        <f t="shared" si="76"/>
        <v>2344744</v>
      </c>
      <c r="P307" s="35">
        <f t="shared" si="77"/>
        <v>16333499.69</v>
      </c>
      <c r="Q307" s="35">
        <f t="shared" si="78"/>
        <v>7813653.5</v>
      </c>
      <c r="R307" s="35">
        <f t="shared" si="79"/>
        <v>24727322.73</v>
      </c>
      <c r="S307" s="53"/>
      <c r="T307" s="33"/>
      <c r="U307" s="33"/>
      <c r="V307" s="33"/>
    </row>
    <row r="308" ht="15" customHeight="1" spans="1:22">
      <c r="A308" s="21">
        <v>41212</v>
      </c>
      <c r="B308" s="21" t="s">
        <v>36</v>
      </c>
      <c r="C308" s="22">
        <v>61914</v>
      </c>
      <c r="D308" s="8">
        <v>22791</v>
      </c>
      <c r="E308" s="8">
        <v>85900</v>
      </c>
      <c r="F308" s="23">
        <v>4397</v>
      </c>
      <c r="G308" s="24">
        <v>2866</v>
      </c>
      <c r="H308" s="25"/>
      <c r="I308" s="37"/>
      <c r="J308" s="9">
        <f t="shared" si="72"/>
        <v>63109</v>
      </c>
      <c r="K308" s="38">
        <f t="shared" si="73"/>
        <v>400</v>
      </c>
      <c r="L308" s="38">
        <v>795</v>
      </c>
      <c r="M308" s="39">
        <f t="shared" si="74"/>
        <v>1638397</v>
      </c>
      <c r="N308" s="40">
        <f t="shared" si="75"/>
        <v>756072</v>
      </c>
      <c r="O308" s="40">
        <f t="shared" si="76"/>
        <v>2430644</v>
      </c>
      <c r="P308" s="41">
        <f t="shared" si="77"/>
        <v>16395413.69</v>
      </c>
      <c r="Q308" s="41">
        <f t="shared" si="78"/>
        <v>7836444.5</v>
      </c>
      <c r="R308" s="41">
        <f t="shared" si="79"/>
        <v>24813222.73</v>
      </c>
      <c r="S308" s="54">
        <v>142.9065</v>
      </c>
      <c r="T308" s="54">
        <f>P308/10000-S308</f>
        <v>1496.634869</v>
      </c>
      <c r="U308" s="38"/>
      <c r="V308" s="59">
        <f>(T308-4.919-1.126-6.45)/3527.1*10000</f>
        <v>4207.81908366647</v>
      </c>
    </row>
    <row r="309" s="1" customFormat="1" ht="15" customHeight="1" spans="1:22">
      <c r="A309" s="26">
        <v>41213</v>
      </c>
      <c r="B309" s="26" t="s">
        <v>37</v>
      </c>
      <c r="C309" s="27">
        <v>60669</v>
      </c>
      <c r="D309" s="28">
        <v>22845</v>
      </c>
      <c r="E309" s="28">
        <v>84735</v>
      </c>
      <c r="F309" s="29">
        <v>4336</v>
      </c>
      <c r="G309" s="30">
        <v>2852</v>
      </c>
      <c r="H309" s="31">
        <v>1172</v>
      </c>
      <c r="I309" s="31">
        <v>748.3</v>
      </c>
      <c r="J309" s="43">
        <f t="shared" si="72"/>
        <v>61890</v>
      </c>
      <c r="K309" s="44">
        <f t="shared" si="73"/>
        <v>430</v>
      </c>
      <c r="L309" s="44">
        <v>791</v>
      </c>
      <c r="M309" s="45">
        <f t="shared" si="74"/>
        <v>1699066</v>
      </c>
      <c r="N309" s="47">
        <f t="shared" si="75"/>
        <v>778917</v>
      </c>
      <c r="O309" s="47">
        <f t="shared" si="76"/>
        <v>2515379</v>
      </c>
      <c r="P309" s="45">
        <v>16456228</v>
      </c>
      <c r="Q309" s="45">
        <f t="shared" si="78"/>
        <v>7859289.5</v>
      </c>
      <c r="R309" s="45">
        <f t="shared" si="79"/>
        <v>24897957.73</v>
      </c>
      <c r="S309" s="56">
        <v>142.9387</v>
      </c>
      <c r="T309" s="56">
        <f>P309/10000-S309</f>
        <v>1502.6841</v>
      </c>
      <c r="U309" s="44"/>
      <c r="V309" s="61">
        <f>(T309-4.919-1.126-6.45)/3527.8*10000</f>
        <v>4224.13147003798</v>
      </c>
    </row>
    <row r="310" ht="15" customHeight="1" spans="1:22">
      <c r="A310" s="21">
        <v>41214</v>
      </c>
      <c r="B310" s="21" t="s">
        <v>38</v>
      </c>
      <c r="C310" s="22">
        <v>53903</v>
      </c>
      <c r="D310" s="8">
        <v>25479</v>
      </c>
      <c r="E310" s="8">
        <v>80438</v>
      </c>
      <c r="F310" s="23">
        <v>4051.2</v>
      </c>
      <c r="G310" s="24">
        <v>2787.7</v>
      </c>
      <c r="H310" s="25"/>
      <c r="I310" s="37"/>
      <c r="J310" s="9">
        <f t="shared" si="72"/>
        <v>54959</v>
      </c>
      <c r="K310" s="38">
        <f t="shared" si="73"/>
        <v>263</v>
      </c>
      <c r="L310" s="38">
        <v>793</v>
      </c>
      <c r="M310" s="39">
        <f>C310</f>
        <v>53903</v>
      </c>
      <c r="N310" s="40">
        <f>D310</f>
        <v>25479</v>
      </c>
      <c r="O310" s="40">
        <f>E310</f>
        <v>80438</v>
      </c>
      <c r="P310" s="41">
        <f>P$309+M310</f>
        <v>16510131</v>
      </c>
      <c r="Q310" s="41">
        <f>Q$309+N310</f>
        <v>7884768.5</v>
      </c>
      <c r="R310" s="41">
        <f>R$309+O310</f>
        <v>24978395.73</v>
      </c>
      <c r="S310" s="54"/>
      <c r="T310" s="38"/>
      <c r="U310" s="38"/>
      <c r="V310" s="9"/>
    </row>
    <row r="311" ht="15" customHeight="1" spans="1:22">
      <c r="A311" s="21">
        <v>41215</v>
      </c>
      <c r="B311" s="21" t="s">
        <v>1</v>
      </c>
      <c r="C311" s="22">
        <v>50441</v>
      </c>
      <c r="D311" s="8">
        <v>24904</v>
      </c>
      <c r="E311" s="8">
        <v>76508</v>
      </c>
      <c r="F311" s="23">
        <v>3852.9</v>
      </c>
      <c r="G311" s="24">
        <v>2640</v>
      </c>
      <c r="H311" s="25"/>
      <c r="I311" s="37"/>
      <c r="J311" s="9">
        <f t="shared" si="72"/>
        <v>51604</v>
      </c>
      <c r="K311" s="38">
        <f t="shared" si="73"/>
        <v>370</v>
      </c>
      <c r="L311" s="38">
        <v>793</v>
      </c>
      <c r="M311" s="39">
        <f t="shared" ref="M311:M338" si="80">C311+M310</f>
        <v>104344</v>
      </c>
      <c r="N311" s="40">
        <f t="shared" ref="N311:O318" si="81">D311+N310</f>
        <v>50383</v>
      </c>
      <c r="O311" s="40">
        <f t="shared" si="81"/>
        <v>156946</v>
      </c>
      <c r="P311" s="41">
        <f t="shared" ref="P311:P339" si="82">P$309+M311</f>
        <v>16560572</v>
      </c>
      <c r="Q311" s="41">
        <f t="shared" ref="Q311:Q339" si="83">Q$309+N311</f>
        <v>7909672.5</v>
      </c>
      <c r="R311" s="41">
        <f t="shared" ref="R311:R339" si="84">R$309+O311</f>
        <v>25054903.73</v>
      </c>
      <c r="S311" s="54"/>
      <c r="T311" s="38"/>
      <c r="U311" s="38"/>
      <c r="V311" s="9"/>
    </row>
    <row r="312" ht="15" customHeight="1" spans="1:22">
      <c r="A312" s="21">
        <v>41216</v>
      </c>
      <c r="B312" s="21" t="s">
        <v>39</v>
      </c>
      <c r="C312" s="22">
        <v>56618</v>
      </c>
      <c r="D312" s="8">
        <v>24512</v>
      </c>
      <c r="E312" s="8">
        <v>82257</v>
      </c>
      <c r="F312" s="23">
        <v>4233.9</v>
      </c>
      <c r="G312" s="24">
        <v>2620</v>
      </c>
      <c r="H312" s="25"/>
      <c r="I312" s="37"/>
      <c r="J312" s="9">
        <f t="shared" si="72"/>
        <v>57745</v>
      </c>
      <c r="K312" s="38">
        <f t="shared" si="73"/>
        <v>334</v>
      </c>
      <c r="L312" s="38">
        <v>793</v>
      </c>
      <c r="M312" s="39">
        <f t="shared" si="80"/>
        <v>160962</v>
      </c>
      <c r="N312" s="40">
        <f t="shared" si="81"/>
        <v>74895</v>
      </c>
      <c r="O312" s="40">
        <f t="shared" si="81"/>
        <v>239203</v>
      </c>
      <c r="P312" s="41">
        <f t="shared" si="82"/>
        <v>16617190</v>
      </c>
      <c r="Q312" s="41">
        <f t="shared" si="83"/>
        <v>7934184.5</v>
      </c>
      <c r="R312" s="41">
        <f t="shared" si="84"/>
        <v>25137160.73</v>
      </c>
      <c r="S312" s="54"/>
      <c r="T312" s="38"/>
      <c r="U312" s="38"/>
      <c r="V312" s="9"/>
    </row>
    <row r="313" ht="15" customHeight="1" spans="1:22">
      <c r="A313" s="21">
        <v>41217</v>
      </c>
      <c r="B313" s="21" t="s">
        <v>34</v>
      </c>
      <c r="C313" s="22">
        <v>63536</v>
      </c>
      <c r="D313" s="8">
        <v>20432</v>
      </c>
      <c r="E313" s="8">
        <v>85068</v>
      </c>
      <c r="F313" s="23">
        <v>4315.3</v>
      </c>
      <c r="G313" s="24">
        <v>2844.2</v>
      </c>
      <c r="H313" s="25">
        <v>1024.2</v>
      </c>
      <c r="I313" s="37">
        <v>681.4</v>
      </c>
      <c r="J313" s="9">
        <f t="shared" si="72"/>
        <v>64636</v>
      </c>
      <c r="K313" s="38">
        <f t="shared" si="73"/>
        <v>307</v>
      </c>
      <c r="L313" s="38">
        <v>793</v>
      </c>
      <c r="M313" s="39">
        <f t="shared" si="80"/>
        <v>224498</v>
      </c>
      <c r="N313" s="40">
        <f t="shared" si="81"/>
        <v>95327</v>
      </c>
      <c r="O313" s="40">
        <f t="shared" si="81"/>
        <v>324271</v>
      </c>
      <c r="P313" s="41">
        <f t="shared" si="82"/>
        <v>16680726</v>
      </c>
      <c r="Q313" s="41">
        <f t="shared" si="83"/>
        <v>7954616.5</v>
      </c>
      <c r="R313" s="41">
        <f t="shared" si="84"/>
        <v>25222228.73</v>
      </c>
      <c r="S313" s="54"/>
      <c r="T313" s="38"/>
      <c r="U313" s="38"/>
      <c r="V313" s="9"/>
    </row>
    <row r="314" ht="15" customHeight="1" spans="1:22">
      <c r="A314" s="15">
        <v>41218</v>
      </c>
      <c r="B314" s="15" t="s">
        <v>35</v>
      </c>
      <c r="C314" s="16">
        <v>63905</v>
      </c>
      <c r="D314" s="17">
        <v>20162</v>
      </c>
      <c r="E314" s="17">
        <v>85194</v>
      </c>
      <c r="F314" s="18">
        <v>4339.2</v>
      </c>
      <c r="G314" s="19">
        <v>2853</v>
      </c>
      <c r="H314" s="20">
        <v>1044.3</v>
      </c>
      <c r="I314" s="20">
        <v>708.1</v>
      </c>
      <c r="J314" s="33">
        <f t="shared" si="72"/>
        <v>65032</v>
      </c>
      <c r="K314" s="34">
        <f t="shared" si="73"/>
        <v>334</v>
      </c>
      <c r="L314" s="34">
        <v>793</v>
      </c>
      <c r="M314" s="35">
        <f t="shared" si="80"/>
        <v>288403</v>
      </c>
      <c r="N314" s="36">
        <f t="shared" si="81"/>
        <v>115489</v>
      </c>
      <c r="O314" s="36">
        <f t="shared" si="81"/>
        <v>409465</v>
      </c>
      <c r="P314" s="35">
        <f t="shared" si="82"/>
        <v>16744631</v>
      </c>
      <c r="Q314" s="35">
        <f t="shared" si="83"/>
        <v>7974778.5</v>
      </c>
      <c r="R314" s="35">
        <f t="shared" si="84"/>
        <v>25307422.73</v>
      </c>
      <c r="S314" s="53"/>
      <c r="T314" s="33"/>
      <c r="U314" s="33"/>
      <c r="V314" s="33"/>
    </row>
    <row r="315" ht="15" customHeight="1" spans="1:22">
      <c r="A315" s="21">
        <v>41219</v>
      </c>
      <c r="B315" s="21" t="s">
        <v>36</v>
      </c>
      <c r="C315" s="22">
        <v>64148</v>
      </c>
      <c r="D315" s="8">
        <v>20359</v>
      </c>
      <c r="E315" s="8">
        <v>85725</v>
      </c>
      <c r="F315" s="23">
        <v>4368.4</v>
      </c>
      <c r="G315" s="24">
        <v>2854</v>
      </c>
      <c r="H315" s="25"/>
      <c r="I315" s="37"/>
      <c r="J315" s="9">
        <f t="shared" si="72"/>
        <v>65366</v>
      </c>
      <c r="K315" s="38">
        <f t="shared" si="73"/>
        <v>425</v>
      </c>
      <c r="L315" s="38">
        <v>793</v>
      </c>
      <c r="M315" s="39">
        <f t="shared" si="80"/>
        <v>352551</v>
      </c>
      <c r="N315" s="40">
        <f t="shared" si="81"/>
        <v>135848</v>
      </c>
      <c r="O315" s="40">
        <f t="shared" si="81"/>
        <v>495190</v>
      </c>
      <c r="P315" s="41">
        <f t="shared" si="82"/>
        <v>16808779</v>
      </c>
      <c r="Q315" s="41">
        <f t="shared" si="83"/>
        <v>7995137.5</v>
      </c>
      <c r="R315" s="41">
        <f t="shared" si="84"/>
        <v>25393147.73</v>
      </c>
      <c r="S315" s="54">
        <v>145.9387</v>
      </c>
      <c r="T315" s="54">
        <f>P315/10000-S315</f>
        <v>1534.9392</v>
      </c>
      <c r="U315" s="38"/>
      <c r="V315" s="59">
        <f>(T315-4.919-1.126-6.45)/3532.2*10000</f>
        <v>4310.18685238661</v>
      </c>
    </row>
    <row r="316" ht="15" customHeight="1" spans="1:22">
      <c r="A316" s="21">
        <v>41220</v>
      </c>
      <c r="B316" s="21" t="s">
        <v>37</v>
      </c>
      <c r="C316" s="22">
        <v>63722</v>
      </c>
      <c r="D316" s="8">
        <v>21169</v>
      </c>
      <c r="E316" s="8">
        <v>86199</v>
      </c>
      <c r="F316" s="23">
        <v>4408</v>
      </c>
      <c r="G316" s="24">
        <v>2863</v>
      </c>
      <c r="H316" s="25"/>
      <c r="I316" s="37"/>
      <c r="J316" s="9">
        <f t="shared" si="72"/>
        <v>65030</v>
      </c>
      <c r="K316" s="38">
        <f t="shared" si="73"/>
        <v>515</v>
      </c>
      <c r="L316" s="38">
        <v>793</v>
      </c>
      <c r="M316" s="39">
        <f t="shared" si="80"/>
        <v>416273</v>
      </c>
      <c r="N316" s="40">
        <f t="shared" si="81"/>
        <v>157017</v>
      </c>
      <c r="O316" s="40">
        <f t="shared" si="81"/>
        <v>581389</v>
      </c>
      <c r="P316" s="41">
        <f t="shared" si="82"/>
        <v>16872501</v>
      </c>
      <c r="Q316" s="41">
        <f t="shared" si="83"/>
        <v>8016306.5</v>
      </c>
      <c r="R316" s="41">
        <f t="shared" si="84"/>
        <v>25479346.73</v>
      </c>
      <c r="S316" s="54"/>
      <c r="T316" s="38"/>
      <c r="U316" s="38"/>
      <c r="V316" s="9"/>
    </row>
    <row r="317" ht="15" customHeight="1" spans="1:22">
      <c r="A317" s="21">
        <v>41221</v>
      </c>
      <c r="B317" s="21" t="s">
        <v>38</v>
      </c>
      <c r="C317" s="22">
        <v>63755</v>
      </c>
      <c r="D317" s="8">
        <v>20502</v>
      </c>
      <c r="E317" s="8">
        <v>85487</v>
      </c>
      <c r="F317" s="23">
        <v>4393</v>
      </c>
      <c r="G317" s="24">
        <v>2877</v>
      </c>
      <c r="H317" s="25"/>
      <c r="I317" s="37"/>
      <c r="J317" s="9">
        <f t="shared" si="72"/>
        <v>64985</v>
      </c>
      <c r="K317" s="38">
        <f t="shared" si="73"/>
        <v>437</v>
      </c>
      <c r="L317" s="38">
        <v>793</v>
      </c>
      <c r="M317" s="39">
        <f t="shared" si="80"/>
        <v>480028</v>
      </c>
      <c r="N317" s="40">
        <f t="shared" si="81"/>
        <v>177519</v>
      </c>
      <c r="O317" s="40">
        <f t="shared" si="81"/>
        <v>666876</v>
      </c>
      <c r="P317" s="41">
        <f t="shared" si="82"/>
        <v>16936256</v>
      </c>
      <c r="Q317" s="41">
        <f t="shared" si="83"/>
        <v>8036808.5</v>
      </c>
      <c r="R317" s="41">
        <f t="shared" si="84"/>
        <v>25564833.73</v>
      </c>
      <c r="S317" s="54"/>
      <c r="T317" s="38"/>
      <c r="U317" s="38"/>
      <c r="V317" s="9"/>
    </row>
    <row r="318" ht="15" customHeight="1" spans="1:22">
      <c r="A318" s="21">
        <v>41222</v>
      </c>
      <c r="B318" s="21" t="s">
        <v>1</v>
      </c>
      <c r="C318" s="22">
        <v>60560</v>
      </c>
      <c r="D318" s="8">
        <v>18771</v>
      </c>
      <c r="E318" s="8">
        <v>80563</v>
      </c>
      <c r="F318" s="23">
        <v>4067</v>
      </c>
      <c r="G318" s="24">
        <v>2810</v>
      </c>
      <c r="H318" s="25"/>
      <c r="I318" s="37"/>
      <c r="J318" s="9">
        <f t="shared" si="72"/>
        <v>61792</v>
      </c>
      <c r="K318" s="38">
        <f t="shared" si="73"/>
        <v>438</v>
      </c>
      <c r="L318" s="38">
        <v>794</v>
      </c>
      <c r="M318" s="39">
        <f t="shared" si="80"/>
        <v>540588</v>
      </c>
      <c r="N318" s="40">
        <f t="shared" si="81"/>
        <v>196290</v>
      </c>
      <c r="O318" s="40">
        <f t="shared" si="81"/>
        <v>747439</v>
      </c>
      <c r="P318" s="41">
        <f t="shared" si="82"/>
        <v>16996816</v>
      </c>
      <c r="Q318" s="41">
        <f t="shared" si="83"/>
        <v>8055579.5</v>
      </c>
      <c r="R318" s="41">
        <f t="shared" si="84"/>
        <v>25645396.73</v>
      </c>
      <c r="S318" s="54"/>
      <c r="T318" s="38"/>
      <c r="U318" s="38"/>
      <c r="V318" s="9"/>
    </row>
    <row r="319" ht="15" customHeight="1" spans="1:22">
      <c r="A319" s="21">
        <v>41223</v>
      </c>
      <c r="B319" s="21" t="s">
        <v>39</v>
      </c>
      <c r="C319" s="22">
        <v>64445</v>
      </c>
      <c r="D319" s="8">
        <v>20359</v>
      </c>
      <c r="E319" s="8">
        <v>85833</v>
      </c>
      <c r="F319" s="23">
        <v>4432</v>
      </c>
      <c r="G319" s="24">
        <v>2751</v>
      </c>
      <c r="H319" s="25"/>
      <c r="I319" s="37"/>
      <c r="J319" s="9">
        <f t="shared" si="72"/>
        <v>65474</v>
      </c>
      <c r="K319" s="38">
        <f t="shared" si="73"/>
        <v>237</v>
      </c>
      <c r="L319" s="38">
        <v>792</v>
      </c>
      <c r="M319" s="39">
        <v>605035</v>
      </c>
      <c r="N319" s="40">
        <v>215932</v>
      </c>
      <c r="O319" s="40">
        <v>833274</v>
      </c>
      <c r="P319" s="41">
        <v>17061263.85</v>
      </c>
      <c r="Q319" s="41">
        <f t="shared" si="83"/>
        <v>8075221.5</v>
      </c>
      <c r="R319" s="41">
        <f t="shared" si="84"/>
        <v>25731231.73</v>
      </c>
      <c r="S319" s="54">
        <v>146.9728</v>
      </c>
      <c r="T319" s="54">
        <f>P319/10000-S319</f>
        <v>1559.153585</v>
      </c>
      <c r="U319" s="38"/>
      <c r="V319" s="60">
        <f>(T319-4.919-1.126-6.45)/3535*10000</f>
        <v>4375.27181046676</v>
      </c>
    </row>
    <row r="320" ht="15" customHeight="1" spans="1:22">
      <c r="A320" s="21">
        <v>41224</v>
      </c>
      <c r="B320" s="21" t="s">
        <v>34</v>
      </c>
      <c r="C320" s="22">
        <v>69578</v>
      </c>
      <c r="D320" s="8">
        <v>15783</v>
      </c>
      <c r="E320" s="8">
        <v>87279</v>
      </c>
      <c r="F320" s="23">
        <v>4432</v>
      </c>
      <c r="G320" s="24">
        <v>2894</v>
      </c>
      <c r="H320" s="25"/>
      <c r="I320" s="37"/>
      <c r="J320" s="9">
        <f t="shared" si="72"/>
        <v>71496</v>
      </c>
      <c r="K320" s="38">
        <f t="shared" si="73"/>
        <v>1126</v>
      </c>
      <c r="L320" s="38">
        <v>792</v>
      </c>
      <c r="M320" s="39">
        <f t="shared" si="80"/>
        <v>674613</v>
      </c>
      <c r="N320" s="40">
        <f t="shared" ref="N320:N338" si="85">D320+N319</f>
        <v>231715</v>
      </c>
      <c r="O320" s="40">
        <f t="shared" ref="O320:O338" si="86">E320+O319</f>
        <v>920553</v>
      </c>
      <c r="P320" s="41">
        <f t="shared" si="82"/>
        <v>17130841</v>
      </c>
      <c r="Q320" s="41">
        <f t="shared" si="83"/>
        <v>8091004.5</v>
      </c>
      <c r="R320" s="41">
        <f t="shared" si="84"/>
        <v>25818510.73</v>
      </c>
      <c r="S320" s="54"/>
      <c r="T320" s="38"/>
      <c r="U320" s="38"/>
      <c r="V320" s="9"/>
    </row>
    <row r="321" ht="15" customHeight="1" spans="1:22">
      <c r="A321" s="15">
        <v>41225</v>
      </c>
      <c r="B321" s="15" t="s">
        <v>35</v>
      </c>
      <c r="C321" s="16">
        <v>69576</v>
      </c>
      <c r="D321" s="17">
        <v>15509</v>
      </c>
      <c r="E321" s="17">
        <v>86540</v>
      </c>
      <c r="F321" s="18">
        <v>4413</v>
      </c>
      <c r="G321" s="19">
        <v>2872</v>
      </c>
      <c r="H321" s="20"/>
      <c r="I321" s="20"/>
      <c r="J321" s="33">
        <f t="shared" ref="J321:J370" si="87">E321-D321</f>
        <v>71031</v>
      </c>
      <c r="K321" s="34">
        <f t="shared" ref="K321:K370" si="88">J321-C321-L321</f>
        <v>663</v>
      </c>
      <c r="L321" s="34">
        <v>792</v>
      </c>
      <c r="M321" s="35">
        <f t="shared" si="80"/>
        <v>744189</v>
      </c>
      <c r="N321" s="36">
        <f t="shared" si="85"/>
        <v>247224</v>
      </c>
      <c r="O321" s="36">
        <f t="shared" si="86"/>
        <v>1007093</v>
      </c>
      <c r="P321" s="35">
        <f t="shared" si="82"/>
        <v>17200417</v>
      </c>
      <c r="Q321" s="35">
        <f t="shared" si="83"/>
        <v>8106513.5</v>
      </c>
      <c r="R321" s="35">
        <f t="shared" si="84"/>
        <v>25905050.73</v>
      </c>
      <c r="S321" s="53"/>
      <c r="T321" s="33"/>
      <c r="U321" s="33"/>
      <c r="V321" s="33"/>
    </row>
    <row r="322" ht="15" customHeight="1" spans="1:22">
      <c r="A322" s="21">
        <v>41226</v>
      </c>
      <c r="B322" s="21" t="s">
        <v>36</v>
      </c>
      <c r="C322" s="22">
        <v>70177</v>
      </c>
      <c r="D322" s="8">
        <v>15711</v>
      </c>
      <c r="E322" s="8">
        <v>87148</v>
      </c>
      <c r="F322" s="23">
        <v>4421</v>
      </c>
      <c r="G322" s="24">
        <v>2861</v>
      </c>
      <c r="H322" s="25"/>
      <c r="I322" s="37"/>
      <c r="J322" s="9">
        <f t="shared" si="87"/>
        <v>71437</v>
      </c>
      <c r="K322" s="38">
        <f t="shared" si="88"/>
        <v>467</v>
      </c>
      <c r="L322" s="38">
        <v>793</v>
      </c>
      <c r="M322" s="39">
        <f t="shared" si="80"/>
        <v>814366</v>
      </c>
      <c r="N322" s="40">
        <f t="shared" si="85"/>
        <v>262935</v>
      </c>
      <c r="O322" s="40">
        <f t="shared" si="86"/>
        <v>1094241</v>
      </c>
      <c r="P322" s="41">
        <f t="shared" si="82"/>
        <v>17270594</v>
      </c>
      <c r="Q322" s="41">
        <f t="shared" si="83"/>
        <v>8122224.5</v>
      </c>
      <c r="R322" s="41">
        <f t="shared" si="84"/>
        <v>25992198.73</v>
      </c>
      <c r="S322" s="54">
        <v>148.1728</v>
      </c>
      <c r="T322" s="54">
        <f>P322/10000-S322</f>
        <v>1578.8866</v>
      </c>
      <c r="U322" s="38"/>
      <c r="V322" s="59">
        <f>(T322-4.919-1.126-6.45)/3537.5*10000</f>
        <v>4427.96212014134</v>
      </c>
    </row>
    <row r="323" ht="15" customHeight="1" spans="1:22">
      <c r="A323" s="21">
        <v>41227</v>
      </c>
      <c r="B323" s="21" t="s">
        <v>37</v>
      </c>
      <c r="C323" s="22">
        <v>70684</v>
      </c>
      <c r="D323" s="8">
        <v>15946</v>
      </c>
      <c r="E323" s="8">
        <v>87886</v>
      </c>
      <c r="F323" s="23">
        <v>4462</v>
      </c>
      <c r="G323" s="24">
        <v>2911</v>
      </c>
      <c r="H323" s="25"/>
      <c r="I323" s="37"/>
      <c r="J323" s="9">
        <f t="shared" si="87"/>
        <v>71940</v>
      </c>
      <c r="K323" s="38">
        <f t="shared" si="88"/>
        <v>463</v>
      </c>
      <c r="L323" s="38">
        <v>793</v>
      </c>
      <c r="M323" s="39">
        <f t="shared" si="80"/>
        <v>885050</v>
      </c>
      <c r="N323" s="40">
        <f t="shared" si="85"/>
        <v>278881</v>
      </c>
      <c r="O323" s="40">
        <f t="shared" si="86"/>
        <v>1182127</v>
      </c>
      <c r="P323" s="41">
        <f t="shared" si="82"/>
        <v>17341278</v>
      </c>
      <c r="Q323" s="41">
        <f t="shared" si="83"/>
        <v>8138170.5</v>
      </c>
      <c r="R323" s="41">
        <f t="shared" si="84"/>
        <v>26080084.73</v>
      </c>
      <c r="S323" s="54"/>
      <c r="T323" s="38"/>
      <c r="U323" s="38"/>
      <c r="V323" s="9"/>
    </row>
    <row r="324" ht="15" customHeight="1" spans="1:22">
      <c r="A324" s="21">
        <v>41228</v>
      </c>
      <c r="B324" s="21" t="s">
        <v>38</v>
      </c>
      <c r="C324" s="22">
        <v>68986</v>
      </c>
      <c r="D324" s="8">
        <v>15873</v>
      </c>
      <c r="E324" s="8">
        <v>85842</v>
      </c>
      <c r="F324" s="23">
        <v>4369</v>
      </c>
      <c r="G324" s="24">
        <v>2882</v>
      </c>
      <c r="H324" s="25"/>
      <c r="I324" s="37"/>
      <c r="J324" s="9">
        <f t="shared" si="87"/>
        <v>69969</v>
      </c>
      <c r="K324" s="38">
        <f t="shared" si="88"/>
        <v>190</v>
      </c>
      <c r="L324" s="38">
        <v>793</v>
      </c>
      <c r="M324" s="39">
        <f t="shared" si="80"/>
        <v>954036</v>
      </c>
      <c r="N324" s="40">
        <f t="shared" si="85"/>
        <v>294754</v>
      </c>
      <c r="O324" s="40">
        <f t="shared" si="86"/>
        <v>1267969</v>
      </c>
      <c r="P324" s="41">
        <f t="shared" si="82"/>
        <v>17410264</v>
      </c>
      <c r="Q324" s="41">
        <f t="shared" si="83"/>
        <v>8154043.5</v>
      </c>
      <c r="R324" s="41">
        <f t="shared" si="84"/>
        <v>26165926.73</v>
      </c>
      <c r="S324" s="54"/>
      <c r="T324" s="38"/>
      <c r="U324" s="38"/>
      <c r="V324" s="9"/>
    </row>
    <row r="325" ht="15" customHeight="1" spans="1:22">
      <c r="A325" s="21">
        <v>41229</v>
      </c>
      <c r="B325" s="21" t="s">
        <v>1</v>
      </c>
      <c r="C325" s="22">
        <v>65256</v>
      </c>
      <c r="D325" s="8">
        <v>15612</v>
      </c>
      <c r="E325" s="8">
        <v>81781</v>
      </c>
      <c r="F325" s="23">
        <v>4054</v>
      </c>
      <c r="G325" s="24">
        <v>2798</v>
      </c>
      <c r="H325" s="25"/>
      <c r="I325" s="37"/>
      <c r="J325" s="9">
        <f t="shared" si="87"/>
        <v>66169</v>
      </c>
      <c r="K325" s="38">
        <f t="shared" si="88"/>
        <v>120</v>
      </c>
      <c r="L325" s="38">
        <v>793</v>
      </c>
      <c r="M325" s="39">
        <f t="shared" si="80"/>
        <v>1019292</v>
      </c>
      <c r="N325" s="40">
        <f t="shared" si="85"/>
        <v>310366</v>
      </c>
      <c r="O325" s="40">
        <f t="shared" si="86"/>
        <v>1349750</v>
      </c>
      <c r="P325" s="41">
        <f t="shared" si="82"/>
        <v>17475520</v>
      </c>
      <c r="Q325" s="41">
        <f t="shared" si="83"/>
        <v>8169655.5</v>
      </c>
      <c r="R325" s="41">
        <f t="shared" si="84"/>
        <v>26247707.73</v>
      </c>
      <c r="S325" s="54"/>
      <c r="T325" s="38"/>
      <c r="U325" s="38"/>
      <c r="V325" s="9"/>
    </row>
    <row r="326" ht="15" customHeight="1" spans="1:22">
      <c r="A326" s="21">
        <v>41230</v>
      </c>
      <c r="B326" s="21" t="s">
        <v>39</v>
      </c>
      <c r="C326" s="22">
        <v>68446</v>
      </c>
      <c r="D326" s="8">
        <v>15766</v>
      </c>
      <c r="E326" s="8">
        <v>85454</v>
      </c>
      <c r="F326" s="23">
        <v>4409</v>
      </c>
      <c r="G326" s="24">
        <v>2657</v>
      </c>
      <c r="H326" s="25"/>
      <c r="I326" s="37"/>
      <c r="J326" s="9">
        <f t="shared" si="87"/>
        <v>69688</v>
      </c>
      <c r="K326" s="38">
        <f t="shared" si="88"/>
        <v>449</v>
      </c>
      <c r="L326" s="38">
        <v>793</v>
      </c>
      <c r="M326" s="39">
        <f t="shared" si="80"/>
        <v>1087738</v>
      </c>
      <c r="N326" s="40">
        <f t="shared" si="85"/>
        <v>326132</v>
      </c>
      <c r="O326" s="40">
        <f t="shared" si="86"/>
        <v>1435204</v>
      </c>
      <c r="P326" s="41">
        <f t="shared" si="82"/>
        <v>17543966</v>
      </c>
      <c r="Q326" s="41">
        <f t="shared" si="83"/>
        <v>8185421.5</v>
      </c>
      <c r="R326" s="41">
        <f t="shared" si="84"/>
        <v>26333161.73</v>
      </c>
      <c r="S326" s="54"/>
      <c r="T326" s="38"/>
      <c r="U326" s="38"/>
      <c r="V326" s="9"/>
    </row>
    <row r="327" ht="15" customHeight="1" spans="1:22">
      <c r="A327" s="21">
        <v>41231</v>
      </c>
      <c r="B327" s="21" t="s">
        <v>34</v>
      </c>
      <c r="C327" s="22">
        <v>68989</v>
      </c>
      <c r="D327" s="8">
        <v>17773</v>
      </c>
      <c r="E327" s="8">
        <v>87765</v>
      </c>
      <c r="F327" s="23">
        <v>4440</v>
      </c>
      <c r="G327" s="24">
        <v>2848</v>
      </c>
      <c r="H327" s="25"/>
      <c r="I327" s="37"/>
      <c r="J327" s="9">
        <f t="shared" si="87"/>
        <v>69992</v>
      </c>
      <c r="K327" s="38">
        <f t="shared" si="88"/>
        <v>210</v>
      </c>
      <c r="L327" s="38">
        <v>793</v>
      </c>
      <c r="M327" s="39">
        <f t="shared" si="80"/>
        <v>1156727</v>
      </c>
      <c r="N327" s="40">
        <f t="shared" si="85"/>
        <v>343905</v>
      </c>
      <c r="O327" s="40">
        <f t="shared" si="86"/>
        <v>1522969</v>
      </c>
      <c r="P327" s="41">
        <f t="shared" si="82"/>
        <v>17612955</v>
      </c>
      <c r="Q327" s="41">
        <f t="shared" si="83"/>
        <v>8203194.5</v>
      </c>
      <c r="R327" s="41">
        <f t="shared" si="84"/>
        <v>26420926.73</v>
      </c>
      <c r="S327" s="54"/>
      <c r="T327" s="38"/>
      <c r="U327" s="38"/>
      <c r="V327" s="9"/>
    </row>
    <row r="328" ht="15" customHeight="1" spans="1:22">
      <c r="A328" s="15">
        <v>41232</v>
      </c>
      <c r="B328" s="15" t="s">
        <v>35</v>
      </c>
      <c r="C328" s="16">
        <v>71083</v>
      </c>
      <c r="D328" s="17">
        <v>16454</v>
      </c>
      <c r="E328" s="17">
        <v>88815</v>
      </c>
      <c r="F328" s="18">
        <v>4524</v>
      </c>
      <c r="G328" s="19">
        <v>2891</v>
      </c>
      <c r="H328" s="20"/>
      <c r="I328" s="20"/>
      <c r="J328" s="33">
        <f t="shared" si="87"/>
        <v>72361</v>
      </c>
      <c r="K328" s="34">
        <f t="shared" si="88"/>
        <v>485</v>
      </c>
      <c r="L328" s="34">
        <v>793</v>
      </c>
      <c r="M328" s="35">
        <f t="shared" si="80"/>
        <v>1227810</v>
      </c>
      <c r="N328" s="36">
        <f t="shared" si="85"/>
        <v>360359</v>
      </c>
      <c r="O328" s="36">
        <f t="shared" si="86"/>
        <v>1611784</v>
      </c>
      <c r="P328" s="35">
        <f t="shared" si="82"/>
        <v>17684038</v>
      </c>
      <c r="Q328" s="35">
        <f t="shared" si="83"/>
        <v>8219648.5</v>
      </c>
      <c r="R328" s="35">
        <f t="shared" si="84"/>
        <v>26509741.73</v>
      </c>
      <c r="S328" s="53"/>
      <c r="T328" s="33"/>
      <c r="U328" s="33"/>
      <c r="V328" s="33"/>
    </row>
    <row r="329" ht="15" customHeight="1" spans="1:22">
      <c r="A329" s="21">
        <v>41233</v>
      </c>
      <c r="B329" s="21" t="s">
        <v>36</v>
      </c>
      <c r="C329" s="22">
        <v>67933</v>
      </c>
      <c r="D329" s="8">
        <v>18525</v>
      </c>
      <c r="E329" s="8">
        <v>87497</v>
      </c>
      <c r="F329" s="23">
        <v>4500</v>
      </c>
      <c r="G329" s="24">
        <v>2900</v>
      </c>
      <c r="H329" s="25"/>
      <c r="I329" s="37"/>
      <c r="J329" s="9">
        <f t="shared" si="87"/>
        <v>68972</v>
      </c>
      <c r="K329" s="38">
        <f t="shared" si="88"/>
        <v>247</v>
      </c>
      <c r="L329" s="38">
        <v>792</v>
      </c>
      <c r="M329" s="39">
        <f t="shared" si="80"/>
        <v>1295743</v>
      </c>
      <c r="N329" s="40">
        <f t="shared" si="85"/>
        <v>378884</v>
      </c>
      <c r="O329" s="40">
        <f t="shared" si="86"/>
        <v>1699281</v>
      </c>
      <c r="P329" s="41">
        <v>17751971</v>
      </c>
      <c r="Q329" s="41">
        <f t="shared" si="83"/>
        <v>8238173.5</v>
      </c>
      <c r="R329" s="41">
        <f t="shared" si="84"/>
        <v>26597238.73</v>
      </c>
      <c r="S329" s="54">
        <v>151.7329</v>
      </c>
      <c r="T329" s="54">
        <f>P329/10000-S329</f>
        <v>1623.4642</v>
      </c>
      <c r="U329" s="38"/>
      <c r="V329" s="60">
        <f>(T329-4.919-1.126-6.45)/3542.3*10000</f>
        <v>4547.80566298732</v>
      </c>
    </row>
    <row r="330" ht="15" customHeight="1" spans="1:22">
      <c r="A330" s="21">
        <v>41234</v>
      </c>
      <c r="B330" s="21" t="s">
        <v>37</v>
      </c>
      <c r="C330" s="22">
        <v>66357</v>
      </c>
      <c r="D330" s="8">
        <v>20324</v>
      </c>
      <c r="E330" s="8">
        <v>87594</v>
      </c>
      <c r="F330" s="23">
        <v>4435</v>
      </c>
      <c r="G330" s="24">
        <v>2902</v>
      </c>
      <c r="H330" s="25"/>
      <c r="I330" s="37"/>
      <c r="J330" s="9">
        <f t="shared" si="87"/>
        <v>67270</v>
      </c>
      <c r="K330" s="38">
        <f t="shared" si="88"/>
        <v>121</v>
      </c>
      <c r="L330" s="38">
        <v>792</v>
      </c>
      <c r="M330" s="39">
        <f t="shared" si="80"/>
        <v>1362100</v>
      </c>
      <c r="N330" s="40">
        <f t="shared" si="85"/>
        <v>399208</v>
      </c>
      <c r="O330" s="40">
        <f t="shared" si="86"/>
        <v>1786875</v>
      </c>
      <c r="P330" s="41">
        <f t="shared" si="82"/>
        <v>17818328</v>
      </c>
      <c r="Q330" s="41">
        <f t="shared" si="83"/>
        <v>8258497.5</v>
      </c>
      <c r="R330" s="41">
        <f t="shared" si="84"/>
        <v>26684832.73</v>
      </c>
      <c r="S330" s="54"/>
      <c r="T330" s="38"/>
      <c r="U330" s="38"/>
      <c r="V330" s="9"/>
    </row>
    <row r="331" ht="15" customHeight="1" spans="1:22">
      <c r="A331" s="21">
        <v>41235</v>
      </c>
      <c r="B331" s="21" t="s">
        <v>38</v>
      </c>
      <c r="C331" s="22">
        <v>62816</v>
      </c>
      <c r="D331" s="8">
        <v>21806</v>
      </c>
      <c r="E331" s="8">
        <v>85762</v>
      </c>
      <c r="F331" s="23">
        <v>4362</v>
      </c>
      <c r="G331" s="24">
        <v>2899</v>
      </c>
      <c r="H331" s="25"/>
      <c r="I331" s="37"/>
      <c r="J331" s="9">
        <f t="shared" si="87"/>
        <v>63956</v>
      </c>
      <c r="K331" s="38">
        <f t="shared" si="88"/>
        <v>347</v>
      </c>
      <c r="L331" s="38">
        <v>793</v>
      </c>
      <c r="M331" s="39">
        <f t="shared" si="80"/>
        <v>1424916</v>
      </c>
      <c r="N331" s="40">
        <f t="shared" si="85"/>
        <v>421014</v>
      </c>
      <c r="O331" s="40">
        <f t="shared" si="86"/>
        <v>1872637</v>
      </c>
      <c r="P331" s="41">
        <f t="shared" si="82"/>
        <v>17881144</v>
      </c>
      <c r="Q331" s="41">
        <f t="shared" si="83"/>
        <v>8280303.5</v>
      </c>
      <c r="R331" s="41">
        <f t="shared" si="84"/>
        <v>26770594.73</v>
      </c>
      <c r="S331" s="54"/>
      <c r="T331" s="38"/>
      <c r="U331" s="38"/>
      <c r="V331" s="9"/>
    </row>
    <row r="332" ht="15" customHeight="1" spans="1:22">
      <c r="A332" s="21">
        <v>41236</v>
      </c>
      <c r="B332" s="21" t="s">
        <v>1</v>
      </c>
      <c r="C332" s="22">
        <v>58371</v>
      </c>
      <c r="D332" s="8">
        <v>21585</v>
      </c>
      <c r="E332" s="8">
        <v>80997</v>
      </c>
      <c r="F332" s="23">
        <v>4053</v>
      </c>
      <c r="G332" s="24">
        <v>2823</v>
      </c>
      <c r="H332" s="25"/>
      <c r="I332" s="37"/>
      <c r="J332" s="9">
        <f t="shared" si="87"/>
        <v>59412</v>
      </c>
      <c r="K332" s="38">
        <f t="shared" si="88"/>
        <v>248</v>
      </c>
      <c r="L332" s="38">
        <v>793</v>
      </c>
      <c r="M332" s="39">
        <f t="shared" si="80"/>
        <v>1483287</v>
      </c>
      <c r="N332" s="40">
        <f t="shared" si="85"/>
        <v>442599</v>
      </c>
      <c r="O332" s="40">
        <f t="shared" si="86"/>
        <v>1953634</v>
      </c>
      <c r="P332" s="41">
        <f t="shared" si="82"/>
        <v>17939515</v>
      </c>
      <c r="Q332" s="41">
        <f t="shared" si="83"/>
        <v>8301888.5</v>
      </c>
      <c r="R332" s="41">
        <f t="shared" si="84"/>
        <v>26851591.73</v>
      </c>
      <c r="S332" s="54"/>
      <c r="T332" s="38"/>
      <c r="U332" s="38"/>
      <c r="V332" s="9"/>
    </row>
    <row r="333" ht="15" customHeight="1" spans="1:22">
      <c r="A333" s="21">
        <v>41237</v>
      </c>
      <c r="B333" s="21" t="s">
        <v>39</v>
      </c>
      <c r="C333" s="22">
        <v>61953</v>
      </c>
      <c r="D333" s="8">
        <v>21625</v>
      </c>
      <c r="E333" s="8">
        <v>84559</v>
      </c>
      <c r="F333" s="23">
        <v>4315</v>
      </c>
      <c r="G333" s="24">
        <v>2651</v>
      </c>
      <c r="H333" s="25"/>
      <c r="I333" s="37"/>
      <c r="J333" s="9">
        <f t="shared" si="87"/>
        <v>62934</v>
      </c>
      <c r="K333" s="38">
        <f t="shared" si="88"/>
        <v>188</v>
      </c>
      <c r="L333" s="38">
        <v>793</v>
      </c>
      <c r="M333" s="39">
        <f t="shared" si="80"/>
        <v>1545240</v>
      </c>
      <c r="N333" s="40">
        <f t="shared" si="85"/>
        <v>464224</v>
      </c>
      <c r="O333" s="40">
        <f t="shared" si="86"/>
        <v>2038193</v>
      </c>
      <c r="P333" s="41">
        <f t="shared" si="82"/>
        <v>18001468</v>
      </c>
      <c r="Q333" s="41">
        <f t="shared" si="83"/>
        <v>8323513.5</v>
      </c>
      <c r="R333" s="41">
        <f t="shared" si="84"/>
        <v>26936150.73</v>
      </c>
      <c r="S333" s="54"/>
      <c r="T333" s="38"/>
      <c r="U333" s="38"/>
      <c r="V333" s="9"/>
    </row>
    <row r="334" ht="15" customHeight="1" spans="1:22">
      <c r="A334" s="21">
        <v>41238</v>
      </c>
      <c r="B334" s="21" t="s">
        <v>34</v>
      </c>
      <c r="C334" s="22">
        <v>62907</v>
      </c>
      <c r="D334" s="8">
        <v>19792</v>
      </c>
      <c r="E334" s="8">
        <v>83819</v>
      </c>
      <c r="F334" s="23">
        <v>4460</v>
      </c>
      <c r="G334" s="24">
        <v>2759</v>
      </c>
      <c r="H334" s="25">
        <v>1167</v>
      </c>
      <c r="I334" s="37">
        <v>695</v>
      </c>
      <c r="J334" s="9">
        <f t="shared" si="87"/>
        <v>64027</v>
      </c>
      <c r="K334" s="38">
        <f t="shared" si="88"/>
        <v>328</v>
      </c>
      <c r="L334" s="38">
        <v>792</v>
      </c>
      <c r="M334" s="39">
        <f t="shared" si="80"/>
        <v>1608147</v>
      </c>
      <c r="N334" s="40">
        <f t="shared" si="85"/>
        <v>484016</v>
      </c>
      <c r="O334" s="40">
        <f t="shared" si="86"/>
        <v>2122012</v>
      </c>
      <c r="P334" s="41">
        <f t="shared" si="82"/>
        <v>18064375</v>
      </c>
      <c r="Q334" s="41">
        <f t="shared" si="83"/>
        <v>8343305.5</v>
      </c>
      <c r="R334" s="41">
        <f t="shared" si="84"/>
        <v>27019969.73</v>
      </c>
      <c r="S334" s="54"/>
      <c r="T334" s="38"/>
      <c r="U334" s="38"/>
      <c r="V334" s="9"/>
    </row>
    <row r="335" ht="15" customHeight="1" spans="1:22">
      <c r="A335" s="15">
        <v>41239</v>
      </c>
      <c r="B335" s="15" t="s">
        <v>35</v>
      </c>
      <c r="C335" s="16">
        <v>64750</v>
      </c>
      <c r="D335" s="17">
        <v>20297</v>
      </c>
      <c r="E335" s="17">
        <v>86072</v>
      </c>
      <c r="F335" s="18">
        <v>4420</v>
      </c>
      <c r="G335" s="19">
        <v>2799</v>
      </c>
      <c r="H335" s="20"/>
      <c r="I335" s="20"/>
      <c r="J335" s="33">
        <f t="shared" si="87"/>
        <v>65775</v>
      </c>
      <c r="K335" s="34">
        <f t="shared" si="88"/>
        <v>233</v>
      </c>
      <c r="L335" s="34">
        <v>792</v>
      </c>
      <c r="M335" s="35">
        <f t="shared" si="80"/>
        <v>1672897</v>
      </c>
      <c r="N335" s="36">
        <f t="shared" si="85"/>
        <v>504313</v>
      </c>
      <c r="O335" s="36">
        <f t="shared" si="86"/>
        <v>2208084</v>
      </c>
      <c r="P335" s="35">
        <f t="shared" si="82"/>
        <v>18129125</v>
      </c>
      <c r="Q335" s="35">
        <f t="shared" si="83"/>
        <v>8363602.5</v>
      </c>
      <c r="R335" s="35">
        <f t="shared" si="84"/>
        <v>27106041.73</v>
      </c>
      <c r="S335" s="53"/>
      <c r="T335" s="33"/>
      <c r="U335" s="33"/>
      <c r="V335" s="33"/>
    </row>
    <row r="336" ht="15" customHeight="1" spans="1:22">
      <c r="A336" s="21">
        <v>41240</v>
      </c>
      <c r="B336" s="21" t="s">
        <v>36</v>
      </c>
      <c r="C336" s="22">
        <v>63675</v>
      </c>
      <c r="D336" s="8">
        <v>21513</v>
      </c>
      <c r="E336" s="8">
        <v>86077</v>
      </c>
      <c r="F336" s="23">
        <v>4386</v>
      </c>
      <c r="G336" s="24">
        <v>2883</v>
      </c>
      <c r="H336" s="25"/>
      <c r="I336" s="37"/>
      <c r="J336" s="9">
        <f t="shared" si="87"/>
        <v>64564</v>
      </c>
      <c r="K336" s="38">
        <f t="shared" si="88"/>
        <v>97</v>
      </c>
      <c r="L336" s="38">
        <v>792</v>
      </c>
      <c r="M336" s="39">
        <f t="shared" si="80"/>
        <v>1736572</v>
      </c>
      <c r="N336" s="40">
        <f t="shared" si="85"/>
        <v>525826</v>
      </c>
      <c r="O336" s="40">
        <f t="shared" si="86"/>
        <v>2294161</v>
      </c>
      <c r="P336" s="41">
        <f t="shared" si="82"/>
        <v>18192800</v>
      </c>
      <c r="Q336" s="41">
        <f t="shared" si="83"/>
        <v>8385115.5</v>
      </c>
      <c r="R336" s="41">
        <f t="shared" si="84"/>
        <v>27192118.73</v>
      </c>
      <c r="S336" s="54">
        <v>155.2329</v>
      </c>
      <c r="T336" s="54">
        <f>P336/10000-S336</f>
        <v>1664.0471</v>
      </c>
      <c r="U336" s="38"/>
      <c r="V336" s="59">
        <f>(T336-4.919-1.126-6.45-0.52)/3547*10000</f>
        <v>4654.72822103186</v>
      </c>
    </row>
    <row r="337" ht="15" customHeight="1" spans="1:22">
      <c r="A337" s="21">
        <v>41241</v>
      </c>
      <c r="B337" s="21" t="s">
        <v>37</v>
      </c>
      <c r="C337" s="22">
        <v>63759</v>
      </c>
      <c r="D337" s="8">
        <v>21101</v>
      </c>
      <c r="E337" s="8">
        <v>85888</v>
      </c>
      <c r="F337" s="23">
        <v>4346</v>
      </c>
      <c r="G337" s="24">
        <v>2811</v>
      </c>
      <c r="H337" s="25"/>
      <c r="I337" s="37"/>
      <c r="J337" s="9">
        <f t="shared" si="87"/>
        <v>64787</v>
      </c>
      <c r="K337" s="38">
        <f t="shared" si="88"/>
        <v>236</v>
      </c>
      <c r="L337" s="38">
        <v>792</v>
      </c>
      <c r="M337" s="39">
        <f t="shared" si="80"/>
        <v>1800331</v>
      </c>
      <c r="N337" s="40">
        <f t="shared" si="85"/>
        <v>546927</v>
      </c>
      <c r="O337" s="40">
        <f t="shared" si="86"/>
        <v>2380049</v>
      </c>
      <c r="P337" s="41">
        <f t="shared" si="82"/>
        <v>18256559</v>
      </c>
      <c r="Q337" s="41">
        <f t="shared" si="83"/>
        <v>8406216.5</v>
      </c>
      <c r="R337" s="41">
        <f t="shared" si="84"/>
        <v>27278006.73</v>
      </c>
      <c r="S337" s="54"/>
      <c r="T337" s="38"/>
      <c r="U337" s="38"/>
      <c r="V337" s="9"/>
    </row>
    <row r="338" ht="15" customHeight="1" spans="1:22">
      <c r="A338" s="21">
        <v>41242</v>
      </c>
      <c r="B338" s="21" t="s">
        <v>38</v>
      </c>
      <c r="C338" s="22">
        <v>63077</v>
      </c>
      <c r="D338" s="8">
        <v>21926</v>
      </c>
      <c r="E338" s="8">
        <v>86090</v>
      </c>
      <c r="F338" s="23">
        <v>4253</v>
      </c>
      <c r="G338" s="24">
        <v>2797</v>
      </c>
      <c r="H338" s="25"/>
      <c r="I338" s="37"/>
      <c r="J338" s="9">
        <f t="shared" si="87"/>
        <v>64164</v>
      </c>
      <c r="K338" s="38">
        <f t="shared" si="88"/>
        <v>295</v>
      </c>
      <c r="L338" s="38">
        <v>792</v>
      </c>
      <c r="M338" s="39">
        <f t="shared" si="80"/>
        <v>1863408</v>
      </c>
      <c r="N338" s="40">
        <f t="shared" si="85"/>
        <v>568853</v>
      </c>
      <c r="O338" s="40">
        <f t="shared" si="86"/>
        <v>2466139</v>
      </c>
      <c r="P338" s="41">
        <f t="shared" si="82"/>
        <v>18319636</v>
      </c>
      <c r="Q338" s="41">
        <f t="shared" si="83"/>
        <v>8428142.5</v>
      </c>
      <c r="R338" s="41">
        <f t="shared" si="84"/>
        <v>27364096.73</v>
      </c>
      <c r="S338" s="54"/>
      <c r="T338" s="38"/>
      <c r="U338" s="38"/>
      <c r="V338" s="9"/>
    </row>
    <row r="339" s="1" customFormat="1" ht="15" customHeight="1" spans="1:22">
      <c r="A339" s="26">
        <v>41243</v>
      </c>
      <c r="B339" s="26" t="s">
        <v>1</v>
      </c>
      <c r="C339" s="27">
        <v>56971</v>
      </c>
      <c r="D339" s="28">
        <v>20632</v>
      </c>
      <c r="E339" s="28">
        <v>78481</v>
      </c>
      <c r="F339" s="29">
        <v>3887</v>
      </c>
      <c r="G339" s="30">
        <v>2673</v>
      </c>
      <c r="H339" s="31"/>
      <c r="I339" s="31"/>
      <c r="J339" s="43">
        <f t="shared" si="87"/>
        <v>57849</v>
      </c>
      <c r="K339" s="44">
        <f t="shared" si="88"/>
        <v>86</v>
      </c>
      <c r="L339" s="44">
        <v>792</v>
      </c>
      <c r="M339" s="45">
        <v>1920379</v>
      </c>
      <c r="N339" s="47">
        <v>589485</v>
      </c>
      <c r="O339" s="47">
        <v>2544620</v>
      </c>
      <c r="P339" s="45">
        <f t="shared" si="82"/>
        <v>18376607</v>
      </c>
      <c r="Q339" s="45">
        <f t="shared" si="83"/>
        <v>8448774.5</v>
      </c>
      <c r="R339" s="45">
        <f t="shared" si="84"/>
        <v>27442577.73</v>
      </c>
      <c r="S339" s="56">
        <v>156.94565</v>
      </c>
      <c r="T339" s="56">
        <f>P339/10000-S339</f>
        <v>1680.71505</v>
      </c>
      <c r="U339" s="44"/>
      <c r="V339" s="61">
        <f>(T339-4.919-1.126-6.45-0.86)/3548.8*10000</f>
        <v>4698.37705703336</v>
      </c>
    </row>
    <row r="340" ht="15" customHeight="1" spans="1:22">
      <c r="A340" s="21">
        <v>41244</v>
      </c>
      <c r="B340" s="21" t="s">
        <v>39</v>
      </c>
      <c r="C340" s="22">
        <v>56773</v>
      </c>
      <c r="D340" s="8">
        <v>23754</v>
      </c>
      <c r="E340" s="8">
        <v>81538</v>
      </c>
      <c r="F340" s="23">
        <v>4133</v>
      </c>
      <c r="G340" s="24">
        <v>2476</v>
      </c>
      <c r="H340" s="25"/>
      <c r="I340" s="37"/>
      <c r="J340" s="9">
        <f t="shared" si="87"/>
        <v>57784</v>
      </c>
      <c r="K340" s="38">
        <f t="shared" si="88"/>
        <v>218</v>
      </c>
      <c r="L340" s="38">
        <v>793</v>
      </c>
      <c r="M340" s="39">
        <f>C340</f>
        <v>56773</v>
      </c>
      <c r="N340" s="40">
        <f>D340</f>
        <v>23754</v>
      </c>
      <c r="O340" s="40">
        <f>E340</f>
        <v>81538</v>
      </c>
      <c r="P340" s="41">
        <f>P$339+M340</f>
        <v>18433380</v>
      </c>
      <c r="Q340" s="41">
        <f>Q$339+N340</f>
        <v>8472528.5</v>
      </c>
      <c r="R340" s="41">
        <f>R$339+O340</f>
        <v>27524115.73</v>
      </c>
      <c r="S340" s="54"/>
      <c r="T340" s="38"/>
      <c r="U340" s="38"/>
      <c r="V340" s="9">
        <v>471</v>
      </c>
    </row>
    <row r="341" ht="15" customHeight="1" spans="1:22">
      <c r="A341" s="21">
        <v>41245</v>
      </c>
      <c r="B341" s="21" t="s">
        <v>34</v>
      </c>
      <c r="C341" s="22">
        <v>63694</v>
      </c>
      <c r="D341" s="8">
        <v>22514</v>
      </c>
      <c r="E341" s="8">
        <v>87338</v>
      </c>
      <c r="F341" s="23">
        <v>4456.5</v>
      </c>
      <c r="G341" s="24">
        <v>2775.7</v>
      </c>
      <c r="H341" s="25"/>
      <c r="I341" s="37"/>
      <c r="J341" s="9">
        <f t="shared" si="87"/>
        <v>64824</v>
      </c>
      <c r="K341" s="38">
        <f t="shared" si="88"/>
        <v>337</v>
      </c>
      <c r="L341" s="38">
        <v>793</v>
      </c>
      <c r="M341" s="39">
        <f t="shared" ref="M341:M370" si="89">M340+C341</f>
        <v>120467</v>
      </c>
      <c r="N341" s="40">
        <f t="shared" ref="N341:O348" si="90">N340+D341</f>
        <v>46268</v>
      </c>
      <c r="O341" s="40">
        <f t="shared" si="90"/>
        <v>168876</v>
      </c>
      <c r="P341" s="41">
        <f t="shared" ref="P341:P370" si="91">P$339+M341</f>
        <v>18497074</v>
      </c>
      <c r="Q341" s="41">
        <f t="shared" ref="Q341:Q370" si="92">Q$339+N341</f>
        <v>8495042.5</v>
      </c>
      <c r="R341" s="41">
        <f t="shared" ref="R341:R370" si="93">R$339+O341</f>
        <v>27611453.73</v>
      </c>
      <c r="S341" s="54"/>
      <c r="T341" s="38"/>
      <c r="U341" s="38"/>
      <c r="V341" s="9"/>
    </row>
    <row r="342" ht="15" customHeight="1" spans="1:22">
      <c r="A342" s="15">
        <v>41246</v>
      </c>
      <c r="B342" s="15" t="s">
        <v>35</v>
      </c>
      <c r="C342" s="16">
        <v>70301</v>
      </c>
      <c r="D342" s="17">
        <v>19175</v>
      </c>
      <c r="E342" s="17">
        <v>90825</v>
      </c>
      <c r="F342" s="18">
        <v>4640.2</v>
      </c>
      <c r="G342" s="19">
        <v>2906.3</v>
      </c>
      <c r="H342" s="20"/>
      <c r="I342" s="20"/>
      <c r="J342" s="33">
        <f t="shared" si="87"/>
        <v>71650</v>
      </c>
      <c r="K342" s="34">
        <f t="shared" si="88"/>
        <v>556</v>
      </c>
      <c r="L342" s="34">
        <v>793</v>
      </c>
      <c r="M342" s="35">
        <f t="shared" si="89"/>
        <v>190768</v>
      </c>
      <c r="N342" s="36">
        <f t="shared" si="90"/>
        <v>65443</v>
      </c>
      <c r="O342" s="36">
        <f t="shared" si="90"/>
        <v>259701</v>
      </c>
      <c r="P342" s="35">
        <f t="shared" si="91"/>
        <v>18567375</v>
      </c>
      <c r="Q342" s="35">
        <f t="shared" si="92"/>
        <v>8514217.5</v>
      </c>
      <c r="R342" s="35">
        <f t="shared" si="93"/>
        <v>27702278.73</v>
      </c>
      <c r="S342" s="53"/>
      <c r="T342" s="33"/>
      <c r="U342" s="33"/>
      <c r="V342" s="33"/>
    </row>
    <row r="343" ht="15" customHeight="1" spans="1:22">
      <c r="A343" s="21">
        <v>41247</v>
      </c>
      <c r="B343" s="21" t="s">
        <v>36</v>
      </c>
      <c r="C343" s="22">
        <v>70735</v>
      </c>
      <c r="D343" s="8">
        <v>19595</v>
      </c>
      <c r="E343" s="8">
        <v>91896</v>
      </c>
      <c r="F343" s="23">
        <v>4691.2</v>
      </c>
      <c r="G343" s="24">
        <v>2915.8</v>
      </c>
      <c r="H343" s="25"/>
      <c r="I343" s="37"/>
      <c r="J343" s="9">
        <f t="shared" si="87"/>
        <v>72301</v>
      </c>
      <c r="K343" s="38">
        <f t="shared" si="88"/>
        <v>773</v>
      </c>
      <c r="L343" s="38">
        <v>793</v>
      </c>
      <c r="M343" s="39">
        <f t="shared" si="89"/>
        <v>261503</v>
      </c>
      <c r="N343" s="40">
        <f t="shared" si="90"/>
        <v>85038</v>
      </c>
      <c r="O343" s="40">
        <f t="shared" si="90"/>
        <v>351597</v>
      </c>
      <c r="P343" s="41">
        <f t="shared" si="91"/>
        <v>18638110</v>
      </c>
      <c r="Q343" s="41">
        <f t="shared" si="92"/>
        <v>8533812.5</v>
      </c>
      <c r="R343" s="41">
        <f t="shared" si="93"/>
        <v>27794174.73</v>
      </c>
      <c r="S343" s="54">
        <v>159.02565</v>
      </c>
      <c r="T343" s="54">
        <f>P343/10000-S343</f>
        <v>1704.78535</v>
      </c>
      <c r="U343" s="38"/>
      <c r="V343" s="59">
        <f>(T343-4.919-1.126-6.45-1.34)/3551.5*10000</f>
        <v>4761.22863578769</v>
      </c>
    </row>
    <row r="344" ht="15" customHeight="1" spans="1:22">
      <c r="A344" s="21">
        <v>41248</v>
      </c>
      <c r="B344" s="21" t="s">
        <v>37</v>
      </c>
      <c r="C344" s="22">
        <v>71082</v>
      </c>
      <c r="D344" s="8">
        <v>20313</v>
      </c>
      <c r="E344" s="8">
        <v>92397</v>
      </c>
      <c r="F344" s="23">
        <v>4716</v>
      </c>
      <c r="G344" s="24">
        <v>2972</v>
      </c>
      <c r="H344" s="25"/>
      <c r="I344" s="37"/>
      <c r="J344" s="9">
        <f t="shared" si="87"/>
        <v>72084</v>
      </c>
      <c r="K344" s="38">
        <f t="shared" si="88"/>
        <v>210</v>
      </c>
      <c r="L344" s="38">
        <v>792</v>
      </c>
      <c r="M344" s="39">
        <f t="shared" si="89"/>
        <v>332585</v>
      </c>
      <c r="N344" s="40">
        <f t="shared" si="90"/>
        <v>105351</v>
      </c>
      <c r="O344" s="40">
        <f t="shared" si="90"/>
        <v>443994</v>
      </c>
      <c r="P344" s="41">
        <f t="shared" si="91"/>
        <v>18709192</v>
      </c>
      <c r="Q344" s="41">
        <f t="shared" si="92"/>
        <v>8554125.5</v>
      </c>
      <c r="R344" s="41">
        <f t="shared" si="93"/>
        <v>27886571.73</v>
      </c>
      <c r="S344" s="54"/>
      <c r="T344" s="38"/>
      <c r="U344" s="38"/>
      <c r="V344" s="9"/>
    </row>
    <row r="345" ht="15" customHeight="1" spans="1:22">
      <c r="A345" s="21">
        <v>41249</v>
      </c>
      <c r="B345" s="21" t="s">
        <v>38</v>
      </c>
      <c r="C345" s="22">
        <v>70233</v>
      </c>
      <c r="D345" s="8">
        <v>20309</v>
      </c>
      <c r="E345" s="8">
        <v>91692</v>
      </c>
      <c r="F345" s="23">
        <v>4643</v>
      </c>
      <c r="G345" s="24">
        <v>2999</v>
      </c>
      <c r="H345" s="25"/>
      <c r="I345" s="37"/>
      <c r="J345" s="9">
        <f t="shared" si="87"/>
        <v>71383</v>
      </c>
      <c r="K345" s="38">
        <f t="shared" si="88"/>
        <v>358</v>
      </c>
      <c r="L345" s="38">
        <v>792</v>
      </c>
      <c r="M345" s="39">
        <f t="shared" si="89"/>
        <v>402818</v>
      </c>
      <c r="N345" s="40">
        <f t="shared" si="90"/>
        <v>125660</v>
      </c>
      <c r="O345" s="40">
        <f t="shared" si="90"/>
        <v>535686</v>
      </c>
      <c r="P345" s="41">
        <f t="shared" si="91"/>
        <v>18779425</v>
      </c>
      <c r="Q345" s="41">
        <f t="shared" si="92"/>
        <v>8574434.5</v>
      </c>
      <c r="R345" s="41">
        <f t="shared" si="93"/>
        <v>27978263.73</v>
      </c>
      <c r="S345" s="54"/>
      <c r="T345" s="38"/>
      <c r="U345" s="38"/>
      <c r="V345" s="9"/>
    </row>
    <row r="346" ht="15" customHeight="1" spans="1:22">
      <c r="A346" s="21">
        <v>41250</v>
      </c>
      <c r="B346" s="21" t="s">
        <v>1</v>
      </c>
      <c r="C346" s="22">
        <v>64494</v>
      </c>
      <c r="D346" s="8">
        <v>21189</v>
      </c>
      <c r="E346" s="8">
        <v>86897</v>
      </c>
      <c r="F346" s="23">
        <v>4331</v>
      </c>
      <c r="G346" s="24">
        <v>2951</v>
      </c>
      <c r="H346" s="25"/>
      <c r="I346" s="37"/>
      <c r="J346" s="9">
        <f t="shared" si="87"/>
        <v>65708</v>
      </c>
      <c r="K346" s="38">
        <f t="shared" si="88"/>
        <v>422</v>
      </c>
      <c r="L346" s="38">
        <v>792</v>
      </c>
      <c r="M346" s="39">
        <f t="shared" si="89"/>
        <v>467312</v>
      </c>
      <c r="N346" s="40">
        <f t="shared" si="90"/>
        <v>146849</v>
      </c>
      <c r="O346" s="40">
        <f t="shared" si="90"/>
        <v>622583</v>
      </c>
      <c r="P346" s="41">
        <f t="shared" si="91"/>
        <v>18843919</v>
      </c>
      <c r="Q346" s="41">
        <f t="shared" si="92"/>
        <v>8595623.5</v>
      </c>
      <c r="R346" s="41">
        <f t="shared" si="93"/>
        <v>28065160.73</v>
      </c>
      <c r="S346" s="54"/>
      <c r="T346" s="38"/>
      <c r="U346" s="38"/>
      <c r="V346" s="9"/>
    </row>
    <row r="347" ht="15" customHeight="1" spans="1:22">
      <c r="A347" s="21">
        <v>41251</v>
      </c>
      <c r="B347" s="21" t="s">
        <v>39</v>
      </c>
      <c r="C347" s="22">
        <v>69210</v>
      </c>
      <c r="D347" s="8">
        <v>20575</v>
      </c>
      <c r="E347" s="8">
        <v>90956</v>
      </c>
      <c r="F347" s="23">
        <v>4119</v>
      </c>
      <c r="G347" s="24">
        <v>2772</v>
      </c>
      <c r="H347" s="25">
        <v>1080</v>
      </c>
      <c r="I347" s="37">
        <v>684</v>
      </c>
      <c r="J347" s="9">
        <f t="shared" si="87"/>
        <v>70381</v>
      </c>
      <c r="K347" s="38">
        <f t="shared" si="88"/>
        <v>379</v>
      </c>
      <c r="L347" s="38">
        <v>792</v>
      </c>
      <c r="M347" s="39">
        <f t="shared" si="89"/>
        <v>536522</v>
      </c>
      <c r="N347" s="40">
        <f t="shared" si="90"/>
        <v>167424</v>
      </c>
      <c r="O347" s="40">
        <f t="shared" si="90"/>
        <v>713539</v>
      </c>
      <c r="P347" s="41">
        <f t="shared" si="91"/>
        <v>18913129</v>
      </c>
      <c r="Q347" s="41">
        <f t="shared" si="92"/>
        <v>8616198.5</v>
      </c>
      <c r="R347" s="41">
        <f t="shared" si="93"/>
        <v>28156116.73</v>
      </c>
      <c r="S347" s="54"/>
      <c r="T347" s="38"/>
      <c r="U347" s="38"/>
      <c r="V347" s="9"/>
    </row>
    <row r="348" ht="15" customHeight="1" spans="1:22">
      <c r="A348" s="21">
        <v>41252</v>
      </c>
      <c r="B348" s="21" t="s">
        <v>34</v>
      </c>
      <c r="C348" s="22">
        <v>72757</v>
      </c>
      <c r="D348" s="8">
        <v>19665</v>
      </c>
      <c r="E348" s="8">
        <v>93743</v>
      </c>
      <c r="F348" s="23">
        <v>4818</v>
      </c>
      <c r="G348" s="24">
        <v>2965</v>
      </c>
      <c r="H348" s="25">
        <v>1071</v>
      </c>
      <c r="I348" s="37">
        <v>672</v>
      </c>
      <c r="J348" s="9">
        <f t="shared" si="87"/>
        <v>74078</v>
      </c>
      <c r="K348" s="38">
        <f t="shared" si="88"/>
        <v>529</v>
      </c>
      <c r="L348" s="38">
        <v>792</v>
      </c>
      <c r="M348" s="39">
        <f t="shared" si="89"/>
        <v>609279</v>
      </c>
      <c r="N348" s="40">
        <f t="shared" si="90"/>
        <v>187089</v>
      </c>
      <c r="O348" s="40">
        <f t="shared" si="90"/>
        <v>807282</v>
      </c>
      <c r="P348" s="41">
        <f t="shared" si="91"/>
        <v>18985886</v>
      </c>
      <c r="Q348" s="41">
        <f t="shared" si="92"/>
        <v>8635863.5</v>
      </c>
      <c r="R348" s="41">
        <f t="shared" si="93"/>
        <v>28249859.73</v>
      </c>
      <c r="S348" s="54"/>
      <c r="T348" s="38"/>
      <c r="U348" s="38"/>
      <c r="V348" s="9"/>
    </row>
    <row r="349" ht="15" customHeight="1" spans="1:22">
      <c r="A349" s="15">
        <v>41253</v>
      </c>
      <c r="B349" s="15" t="s">
        <v>35</v>
      </c>
      <c r="C349" s="16">
        <v>71980</v>
      </c>
      <c r="D349" s="17">
        <v>19450</v>
      </c>
      <c r="E349" s="17">
        <v>92862</v>
      </c>
      <c r="F349" s="18">
        <v>4797</v>
      </c>
      <c r="G349" s="19">
        <v>2933</v>
      </c>
      <c r="H349" s="20">
        <v>1223</v>
      </c>
      <c r="I349" s="20">
        <v>535</v>
      </c>
      <c r="J349" s="33">
        <f t="shared" si="87"/>
        <v>73412</v>
      </c>
      <c r="K349" s="34">
        <f t="shared" si="88"/>
        <v>640</v>
      </c>
      <c r="L349" s="34">
        <v>792</v>
      </c>
      <c r="M349" s="35">
        <v>681260</v>
      </c>
      <c r="N349" s="36">
        <v>206539</v>
      </c>
      <c r="O349" s="36">
        <v>900144</v>
      </c>
      <c r="P349" s="35">
        <f t="shared" si="91"/>
        <v>19057867</v>
      </c>
      <c r="Q349" s="35">
        <f t="shared" si="92"/>
        <v>8655313.5</v>
      </c>
      <c r="R349" s="35">
        <f t="shared" si="93"/>
        <v>28342721.73</v>
      </c>
      <c r="S349" s="53">
        <v>161.9762</v>
      </c>
      <c r="T349" s="53">
        <f>P349/10000-S349</f>
        <v>1743.8105</v>
      </c>
      <c r="U349" s="33"/>
      <c r="V349" s="63">
        <f>(T349-4.919-1.126-6.45-1.5845)/3555.1*10000</f>
        <v>4865.49182864054</v>
      </c>
    </row>
    <row r="350" ht="15" customHeight="1" spans="1:22">
      <c r="A350" s="21">
        <v>41254</v>
      </c>
      <c r="B350" s="21" t="s">
        <v>36</v>
      </c>
      <c r="C350" s="22">
        <v>74589</v>
      </c>
      <c r="D350" s="8">
        <v>19393</v>
      </c>
      <c r="E350" s="8">
        <v>95331</v>
      </c>
      <c r="F350" s="23">
        <v>4891</v>
      </c>
      <c r="G350" s="24">
        <v>2942</v>
      </c>
      <c r="H350" s="25"/>
      <c r="I350" s="37"/>
      <c r="J350" s="9">
        <f t="shared" si="87"/>
        <v>75938</v>
      </c>
      <c r="K350" s="38">
        <f t="shared" si="88"/>
        <v>557</v>
      </c>
      <c r="L350" s="38">
        <v>792</v>
      </c>
      <c r="M350" s="39">
        <f t="shared" si="89"/>
        <v>755849</v>
      </c>
      <c r="N350" s="40">
        <f t="shared" ref="N350:N370" si="94">N349+D350</f>
        <v>225932</v>
      </c>
      <c r="O350" s="40">
        <f t="shared" ref="O350:O370" si="95">O349+E350</f>
        <v>995475</v>
      </c>
      <c r="P350" s="41">
        <f t="shared" si="91"/>
        <v>19132456</v>
      </c>
      <c r="Q350" s="41">
        <f t="shared" si="92"/>
        <v>8674706.5</v>
      </c>
      <c r="R350" s="41">
        <f t="shared" si="93"/>
        <v>28438052.73</v>
      </c>
      <c r="S350" s="54">
        <v>162.4762</v>
      </c>
      <c r="T350" s="54">
        <f>P350/10000-S350</f>
        <v>1750.7694</v>
      </c>
      <c r="U350" s="38"/>
      <c r="V350" s="59">
        <f>(T350-4.919-1.126-6.45-1.74)/3555.7*10000</f>
        <v>4883.80459543831</v>
      </c>
    </row>
    <row r="351" ht="15" customHeight="1" spans="1:22">
      <c r="A351" s="21">
        <v>41255</v>
      </c>
      <c r="B351" s="21" t="s">
        <v>37</v>
      </c>
      <c r="C351" s="22">
        <v>73249</v>
      </c>
      <c r="D351" s="8">
        <v>20649</v>
      </c>
      <c r="E351" s="8">
        <v>95048</v>
      </c>
      <c r="F351" s="23">
        <v>4859</v>
      </c>
      <c r="G351" s="24">
        <v>2997</v>
      </c>
      <c r="H351" s="25">
        <v>1218</v>
      </c>
      <c r="I351" s="37">
        <v>648</v>
      </c>
      <c r="J351" s="9">
        <f t="shared" si="87"/>
        <v>74399</v>
      </c>
      <c r="K351" s="38">
        <f t="shared" si="88"/>
        <v>358</v>
      </c>
      <c r="L351" s="38">
        <v>792</v>
      </c>
      <c r="M351" s="39">
        <f t="shared" si="89"/>
        <v>829098</v>
      </c>
      <c r="N351" s="40">
        <f t="shared" si="94"/>
        <v>246581</v>
      </c>
      <c r="O351" s="40">
        <f t="shared" si="95"/>
        <v>1090523</v>
      </c>
      <c r="P351" s="41">
        <f t="shared" si="91"/>
        <v>19205705</v>
      </c>
      <c r="Q351" s="41">
        <f t="shared" si="92"/>
        <v>8695355.5</v>
      </c>
      <c r="R351" s="41">
        <f t="shared" si="93"/>
        <v>28533100.73</v>
      </c>
      <c r="S351" s="54"/>
      <c r="T351" s="38"/>
      <c r="U351" s="38"/>
      <c r="V351" s="9"/>
    </row>
    <row r="352" ht="15" customHeight="1" spans="1:22">
      <c r="A352" s="21">
        <v>41256</v>
      </c>
      <c r="B352" s="21" t="s">
        <v>38</v>
      </c>
      <c r="C352" s="22">
        <v>72797</v>
      </c>
      <c r="D352" s="8">
        <v>19918</v>
      </c>
      <c r="E352" s="8">
        <v>93648</v>
      </c>
      <c r="F352" s="23">
        <v>4745</v>
      </c>
      <c r="G352" s="24">
        <v>3034</v>
      </c>
      <c r="H352" s="25"/>
      <c r="I352" s="37"/>
      <c r="J352" s="9">
        <f t="shared" si="87"/>
        <v>73730</v>
      </c>
      <c r="K352" s="38">
        <f t="shared" si="88"/>
        <v>141</v>
      </c>
      <c r="L352" s="38">
        <v>792</v>
      </c>
      <c r="M352" s="39">
        <f t="shared" si="89"/>
        <v>901895</v>
      </c>
      <c r="N352" s="40">
        <f t="shared" si="94"/>
        <v>266499</v>
      </c>
      <c r="O352" s="40">
        <f t="shared" si="95"/>
        <v>1184171</v>
      </c>
      <c r="P352" s="41">
        <f t="shared" si="91"/>
        <v>19278502</v>
      </c>
      <c r="Q352" s="41">
        <f t="shared" si="92"/>
        <v>8715273.5</v>
      </c>
      <c r="R352" s="41">
        <f t="shared" si="93"/>
        <v>28626748.73</v>
      </c>
      <c r="S352" s="54"/>
      <c r="T352" s="38"/>
      <c r="U352" s="38"/>
      <c r="V352" s="9"/>
    </row>
    <row r="353" ht="15" customHeight="1" spans="1:22">
      <c r="A353" s="21">
        <v>41257</v>
      </c>
      <c r="B353" s="21" t="s">
        <v>1</v>
      </c>
      <c r="C353" s="22">
        <v>66992</v>
      </c>
      <c r="D353" s="8">
        <v>20786</v>
      </c>
      <c r="E353" s="8">
        <v>88668</v>
      </c>
      <c r="F353" s="23">
        <v>4421</v>
      </c>
      <c r="G353" s="24">
        <v>2995</v>
      </c>
      <c r="H353" s="25"/>
      <c r="I353" s="37"/>
      <c r="J353" s="9">
        <f t="shared" si="87"/>
        <v>67882</v>
      </c>
      <c r="K353" s="38">
        <f t="shared" si="88"/>
        <v>98</v>
      </c>
      <c r="L353" s="38">
        <v>792</v>
      </c>
      <c r="M353" s="39">
        <f t="shared" si="89"/>
        <v>968887</v>
      </c>
      <c r="N353" s="40">
        <f t="shared" si="94"/>
        <v>287285</v>
      </c>
      <c r="O353" s="40">
        <f t="shared" si="95"/>
        <v>1272839</v>
      </c>
      <c r="P353" s="41">
        <f t="shared" si="91"/>
        <v>19345494</v>
      </c>
      <c r="Q353" s="41">
        <f t="shared" si="92"/>
        <v>8736059.5</v>
      </c>
      <c r="R353" s="41">
        <f t="shared" si="93"/>
        <v>28715416.73</v>
      </c>
      <c r="S353" s="54"/>
      <c r="T353" s="38"/>
      <c r="U353" s="38"/>
      <c r="V353" s="9"/>
    </row>
    <row r="354" ht="15" customHeight="1" spans="1:22">
      <c r="A354" s="21">
        <v>41258</v>
      </c>
      <c r="B354" s="21" t="s">
        <v>39</v>
      </c>
      <c r="C354" s="22">
        <v>71418</v>
      </c>
      <c r="D354" s="8">
        <v>20783</v>
      </c>
      <c r="E354" s="8">
        <v>93403</v>
      </c>
      <c r="F354" s="23">
        <v>4899</v>
      </c>
      <c r="G354" s="24">
        <v>2836</v>
      </c>
      <c r="H354" s="25"/>
      <c r="I354" s="37"/>
      <c r="J354" s="9">
        <f t="shared" si="87"/>
        <v>72620</v>
      </c>
      <c r="K354" s="38">
        <f t="shared" si="88"/>
        <v>410</v>
      </c>
      <c r="L354" s="38">
        <v>792</v>
      </c>
      <c r="M354" s="39">
        <f t="shared" si="89"/>
        <v>1040305</v>
      </c>
      <c r="N354" s="40">
        <f t="shared" si="94"/>
        <v>308068</v>
      </c>
      <c r="O354" s="40">
        <f t="shared" si="95"/>
        <v>1366242</v>
      </c>
      <c r="P354" s="41">
        <f t="shared" si="91"/>
        <v>19416912</v>
      </c>
      <c r="Q354" s="41">
        <f t="shared" si="92"/>
        <v>8756842.5</v>
      </c>
      <c r="R354" s="41">
        <f t="shared" si="93"/>
        <v>28808819.73</v>
      </c>
      <c r="S354" s="54"/>
      <c r="T354" s="38"/>
      <c r="U354" s="38"/>
      <c r="V354" s="9"/>
    </row>
    <row r="355" ht="15" customHeight="1" spans="1:22">
      <c r="A355" s="21">
        <v>41259</v>
      </c>
      <c r="B355" s="21" t="s">
        <v>34</v>
      </c>
      <c r="C355" s="22">
        <v>73225</v>
      </c>
      <c r="D355" s="8">
        <v>20240</v>
      </c>
      <c r="E355" s="8">
        <v>94793</v>
      </c>
      <c r="F355" s="23">
        <v>4865</v>
      </c>
      <c r="G355" s="24">
        <v>2943</v>
      </c>
      <c r="H355" s="25"/>
      <c r="I355" s="37"/>
      <c r="J355" s="9">
        <f t="shared" si="87"/>
        <v>74553</v>
      </c>
      <c r="K355" s="38">
        <f t="shared" si="88"/>
        <v>536</v>
      </c>
      <c r="L355" s="38">
        <v>792</v>
      </c>
      <c r="M355" s="39">
        <f t="shared" si="89"/>
        <v>1113530</v>
      </c>
      <c r="N355" s="40">
        <f t="shared" si="94"/>
        <v>328308</v>
      </c>
      <c r="O355" s="40">
        <f t="shared" si="95"/>
        <v>1461035</v>
      </c>
      <c r="P355" s="41">
        <f t="shared" si="91"/>
        <v>19490137</v>
      </c>
      <c r="Q355" s="41">
        <f t="shared" si="92"/>
        <v>8777082.5</v>
      </c>
      <c r="R355" s="41">
        <f t="shared" si="93"/>
        <v>28903612.73</v>
      </c>
      <c r="S355" s="54"/>
      <c r="T355" s="38"/>
      <c r="U355" s="38"/>
      <c r="V355" s="9"/>
    </row>
    <row r="356" ht="15" customHeight="1" spans="1:22">
      <c r="A356" s="15">
        <v>41260</v>
      </c>
      <c r="B356" s="15" t="s">
        <v>35</v>
      </c>
      <c r="C356" s="16">
        <v>75899</v>
      </c>
      <c r="D356" s="17">
        <v>19674</v>
      </c>
      <c r="E356" s="17">
        <v>96502</v>
      </c>
      <c r="F356" s="18">
        <v>4950</v>
      </c>
      <c r="G356" s="19">
        <v>3006</v>
      </c>
      <c r="H356" s="20"/>
      <c r="I356" s="20"/>
      <c r="J356" s="33">
        <f t="shared" si="87"/>
        <v>76828</v>
      </c>
      <c r="K356" s="34">
        <f t="shared" si="88"/>
        <v>579</v>
      </c>
      <c r="L356" s="34">
        <v>350</v>
      </c>
      <c r="M356" s="35">
        <f t="shared" si="89"/>
        <v>1189429</v>
      </c>
      <c r="N356" s="36">
        <f t="shared" si="94"/>
        <v>347982</v>
      </c>
      <c r="O356" s="36">
        <f t="shared" si="95"/>
        <v>1557537</v>
      </c>
      <c r="P356" s="35">
        <f t="shared" si="91"/>
        <v>19566036</v>
      </c>
      <c r="Q356" s="35">
        <f t="shared" si="92"/>
        <v>8796756.5</v>
      </c>
      <c r="R356" s="35">
        <f t="shared" si="93"/>
        <v>29000114.73</v>
      </c>
      <c r="S356" s="53"/>
      <c r="T356" s="33"/>
      <c r="U356" s="33"/>
      <c r="V356" s="33"/>
    </row>
    <row r="357" ht="15" customHeight="1" spans="1:22">
      <c r="A357" s="21">
        <v>41261</v>
      </c>
      <c r="B357" s="21" t="s">
        <v>36</v>
      </c>
      <c r="C357" s="22">
        <v>74506</v>
      </c>
      <c r="D357" s="8">
        <v>22656</v>
      </c>
      <c r="E357" s="8">
        <v>97433</v>
      </c>
      <c r="F357" s="23">
        <v>5019</v>
      </c>
      <c r="G357" s="24">
        <v>2071</v>
      </c>
      <c r="H357" s="25"/>
      <c r="I357" s="37"/>
      <c r="J357" s="9">
        <f t="shared" si="87"/>
        <v>74777</v>
      </c>
      <c r="K357" s="38">
        <f t="shared" si="88"/>
        <v>271</v>
      </c>
      <c r="L357" s="38">
        <v>0</v>
      </c>
      <c r="M357" s="39">
        <f t="shared" si="89"/>
        <v>1263935</v>
      </c>
      <c r="N357" s="40">
        <f t="shared" si="94"/>
        <v>370638</v>
      </c>
      <c r="O357" s="40">
        <f t="shared" si="95"/>
        <v>1654970</v>
      </c>
      <c r="P357" s="41">
        <f t="shared" si="91"/>
        <v>19640542</v>
      </c>
      <c r="Q357" s="41">
        <f t="shared" si="92"/>
        <v>8819412.5</v>
      </c>
      <c r="R357" s="41">
        <f t="shared" si="93"/>
        <v>29097547.73</v>
      </c>
      <c r="S357" s="54">
        <v>165.9762</v>
      </c>
      <c r="T357" s="54">
        <f>P357/10000-S357</f>
        <v>1798.078</v>
      </c>
      <c r="U357" s="38"/>
      <c r="V357" s="59">
        <f>(T357-4.919-1.126-6.45-2.7821)/3560*10000</f>
        <v>5007.86769662921</v>
      </c>
    </row>
    <row r="358" ht="15" customHeight="1" spans="1:22">
      <c r="A358" s="21">
        <v>41262</v>
      </c>
      <c r="B358" s="21" t="s">
        <v>37</v>
      </c>
      <c r="C358" s="22">
        <v>72460</v>
      </c>
      <c r="D358" s="8">
        <v>23737</v>
      </c>
      <c r="E358" s="8">
        <v>96970</v>
      </c>
      <c r="F358" s="23">
        <v>4992</v>
      </c>
      <c r="G358" s="24">
        <v>3063</v>
      </c>
      <c r="H358" s="25"/>
      <c r="I358" s="37"/>
      <c r="J358" s="9">
        <f t="shared" si="87"/>
        <v>73233</v>
      </c>
      <c r="K358" s="38">
        <f t="shared" si="88"/>
        <v>773</v>
      </c>
      <c r="L358" s="38">
        <v>0</v>
      </c>
      <c r="M358" s="39">
        <f t="shared" si="89"/>
        <v>1336395</v>
      </c>
      <c r="N358" s="40">
        <f t="shared" si="94"/>
        <v>394375</v>
      </c>
      <c r="O358" s="40">
        <f t="shared" si="95"/>
        <v>1751940</v>
      </c>
      <c r="P358" s="41">
        <f t="shared" si="91"/>
        <v>19713002</v>
      </c>
      <c r="Q358" s="41">
        <f t="shared" si="92"/>
        <v>8843149.5</v>
      </c>
      <c r="R358" s="41">
        <f t="shared" si="93"/>
        <v>29194517.73</v>
      </c>
      <c r="S358" s="54"/>
      <c r="T358" s="38"/>
      <c r="U358" s="38"/>
      <c r="V358" s="9"/>
    </row>
    <row r="359" ht="15" customHeight="1" spans="1:22">
      <c r="A359" s="21">
        <v>41263</v>
      </c>
      <c r="B359" s="21" t="s">
        <v>38</v>
      </c>
      <c r="C359" s="22">
        <v>68704</v>
      </c>
      <c r="D359" s="8">
        <v>24218</v>
      </c>
      <c r="E359" s="8">
        <v>93549</v>
      </c>
      <c r="F359" s="23">
        <v>4771.5</v>
      </c>
      <c r="G359" s="24">
        <v>3011</v>
      </c>
      <c r="H359" s="25"/>
      <c r="I359" s="37"/>
      <c r="J359" s="9">
        <f t="shared" si="87"/>
        <v>69331</v>
      </c>
      <c r="K359" s="38">
        <f t="shared" si="88"/>
        <v>627</v>
      </c>
      <c r="L359" s="38">
        <v>0</v>
      </c>
      <c r="M359" s="39">
        <f t="shared" si="89"/>
        <v>1405099</v>
      </c>
      <c r="N359" s="40">
        <f t="shared" si="94"/>
        <v>418593</v>
      </c>
      <c r="O359" s="40">
        <f t="shared" si="95"/>
        <v>1845489</v>
      </c>
      <c r="P359" s="41">
        <f t="shared" si="91"/>
        <v>19781706</v>
      </c>
      <c r="Q359" s="41">
        <f t="shared" si="92"/>
        <v>8867367.5</v>
      </c>
      <c r="R359" s="41">
        <f t="shared" si="93"/>
        <v>29288066.73</v>
      </c>
      <c r="S359" s="54">
        <v>166.5248</v>
      </c>
      <c r="T359" s="54">
        <f>P359/10000-S359</f>
        <v>1811.6458</v>
      </c>
      <c r="U359" s="38"/>
      <c r="V359" s="60">
        <f>(T359-4.919-1.126-6.45-2.96-6.715)/3561.5*10000</f>
        <v>5024.50035097571</v>
      </c>
    </row>
    <row r="360" ht="15" customHeight="1" spans="1:22">
      <c r="A360" s="21">
        <v>41264</v>
      </c>
      <c r="B360" s="21" t="s">
        <v>1</v>
      </c>
      <c r="C360" s="22">
        <v>70469</v>
      </c>
      <c r="D360" s="8">
        <v>20012</v>
      </c>
      <c r="E360" s="8">
        <v>90827</v>
      </c>
      <c r="F360" s="23">
        <v>4536.2</v>
      </c>
      <c r="G360" s="24">
        <v>2964.8</v>
      </c>
      <c r="H360" s="25"/>
      <c r="I360" s="37"/>
      <c r="J360" s="9">
        <f t="shared" si="87"/>
        <v>70815</v>
      </c>
      <c r="K360" s="38">
        <f t="shared" si="88"/>
        <v>346</v>
      </c>
      <c r="L360" s="38">
        <v>0</v>
      </c>
      <c r="M360" s="39">
        <f t="shared" si="89"/>
        <v>1475568</v>
      </c>
      <c r="N360" s="40">
        <f t="shared" si="94"/>
        <v>438605</v>
      </c>
      <c r="O360" s="40">
        <f t="shared" si="95"/>
        <v>1936316</v>
      </c>
      <c r="P360" s="41">
        <f t="shared" si="91"/>
        <v>19852175</v>
      </c>
      <c r="Q360" s="41">
        <f t="shared" si="92"/>
        <v>8887379.5</v>
      </c>
      <c r="R360" s="41">
        <f t="shared" si="93"/>
        <v>29378893.73</v>
      </c>
      <c r="S360" s="54"/>
      <c r="T360" s="38"/>
      <c r="U360" s="38"/>
      <c r="V360" s="9"/>
    </row>
    <row r="361" ht="15" customHeight="1" spans="1:22">
      <c r="A361" s="21">
        <v>41265</v>
      </c>
      <c r="B361" s="21" t="s">
        <v>39</v>
      </c>
      <c r="C361" s="22">
        <v>72469</v>
      </c>
      <c r="D361" s="8">
        <v>22476</v>
      </c>
      <c r="E361" s="8">
        <v>95515</v>
      </c>
      <c r="F361" s="23">
        <v>4973.2</v>
      </c>
      <c r="G361" s="24">
        <v>2897.7</v>
      </c>
      <c r="H361" s="25"/>
      <c r="I361" s="37"/>
      <c r="J361" s="9">
        <f t="shared" si="87"/>
        <v>73039</v>
      </c>
      <c r="K361" s="38">
        <f t="shared" si="88"/>
        <v>570</v>
      </c>
      <c r="L361" s="38">
        <v>0</v>
      </c>
      <c r="M361" s="39">
        <f t="shared" si="89"/>
        <v>1548037</v>
      </c>
      <c r="N361" s="40">
        <f t="shared" si="94"/>
        <v>461081</v>
      </c>
      <c r="O361" s="40">
        <f t="shared" si="95"/>
        <v>2031831</v>
      </c>
      <c r="P361" s="41">
        <f t="shared" si="91"/>
        <v>19924644</v>
      </c>
      <c r="Q361" s="41">
        <f t="shared" si="92"/>
        <v>8909855.5</v>
      </c>
      <c r="R361" s="41">
        <f t="shared" si="93"/>
        <v>29474408.73</v>
      </c>
      <c r="S361" s="54"/>
      <c r="T361" s="38"/>
      <c r="U361" s="38"/>
      <c r="V361" s="9"/>
    </row>
    <row r="362" ht="15" customHeight="1" spans="1:22">
      <c r="A362" s="21">
        <v>41266</v>
      </c>
      <c r="B362" s="21" t="s">
        <v>34</v>
      </c>
      <c r="C362" s="22">
        <v>72759</v>
      </c>
      <c r="D362" s="8">
        <v>22244</v>
      </c>
      <c r="E362" s="8">
        <v>95469</v>
      </c>
      <c r="F362" s="23">
        <v>4949</v>
      </c>
      <c r="G362" s="24">
        <v>3035</v>
      </c>
      <c r="H362" s="25"/>
      <c r="I362" s="37"/>
      <c r="J362" s="9">
        <f t="shared" si="87"/>
        <v>73225</v>
      </c>
      <c r="K362" s="38">
        <f t="shared" si="88"/>
        <v>466</v>
      </c>
      <c r="L362" s="38">
        <v>0</v>
      </c>
      <c r="M362" s="39">
        <f t="shared" si="89"/>
        <v>1620796</v>
      </c>
      <c r="N362" s="40">
        <f t="shared" si="94"/>
        <v>483325</v>
      </c>
      <c r="O362" s="40">
        <f t="shared" si="95"/>
        <v>2127300</v>
      </c>
      <c r="P362" s="41">
        <f t="shared" si="91"/>
        <v>19997403</v>
      </c>
      <c r="Q362" s="41">
        <f t="shared" si="92"/>
        <v>8932099.5</v>
      </c>
      <c r="R362" s="41">
        <f t="shared" si="93"/>
        <v>29569877.73</v>
      </c>
      <c r="S362" s="54"/>
      <c r="T362" s="38"/>
      <c r="U362" s="38"/>
      <c r="V362" s="9"/>
    </row>
    <row r="363" ht="15" customHeight="1" spans="1:22">
      <c r="A363" s="15">
        <v>41267</v>
      </c>
      <c r="B363" s="15" t="s">
        <v>35</v>
      </c>
      <c r="C363" s="16">
        <v>69530</v>
      </c>
      <c r="D363" s="17">
        <v>22875</v>
      </c>
      <c r="E363" s="17">
        <v>93285</v>
      </c>
      <c r="F363" s="18">
        <v>4779</v>
      </c>
      <c r="G363" s="19">
        <v>3022</v>
      </c>
      <c r="H363" s="20"/>
      <c r="I363" s="20"/>
      <c r="J363" s="33">
        <f t="shared" si="87"/>
        <v>70410</v>
      </c>
      <c r="K363" s="34">
        <f t="shared" si="88"/>
        <v>880</v>
      </c>
      <c r="L363" s="34">
        <v>0</v>
      </c>
      <c r="M363" s="35">
        <f t="shared" si="89"/>
        <v>1690326</v>
      </c>
      <c r="N363" s="36">
        <f t="shared" si="94"/>
        <v>506200</v>
      </c>
      <c r="O363" s="36">
        <f t="shared" si="95"/>
        <v>2220585</v>
      </c>
      <c r="P363" s="35">
        <f t="shared" si="91"/>
        <v>20066933</v>
      </c>
      <c r="Q363" s="35">
        <f t="shared" si="92"/>
        <v>8954974.5</v>
      </c>
      <c r="R363" s="35">
        <f t="shared" si="93"/>
        <v>29663162.73</v>
      </c>
      <c r="S363" s="53"/>
      <c r="T363" s="33"/>
      <c r="U363" s="33"/>
      <c r="V363" s="33"/>
    </row>
    <row r="364" ht="15" customHeight="1" spans="1:22">
      <c r="A364" s="21">
        <v>41268</v>
      </c>
      <c r="B364" s="21" t="s">
        <v>36</v>
      </c>
      <c r="C364" s="22">
        <v>71894</v>
      </c>
      <c r="D364" s="8">
        <v>21234</v>
      </c>
      <c r="E364" s="8">
        <v>94290</v>
      </c>
      <c r="F364" s="23">
        <v>4869</v>
      </c>
      <c r="G364" s="24">
        <v>2934</v>
      </c>
      <c r="H364" s="25">
        <v>1208.2</v>
      </c>
      <c r="I364" s="37">
        <v>715.3</v>
      </c>
      <c r="J364" s="9">
        <f t="shared" si="87"/>
        <v>73056</v>
      </c>
      <c r="K364" s="38">
        <f t="shared" si="88"/>
        <v>369</v>
      </c>
      <c r="L364" s="38">
        <v>793</v>
      </c>
      <c r="M364" s="39">
        <f t="shared" si="89"/>
        <v>1762220</v>
      </c>
      <c r="N364" s="40">
        <f t="shared" si="94"/>
        <v>527434</v>
      </c>
      <c r="O364" s="40">
        <f t="shared" si="95"/>
        <v>2314875</v>
      </c>
      <c r="P364" s="41">
        <f t="shared" si="91"/>
        <v>20138827</v>
      </c>
      <c r="Q364" s="41">
        <f t="shared" si="92"/>
        <v>8976208.5</v>
      </c>
      <c r="R364" s="41">
        <f t="shared" si="93"/>
        <v>29757452.73</v>
      </c>
      <c r="S364" s="54">
        <v>168.7748</v>
      </c>
      <c r="T364" s="54">
        <f>P364/10000-S364</f>
        <v>1845.1079</v>
      </c>
      <c r="U364" s="38"/>
      <c r="V364" s="59">
        <f>(T364-4.919-1.126-6.45-3.57-6.715)/3565.1*10000</f>
        <v>5111.57583237497</v>
      </c>
    </row>
    <row r="365" ht="15" customHeight="1" spans="1:22">
      <c r="A365" s="21">
        <v>41269</v>
      </c>
      <c r="B365" s="21" t="s">
        <v>37</v>
      </c>
      <c r="C365" s="22">
        <v>72350</v>
      </c>
      <c r="D365" s="8">
        <v>21390</v>
      </c>
      <c r="E365" s="8">
        <v>94748</v>
      </c>
      <c r="F365" s="23">
        <v>4876</v>
      </c>
      <c r="G365" s="24">
        <v>3020</v>
      </c>
      <c r="H365" s="25">
        <v>1250.2</v>
      </c>
      <c r="I365" s="37">
        <v>707</v>
      </c>
      <c r="J365" s="9">
        <f t="shared" si="87"/>
        <v>73358</v>
      </c>
      <c r="K365" s="38">
        <f t="shared" si="88"/>
        <v>215</v>
      </c>
      <c r="L365" s="38">
        <v>793</v>
      </c>
      <c r="M365" s="39">
        <f t="shared" si="89"/>
        <v>1834570</v>
      </c>
      <c r="N365" s="40">
        <f t="shared" si="94"/>
        <v>548824</v>
      </c>
      <c r="O365" s="40">
        <f t="shared" si="95"/>
        <v>2409623</v>
      </c>
      <c r="P365" s="41">
        <f t="shared" si="91"/>
        <v>20211177</v>
      </c>
      <c r="Q365" s="41">
        <f t="shared" si="92"/>
        <v>8997598.5</v>
      </c>
      <c r="R365" s="41">
        <f t="shared" si="93"/>
        <v>29852200.73</v>
      </c>
      <c r="S365" s="54"/>
      <c r="T365" s="38"/>
      <c r="U365" s="38"/>
      <c r="V365" s="9"/>
    </row>
    <row r="366" ht="15" customHeight="1" spans="1:22">
      <c r="A366" s="21">
        <v>41270</v>
      </c>
      <c r="B366" s="21" t="s">
        <v>38</v>
      </c>
      <c r="C366" s="22">
        <v>70837</v>
      </c>
      <c r="D366" s="8">
        <v>21002</v>
      </c>
      <c r="E366" s="8">
        <v>92853</v>
      </c>
      <c r="F366" s="23">
        <v>4742.1</v>
      </c>
      <c r="G366" s="24">
        <v>3001.9</v>
      </c>
      <c r="H366" s="25"/>
      <c r="I366" s="37"/>
      <c r="J366" s="9">
        <f t="shared" si="87"/>
        <v>71851</v>
      </c>
      <c r="K366" s="38">
        <f t="shared" si="88"/>
        <v>221</v>
      </c>
      <c r="L366" s="38">
        <v>793</v>
      </c>
      <c r="M366" s="39">
        <f t="shared" si="89"/>
        <v>1905407</v>
      </c>
      <c r="N366" s="40">
        <f t="shared" si="94"/>
        <v>569826</v>
      </c>
      <c r="O366" s="40">
        <f t="shared" si="95"/>
        <v>2502476</v>
      </c>
      <c r="P366" s="41">
        <f t="shared" si="91"/>
        <v>20282014</v>
      </c>
      <c r="Q366" s="41">
        <f t="shared" si="92"/>
        <v>9018600.5</v>
      </c>
      <c r="R366" s="41">
        <f t="shared" si="93"/>
        <v>29945053.73</v>
      </c>
      <c r="S366" s="54"/>
      <c r="T366" s="38"/>
      <c r="U366" s="38"/>
      <c r="V366" s="9"/>
    </row>
    <row r="367" ht="15" customHeight="1" spans="1:22">
      <c r="A367" s="21">
        <v>41271</v>
      </c>
      <c r="B367" s="21" t="s">
        <v>1</v>
      </c>
      <c r="C367" s="22">
        <v>66631</v>
      </c>
      <c r="D367" s="8">
        <v>21238</v>
      </c>
      <c r="E367" s="8">
        <v>88827</v>
      </c>
      <c r="F367" s="23">
        <v>4522.8</v>
      </c>
      <c r="G367" s="24">
        <v>2994</v>
      </c>
      <c r="H367" s="25"/>
      <c r="I367" s="37"/>
      <c r="J367" s="9">
        <f t="shared" si="87"/>
        <v>67589</v>
      </c>
      <c r="K367" s="38">
        <f t="shared" si="88"/>
        <v>165</v>
      </c>
      <c r="L367" s="38">
        <v>793</v>
      </c>
      <c r="M367" s="39">
        <f t="shared" si="89"/>
        <v>1972038</v>
      </c>
      <c r="N367" s="40">
        <f t="shared" si="94"/>
        <v>591064</v>
      </c>
      <c r="O367" s="40">
        <f t="shared" si="95"/>
        <v>2591303</v>
      </c>
      <c r="P367" s="41">
        <f t="shared" si="91"/>
        <v>20348645</v>
      </c>
      <c r="Q367" s="41">
        <f t="shared" si="92"/>
        <v>9039838.5</v>
      </c>
      <c r="R367" s="41">
        <f t="shared" si="93"/>
        <v>30033880.73</v>
      </c>
      <c r="S367" s="54"/>
      <c r="T367" s="38"/>
      <c r="U367" s="38"/>
      <c r="V367" s="9"/>
    </row>
    <row r="368" ht="15" customHeight="1" spans="1:22">
      <c r="A368" s="21">
        <v>41272</v>
      </c>
      <c r="B368" s="21" t="s">
        <v>39</v>
      </c>
      <c r="C368" s="22">
        <v>67400</v>
      </c>
      <c r="D368" s="8">
        <v>22000</v>
      </c>
      <c r="E368" s="8">
        <v>90700</v>
      </c>
      <c r="F368" s="23">
        <v>4778.1</v>
      </c>
      <c r="G368" s="24">
        <v>2853.2</v>
      </c>
      <c r="H368" s="25"/>
      <c r="I368" s="37"/>
      <c r="J368" s="9">
        <f t="shared" si="87"/>
        <v>68700</v>
      </c>
      <c r="K368" s="38">
        <f t="shared" si="88"/>
        <v>507</v>
      </c>
      <c r="L368" s="38">
        <v>793</v>
      </c>
      <c r="M368" s="39">
        <f t="shared" si="89"/>
        <v>2039438</v>
      </c>
      <c r="N368" s="40">
        <f t="shared" si="94"/>
        <v>613064</v>
      </c>
      <c r="O368" s="40">
        <f t="shared" si="95"/>
        <v>2682003</v>
      </c>
      <c r="P368" s="41">
        <f t="shared" si="91"/>
        <v>20416045</v>
      </c>
      <c r="Q368" s="41">
        <f t="shared" si="92"/>
        <v>9061838.5</v>
      </c>
      <c r="R368" s="41">
        <f t="shared" si="93"/>
        <v>30124580.73</v>
      </c>
      <c r="S368" s="54"/>
      <c r="T368" s="38"/>
      <c r="U368" s="38"/>
      <c r="V368" s="9"/>
    </row>
    <row r="369" ht="15" customHeight="1" spans="1:22">
      <c r="A369" s="21">
        <v>41273</v>
      </c>
      <c r="B369" s="21" t="s">
        <v>34</v>
      </c>
      <c r="C369" s="22">
        <v>67388</v>
      </c>
      <c r="D369" s="8">
        <v>22204</v>
      </c>
      <c r="E369" s="8">
        <v>90762</v>
      </c>
      <c r="F369" s="23">
        <v>4780</v>
      </c>
      <c r="G369" s="24">
        <v>2850</v>
      </c>
      <c r="H369" s="25"/>
      <c r="I369" s="37"/>
      <c r="J369" s="9">
        <f t="shared" si="87"/>
        <v>68558</v>
      </c>
      <c r="K369" s="38">
        <f t="shared" si="88"/>
        <v>377</v>
      </c>
      <c r="L369" s="38">
        <v>793</v>
      </c>
      <c r="M369" s="39">
        <f t="shared" si="89"/>
        <v>2106826</v>
      </c>
      <c r="N369" s="40">
        <f t="shared" si="94"/>
        <v>635268</v>
      </c>
      <c r="O369" s="40">
        <f t="shared" si="95"/>
        <v>2772765</v>
      </c>
      <c r="P369" s="41">
        <f t="shared" si="91"/>
        <v>20483433</v>
      </c>
      <c r="Q369" s="41">
        <f t="shared" si="92"/>
        <v>9084042.5</v>
      </c>
      <c r="R369" s="41">
        <f t="shared" si="93"/>
        <v>30215342.73</v>
      </c>
      <c r="S369" s="54"/>
      <c r="T369" s="38"/>
      <c r="U369" s="38"/>
      <c r="V369" s="9"/>
    </row>
    <row r="370" s="1" customFormat="1" ht="15" customHeight="1" spans="1:22">
      <c r="A370" s="26">
        <v>41274</v>
      </c>
      <c r="B370" s="26" t="s">
        <v>35</v>
      </c>
      <c r="C370" s="27">
        <v>62040</v>
      </c>
      <c r="D370" s="28">
        <v>23577</v>
      </c>
      <c r="E370" s="28">
        <v>86534</v>
      </c>
      <c r="F370" s="29">
        <v>4780</v>
      </c>
      <c r="G370" s="30">
        <v>2850</v>
      </c>
      <c r="H370" s="31"/>
      <c r="I370" s="31"/>
      <c r="J370" s="43">
        <f t="shared" si="87"/>
        <v>62957</v>
      </c>
      <c r="K370" s="44">
        <f t="shared" si="88"/>
        <v>124</v>
      </c>
      <c r="L370" s="44">
        <v>793</v>
      </c>
      <c r="M370" s="45">
        <f t="shared" si="89"/>
        <v>2168866</v>
      </c>
      <c r="N370" s="47">
        <f t="shared" si="94"/>
        <v>658845</v>
      </c>
      <c r="O370" s="47">
        <f t="shared" si="95"/>
        <v>2859299</v>
      </c>
      <c r="P370" s="45">
        <f t="shared" si="91"/>
        <v>20545473</v>
      </c>
      <c r="Q370" s="45">
        <f t="shared" si="92"/>
        <v>9107619.5</v>
      </c>
      <c r="R370" s="45">
        <f t="shared" si="93"/>
        <v>30301876.73</v>
      </c>
      <c r="S370" s="56">
        <v>171.7157</v>
      </c>
      <c r="T370" s="56">
        <f>P370/10000-S370</f>
        <v>1882.8316</v>
      </c>
      <c r="U370" s="43"/>
      <c r="V370" s="61">
        <f>5212.48</f>
        <v>5212.48</v>
      </c>
    </row>
    <row r="371" spans="3:6">
      <c r="C371" s="2">
        <f>MAX(C5:C370)</f>
        <v>75899</v>
      </c>
      <c r="D371" s="2">
        <f>MAX(D5:D370)</f>
        <v>39576</v>
      </c>
      <c r="E371" s="2">
        <f>MAX(E5:E370)</f>
        <v>113521</v>
      </c>
      <c r="F371" s="64">
        <f>MAX(F5:F370)</f>
        <v>5773.6</v>
      </c>
    </row>
    <row r="372" spans="6:11">
      <c r="F372" s="65"/>
      <c r="G372" s="65"/>
      <c r="H372" s="65"/>
      <c r="I372" s="65"/>
      <c r="J372" s="66"/>
      <c r="K372" s="66"/>
    </row>
    <row r="374" spans="7:9">
      <c r="G374" s="2" t="e">
        <f>G372/F372</f>
        <v>#DIV/0!</v>
      </c>
      <c r="I374" s="2" t="e">
        <f>I372/H372</f>
        <v>#DIV/0!</v>
      </c>
    </row>
  </sheetData>
  <mergeCells count="6">
    <mergeCell ref="F1:G1"/>
    <mergeCell ref="A2:B2"/>
    <mergeCell ref="C2:L2"/>
    <mergeCell ref="M2:O2"/>
    <mergeCell ref="P2:R2"/>
    <mergeCell ref="S2:V2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华能长兴电厂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</vt:lpstr>
      <vt:lpstr>2018</vt:lpstr>
      <vt:lpstr>2017</vt:lpstr>
      <vt:lpstr>2016</vt:lpstr>
      <vt:lpstr>2015</vt:lpstr>
      <vt:lpstr>2014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yxb</dc:creator>
  <cp:lastModifiedBy>Administrator</cp:lastModifiedBy>
  <dcterms:created xsi:type="dcterms:W3CDTF">2009-01-05T00:29:00Z</dcterms:created>
  <cp:lastPrinted>2016-03-14T08:43:00Z</cp:lastPrinted>
  <dcterms:modified xsi:type="dcterms:W3CDTF">2019-02-22T02:10:52Z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